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yer\Dropbox (WU)\teaching\data_analysis_excel\"/>
    </mc:Choice>
  </mc:AlternateContent>
  <bookViews>
    <workbookView xWindow="7290" yWindow="0" windowWidth="27590" windowHeight="14180" firstSheet="7" activeTab="9"/>
  </bookViews>
  <sheets>
    <sheet name="credits" sheetId="1" r:id="rId1"/>
    <sheet name="coding" sheetId="2" r:id="rId2"/>
    <sheet name="returns" sheetId="3" r:id="rId3"/>
    <sheet name="shoes" sheetId="4" r:id="rId4"/>
    <sheet name="otis" sheetId="5" r:id="rId5"/>
    <sheet name="DAX (histogram)" sheetId="6" r:id="rId6"/>
    <sheet name="DAX (summary+rules of  thumb)" sheetId="7" r:id="rId7"/>
    <sheet name="arrival" sheetId="8" r:id="rId8"/>
    <sheet name="RR" sheetId="9" r:id="rId9"/>
    <sheet name="expected value, etc." sheetId="25" r:id="rId10"/>
    <sheet name="normal distribution" sheetId="10" r:id="rId11"/>
    <sheet name="personnel" sheetId="11" r:id="rId12"/>
    <sheet name="quantiles&amp;probabilities" sheetId="12" r:id="rId13"/>
    <sheet name="project duration" sheetId="13" r:id="rId14"/>
    <sheet name="project duration+correlations" sheetId="14" r:id="rId15"/>
    <sheet name="lognormal distribution" sheetId="15" r:id="rId16"/>
    <sheet name="overbooking" sheetId="16" r:id="rId17"/>
    <sheet name="conf.intervals&amp;hypothesis tests" sheetId="17" r:id="rId18"/>
    <sheet name="random sampling" sheetId="18" r:id="rId19"/>
    <sheet name="stratified sampling" sheetId="19" r:id="rId20"/>
    <sheet name="clustered sampling" sheetId="20" r:id="rId21"/>
    <sheet name="correlation" sheetId="21" r:id="rId22"/>
    <sheet name="simple regression" sheetId="22" r:id="rId23"/>
    <sheet name="multiple regression (1)" sheetId="23" r:id="rId24"/>
    <sheet name="multiple regression (2)" sheetId="24" r:id="rId25"/>
  </sheets>
  <definedNames>
    <definedName name="_xlnm._FilterDatabase" localSheetId="8" hidden="1">RR!$A$2:$E$1163</definedName>
    <definedName name="anscount" localSheetId="9" hidden="1">1</definedName>
    <definedName name="anscount" hidden="1">6</definedName>
    <definedName name="sencount" localSheetId="9" hidden="1">1</definedName>
    <definedName name="sencount" hidden="1">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25" l="1"/>
  <c r="H5" i="25" s="1"/>
  <c r="C6" i="25"/>
  <c r="E4" i="25" s="1"/>
  <c r="O5" i="25"/>
  <c r="I5" i="25"/>
  <c r="O4" i="25"/>
  <c r="I4" i="25"/>
  <c r="H4" i="25"/>
  <c r="O3" i="25"/>
  <c r="O6" i="25" s="1"/>
  <c r="P4" i="25" s="1"/>
  <c r="I3" i="25"/>
  <c r="G7" i="25" s="1"/>
  <c r="H3" i="25"/>
  <c r="E3" i="25"/>
  <c r="P5" i="25" l="1"/>
  <c r="G8" i="25"/>
  <c r="M5" i="25"/>
  <c r="P3" i="25"/>
  <c r="P6" i="25" s="1"/>
  <c r="D5" i="25"/>
  <c r="E5" i="25"/>
  <c r="C7" i="25" s="1"/>
  <c r="D4" i="25"/>
  <c r="M4" i="25" s="1"/>
  <c r="D3" i="25"/>
  <c r="M3" i="25" s="1"/>
  <c r="M7" i="25" s="1"/>
  <c r="P7" i="25" l="1"/>
  <c r="C8" i="25"/>
  <c r="M8" i="25" s="1"/>
  <c r="P8" i="25"/>
  <c r="R34" i="24" l="1"/>
  <c r="Q34" i="24"/>
  <c r="R33" i="24"/>
  <c r="Q33" i="24"/>
  <c r="F33" i="24"/>
  <c r="G33" i="24" s="1"/>
  <c r="C33" i="24"/>
  <c r="R32" i="24"/>
  <c r="Q32" i="24"/>
  <c r="G32" i="24"/>
  <c r="F32" i="24"/>
  <c r="C32" i="24"/>
  <c r="R31" i="24"/>
  <c r="Q31" i="24"/>
  <c r="C31" i="24"/>
  <c r="F31" i="24" s="1"/>
  <c r="G31" i="24" s="1"/>
  <c r="R30" i="24"/>
  <c r="Q30" i="24"/>
  <c r="C30" i="24"/>
  <c r="F30" i="24" s="1"/>
  <c r="G30" i="24" s="1"/>
  <c r="R29" i="24"/>
  <c r="Q29" i="24"/>
  <c r="F29" i="24"/>
  <c r="G29" i="24" s="1"/>
  <c r="C29" i="24"/>
  <c r="R28" i="24"/>
  <c r="Q28" i="24"/>
  <c r="G28" i="24"/>
  <c r="F28" i="24"/>
  <c r="C28" i="24"/>
  <c r="R27" i="24"/>
  <c r="Q27" i="24"/>
  <c r="C27" i="24"/>
  <c r="F27" i="24" s="1"/>
  <c r="G27" i="24" s="1"/>
  <c r="R26" i="24"/>
  <c r="Q26" i="24"/>
  <c r="C26" i="24"/>
  <c r="F26" i="24" s="1"/>
  <c r="G26" i="24" s="1"/>
  <c r="R25" i="24"/>
  <c r="Q25" i="24"/>
  <c r="F25" i="24"/>
  <c r="G25" i="24" s="1"/>
  <c r="C25" i="24"/>
  <c r="R24" i="24"/>
  <c r="Q24" i="24"/>
  <c r="C24" i="24"/>
  <c r="F24" i="24" s="1"/>
  <c r="G24" i="24" s="1"/>
  <c r="R23" i="24"/>
  <c r="Q23" i="24"/>
  <c r="C23" i="24"/>
  <c r="F23" i="24" s="1"/>
  <c r="G23" i="24" s="1"/>
  <c r="R22" i="24"/>
  <c r="Q22" i="24"/>
  <c r="C22" i="24"/>
  <c r="F22" i="24" s="1"/>
  <c r="G22" i="24" s="1"/>
  <c r="R21" i="24"/>
  <c r="Q21" i="24"/>
  <c r="F21" i="24"/>
  <c r="G21" i="24" s="1"/>
  <c r="C21" i="24"/>
  <c r="R20" i="24"/>
  <c r="Q20" i="24"/>
  <c r="K20" i="24"/>
  <c r="J20" i="24"/>
  <c r="C20" i="24"/>
  <c r="F20" i="24" s="1"/>
  <c r="G20" i="24" s="1"/>
  <c r="R19" i="24"/>
  <c r="Q19" i="24"/>
  <c r="K19" i="24"/>
  <c r="J19" i="24"/>
  <c r="C19" i="24"/>
  <c r="F19" i="24" s="1"/>
  <c r="G19" i="24" s="1"/>
  <c r="R18" i="24"/>
  <c r="Q18" i="24"/>
  <c r="K18" i="24"/>
  <c r="J18" i="24"/>
  <c r="G18" i="24"/>
  <c r="F18" i="24"/>
  <c r="C18" i="24"/>
  <c r="R17" i="24"/>
  <c r="Q17" i="24"/>
  <c r="C17" i="24"/>
  <c r="F17" i="24" s="1"/>
  <c r="G17" i="24" s="1"/>
  <c r="R16" i="24"/>
  <c r="Q16" i="24"/>
  <c r="C16" i="24"/>
  <c r="F16" i="24" s="1"/>
  <c r="G16" i="24" s="1"/>
  <c r="R15" i="24"/>
  <c r="Q15" i="24"/>
  <c r="F15" i="24"/>
  <c r="G15" i="24" s="1"/>
  <c r="C15" i="24"/>
  <c r="R14" i="24"/>
  <c r="Q14" i="24"/>
  <c r="G14" i="24"/>
  <c r="F14" i="24"/>
  <c r="C14" i="24"/>
  <c r="R13" i="24"/>
  <c r="Q13" i="24"/>
  <c r="C13" i="24"/>
  <c r="F13" i="24" s="1"/>
  <c r="G13" i="24" s="1"/>
  <c r="R12" i="24"/>
  <c r="Q12" i="24"/>
  <c r="C12" i="24"/>
  <c r="F12" i="24" s="1"/>
  <c r="G12" i="24" s="1"/>
  <c r="R11" i="24"/>
  <c r="Q11" i="24"/>
  <c r="F11" i="24"/>
  <c r="G11" i="24" s="1"/>
  <c r="C11" i="24"/>
  <c r="R10" i="24"/>
  <c r="Q10" i="24"/>
  <c r="G10" i="24"/>
  <c r="F10" i="24"/>
  <c r="C10" i="24"/>
  <c r="R9" i="24"/>
  <c r="Q9" i="24"/>
  <c r="C9" i="24"/>
  <c r="F9" i="24" s="1"/>
  <c r="G9" i="24" s="1"/>
  <c r="R8" i="24"/>
  <c r="Q8" i="24"/>
  <c r="C8" i="24"/>
  <c r="F8" i="24" s="1"/>
  <c r="G8" i="24" s="1"/>
  <c r="R7" i="24"/>
  <c r="Q7" i="24"/>
  <c r="F7" i="24"/>
  <c r="G7" i="24" s="1"/>
  <c r="C7" i="24"/>
  <c r="R6" i="24"/>
  <c r="Q6" i="24"/>
  <c r="C6" i="24"/>
  <c r="F6" i="24" s="1"/>
  <c r="G6" i="24" s="1"/>
  <c r="R5" i="24"/>
  <c r="Q5" i="24"/>
  <c r="C5" i="24"/>
  <c r="F5" i="24" s="1"/>
  <c r="G5" i="24" s="1"/>
  <c r="C4" i="24"/>
  <c r="F4" i="24" s="1"/>
  <c r="G4" i="24" s="1"/>
  <c r="A38" i="23" a="1"/>
  <c r="C42" i="23" s="1"/>
  <c r="J33" i="23" a="1"/>
  <c r="J33" i="23" s="1"/>
  <c r="H33" i="23" a="1"/>
  <c r="H33" i="23" s="1"/>
  <c r="D33" i="23"/>
  <c r="E33" i="23" s="1"/>
  <c r="D32" i="23"/>
  <c r="E32" i="23" s="1"/>
  <c r="D31" i="23"/>
  <c r="E31" i="23" s="1"/>
  <c r="D30" i="23"/>
  <c r="E30" i="23" s="1"/>
  <c r="E29" i="23"/>
  <c r="D29" i="23"/>
  <c r="J28" i="23" a="1"/>
  <c r="J28" i="23" s="1"/>
  <c r="J34" i="23" s="1" a="1"/>
  <c r="J34" i="23" s="1"/>
  <c r="I28" i="23" a="1"/>
  <c r="I28" i="23" s="1"/>
  <c r="I34" i="23" s="1" a="1"/>
  <c r="I34" i="23" s="1"/>
  <c r="H28" i="23" a="1"/>
  <c r="H28" i="23" s="1"/>
  <c r="H34" i="23" s="1" a="1"/>
  <c r="H34" i="23" s="1"/>
  <c r="D28" i="23"/>
  <c r="E28" i="23" s="1"/>
  <c r="J27" i="23"/>
  <c r="J27" i="23" a="1"/>
  <c r="I27" i="23"/>
  <c r="I33" i="23" s="1" a="1"/>
  <c r="I33" i="23" s="1"/>
  <c r="I27" i="23" a="1"/>
  <c r="H27" i="23"/>
  <c r="K27" i="23" s="1"/>
  <c r="H27" i="23" a="1"/>
  <c r="E27" i="23"/>
  <c r="D27" i="23"/>
  <c r="J26" i="23" a="1"/>
  <c r="J26" i="23" s="1"/>
  <c r="I26" i="23" a="1"/>
  <c r="I26" i="23" s="1"/>
  <c r="H26" i="23" a="1"/>
  <c r="H26" i="23" s="1"/>
  <c r="D26" i="23"/>
  <c r="E26" i="23" s="1"/>
  <c r="D25" i="23"/>
  <c r="E25" i="23" s="1"/>
  <c r="D24" i="23"/>
  <c r="E24" i="23" s="1"/>
  <c r="I23" i="23"/>
  <c r="H23" i="23"/>
  <c r="D23" i="23"/>
  <c r="E23" i="23" s="1"/>
  <c r="H22" i="23"/>
  <c r="E22" i="23"/>
  <c r="D22" i="23"/>
  <c r="E21" i="23"/>
  <c r="D21" i="23"/>
  <c r="E20" i="23"/>
  <c r="D20" i="23"/>
  <c r="I19" i="23"/>
  <c r="H19" i="23"/>
  <c r="E19" i="23"/>
  <c r="D19" i="23"/>
  <c r="I18" i="23"/>
  <c r="H18" i="23"/>
  <c r="E18" i="23"/>
  <c r="D18" i="23"/>
  <c r="I17" i="23"/>
  <c r="H17" i="23"/>
  <c r="E17" i="23"/>
  <c r="D17" i="23"/>
  <c r="E16" i="23"/>
  <c r="D16" i="23"/>
  <c r="E15" i="23"/>
  <c r="D15" i="23"/>
  <c r="E14" i="23"/>
  <c r="D14" i="23"/>
  <c r="E13" i="23"/>
  <c r="D13" i="23"/>
  <c r="E12" i="23"/>
  <c r="D12" i="23"/>
  <c r="E11" i="23"/>
  <c r="D11" i="23"/>
  <c r="E10" i="23"/>
  <c r="D10" i="23"/>
  <c r="E9" i="23"/>
  <c r="D9" i="23"/>
  <c r="E8" i="23"/>
  <c r="D8" i="23"/>
  <c r="E7" i="23"/>
  <c r="D7" i="23"/>
  <c r="E6" i="23"/>
  <c r="D6" i="23"/>
  <c r="E5" i="23"/>
  <c r="D5" i="23"/>
  <c r="E4" i="23"/>
  <c r="D4" i="23"/>
  <c r="C33" i="22"/>
  <c r="D33" i="22" s="1"/>
  <c r="C32" i="22"/>
  <c r="D32" i="22" s="1"/>
  <c r="C31" i="22"/>
  <c r="D31" i="22" s="1"/>
  <c r="C30" i="22"/>
  <c r="D30" i="22" s="1"/>
  <c r="C29" i="22"/>
  <c r="D29" i="22" s="1"/>
  <c r="C28" i="22"/>
  <c r="D28" i="22" s="1"/>
  <c r="C27" i="22"/>
  <c r="D27" i="22" s="1"/>
  <c r="C26" i="22"/>
  <c r="D26" i="22" s="1"/>
  <c r="C25" i="22"/>
  <c r="D25" i="22" s="1"/>
  <c r="C24" i="22"/>
  <c r="D24" i="22" s="1"/>
  <c r="C23" i="22"/>
  <c r="D23" i="22" s="1"/>
  <c r="C22" i="22"/>
  <c r="D22" i="22" s="1"/>
  <c r="C21" i="22"/>
  <c r="D21" i="22" s="1"/>
  <c r="C20" i="22"/>
  <c r="D20" i="22" s="1"/>
  <c r="C19" i="22"/>
  <c r="D19" i="22" s="1"/>
  <c r="H18" i="22"/>
  <c r="D18" i="22"/>
  <c r="C18" i="22"/>
  <c r="H17" i="22"/>
  <c r="G17" i="22"/>
  <c r="D17" i="22"/>
  <c r="C17" i="22"/>
  <c r="H16" i="22"/>
  <c r="G16" i="22"/>
  <c r="D16" i="22"/>
  <c r="C16" i="22"/>
  <c r="C15" i="22"/>
  <c r="D15" i="22" s="1"/>
  <c r="D14" i="22"/>
  <c r="C14" i="22"/>
  <c r="C13" i="22"/>
  <c r="D13" i="22" s="1"/>
  <c r="D12" i="22"/>
  <c r="C12" i="22"/>
  <c r="C11" i="22"/>
  <c r="D11" i="22" s="1"/>
  <c r="D10" i="22"/>
  <c r="C10" i="22"/>
  <c r="C9" i="22"/>
  <c r="D9" i="22" s="1"/>
  <c r="D8" i="22"/>
  <c r="C8" i="22"/>
  <c r="C7" i="22"/>
  <c r="D7" i="22" s="1"/>
  <c r="D6" i="22"/>
  <c r="C6" i="22"/>
  <c r="C5" i="22"/>
  <c r="D5" i="22" s="1"/>
  <c r="D4" i="22"/>
  <c r="C4" i="22"/>
  <c r="F19" i="21"/>
  <c r="L15" i="21"/>
  <c r="K15" i="21"/>
  <c r="L14" i="21"/>
  <c r="N13" i="21" s="1"/>
  <c r="K14" i="21"/>
  <c r="Q13" i="21"/>
  <c r="P13" i="21"/>
  <c r="R13" i="21" s="1"/>
  <c r="M13" i="21"/>
  <c r="R12" i="21"/>
  <c r="Q12" i="21"/>
  <c r="P12" i="21"/>
  <c r="N12" i="21"/>
  <c r="O12" i="21" s="1"/>
  <c r="M12" i="21"/>
  <c r="Q11" i="21"/>
  <c r="P11" i="21"/>
  <c r="R11" i="21" s="1"/>
  <c r="M11" i="21"/>
  <c r="R10" i="21"/>
  <c r="Q10" i="21"/>
  <c r="P10" i="21"/>
  <c r="N10" i="21"/>
  <c r="O10" i="21" s="1"/>
  <c r="M10" i="21"/>
  <c r="Q9" i="21"/>
  <c r="P9" i="21"/>
  <c r="R9" i="21" s="1"/>
  <c r="M9" i="21"/>
  <c r="R8" i="21"/>
  <c r="Q8" i="21"/>
  <c r="P8" i="21"/>
  <c r="N8" i="21"/>
  <c r="O8" i="21" s="1"/>
  <c r="M8" i="21"/>
  <c r="Q7" i="21"/>
  <c r="P7" i="21"/>
  <c r="R7" i="21" s="1"/>
  <c r="M7" i="21"/>
  <c r="R6" i="21"/>
  <c r="Q6" i="21"/>
  <c r="P6" i="21"/>
  <c r="N6" i="21"/>
  <c r="O6" i="21" s="1"/>
  <c r="M6" i="21"/>
  <c r="Q5" i="21"/>
  <c r="P5" i="21"/>
  <c r="R5" i="21" s="1"/>
  <c r="M5" i="21"/>
  <c r="R4" i="21"/>
  <c r="Q4" i="21"/>
  <c r="P4" i="21"/>
  <c r="N4" i="21"/>
  <c r="O4" i="21" s="1"/>
  <c r="M4" i="21"/>
  <c r="B23" i="20"/>
  <c r="G8" i="20"/>
  <c r="D21" i="20" s="1"/>
  <c r="D4" i="20"/>
  <c r="D3" i="20"/>
  <c r="O210" i="19"/>
  <c r="N210" i="19"/>
  <c r="M210" i="19"/>
  <c r="O209" i="19"/>
  <c r="N209" i="19"/>
  <c r="M209" i="19"/>
  <c r="O208" i="19"/>
  <c r="N208" i="19"/>
  <c r="M208" i="19"/>
  <c r="O207" i="19"/>
  <c r="N207" i="19"/>
  <c r="M207" i="19"/>
  <c r="O206" i="19"/>
  <c r="N206" i="19"/>
  <c r="M206" i="19"/>
  <c r="O205" i="19"/>
  <c r="N205" i="19"/>
  <c r="M205" i="19"/>
  <c r="O204" i="19"/>
  <c r="N204" i="19"/>
  <c r="M204" i="19"/>
  <c r="O203" i="19"/>
  <c r="N203" i="19"/>
  <c r="M203" i="19"/>
  <c r="O202" i="19"/>
  <c r="N202" i="19"/>
  <c r="M202" i="19"/>
  <c r="O201" i="19"/>
  <c r="N201" i="19"/>
  <c r="M201" i="19"/>
  <c r="O200" i="19"/>
  <c r="N200" i="19"/>
  <c r="M200" i="19"/>
  <c r="O199" i="19"/>
  <c r="N199" i="19"/>
  <c r="M199" i="19"/>
  <c r="O198" i="19"/>
  <c r="N198" i="19"/>
  <c r="M198" i="19"/>
  <c r="O197" i="19"/>
  <c r="N197" i="19"/>
  <c r="M197" i="19"/>
  <c r="O196" i="19"/>
  <c r="N196" i="19"/>
  <c r="M196" i="19"/>
  <c r="O195" i="19"/>
  <c r="N195" i="19"/>
  <c r="M195" i="19"/>
  <c r="O194" i="19"/>
  <c r="N194" i="19"/>
  <c r="M194" i="19"/>
  <c r="O193" i="19"/>
  <c r="N193" i="19"/>
  <c r="M193" i="19"/>
  <c r="O192" i="19"/>
  <c r="N192" i="19"/>
  <c r="M192" i="19"/>
  <c r="O191" i="19"/>
  <c r="N191" i="19"/>
  <c r="M191" i="19"/>
  <c r="O190" i="19"/>
  <c r="N190" i="19"/>
  <c r="M190" i="19"/>
  <c r="O189" i="19"/>
  <c r="N189" i="19"/>
  <c r="M189" i="19"/>
  <c r="O188" i="19"/>
  <c r="N188" i="19"/>
  <c r="M188" i="19"/>
  <c r="O187" i="19"/>
  <c r="N187" i="19"/>
  <c r="M187" i="19"/>
  <c r="O186" i="19"/>
  <c r="N186" i="19"/>
  <c r="M186" i="19"/>
  <c r="O185" i="19"/>
  <c r="N185" i="19"/>
  <c r="M185" i="19"/>
  <c r="O184" i="19"/>
  <c r="N184" i="19"/>
  <c r="M184" i="19"/>
  <c r="O183" i="19"/>
  <c r="N183" i="19"/>
  <c r="M183" i="19"/>
  <c r="O182" i="19"/>
  <c r="N182" i="19"/>
  <c r="M182" i="19"/>
  <c r="O181" i="19"/>
  <c r="N181" i="19"/>
  <c r="M181" i="19"/>
  <c r="O180" i="19"/>
  <c r="N180" i="19"/>
  <c r="M180" i="19"/>
  <c r="O179" i="19"/>
  <c r="N179" i="19"/>
  <c r="M179" i="19"/>
  <c r="O178" i="19"/>
  <c r="N178" i="19"/>
  <c r="M178" i="19"/>
  <c r="O177" i="19"/>
  <c r="N177" i="19"/>
  <c r="M177" i="19"/>
  <c r="O176" i="19"/>
  <c r="N176" i="19"/>
  <c r="M176" i="19"/>
  <c r="O175" i="19"/>
  <c r="N175" i="19"/>
  <c r="M175" i="19"/>
  <c r="O174" i="19"/>
  <c r="N174" i="19"/>
  <c r="M174" i="19"/>
  <c r="O173" i="19"/>
  <c r="N173" i="19"/>
  <c r="M173" i="19"/>
  <c r="O172" i="19"/>
  <c r="N172" i="19"/>
  <c r="M172" i="19"/>
  <c r="O171" i="19"/>
  <c r="N171" i="19"/>
  <c r="M171" i="19"/>
  <c r="O170" i="19"/>
  <c r="N170" i="19"/>
  <c r="M170" i="19"/>
  <c r="O169" i="19"/>
  <c r="N169" i="19"/>
  <c r="M169" i="19"/>
  <c r="O168" i="19"/>
  <c r="N168" i="19"/>
  <c r="M168" i="19"/>
  <c r="O167" i="19"/>
  <c r="N167" i="19"/>
  <c r="M167" i="19"/>
  <c r="O166" i="19"/>
  <c r="N166" i="19"/>
  <c r="M166" i="19"/>
  <c r="O165" i="19"/>
  <c r="N165" i="19"/>
  <c r="M165" i="19"/>
  <c r="O164" i="19"/>
  <c r="N164" i="19"/>
  <c r="M164" i="19"/>
  <c r="O163" i="19"/>
  <c r="N163" i="19"/>
  <c r="M163" i="19"/>
  <c r="O162" i="19"/>
  <c r="N162" i="19"/>
  <c r="M162" i="19"/>
  <c r="O161" i="19"/>
  <c r="N161" i="19"/>
  <c r="M161" i="19"/>
  <c r="O160" i="19"/>
  <c r="N160" i="19"/>
  <c r="M160" i="19"/>
  <c r="O159" i="19"/>
  <c r="N159" i="19"/>
  <c r="M159" i="19"/>
  <c r="O158" i="19"/>
  <c r="N158" i="19"/>
  <c r="M158" i="19"/>
  <c r="O157" i="19"/>
  <c r="N157" i="19"/>
  <c r="M157" i="19"/>
  <c r="O156" i="19"/>
  <c r="N156" i="19"/>
  <c r="M156" i="19"/>
  <c r="O155" i="19"/>
  <c r="N155" i="19"/>
  <c r="M155" i="19"/>
  <c r="O154" i="19"/>
  <c r="N154" i="19"/>
  <c r="M154" i="19"/>
  <c r="O153" i="19"/>
  <c r="N153" i="19"/>
  <c r="M153" i="19"/>
  <c r="O152" i="19"/>
  <c r="N152" i="19"/>
  <c r="M152" i="19"/>
  <c r="O151" i="19"/>
  <c r="N151" i="19"/>
  <c r="M151" i="19"/>
  <c r="O150" i="19"/>
  <c r="N150" i="19"/>
  <c r="M150" i="19"/>
  <c r="O149" i="19"/>
  <c r="N149" i="19"/>
  <c r="M149" i="19"/>
  <c r="O148" i="19"/>
  <c r="N148" i="19"/>
  <c r="M148" i="19"/>
  <c r="O147" i="19"/>
  <c r="N147" i="19"/>
  <c r="M147" i="19"/>
  <c r="O146" i="19"/>
  <c r="N146" i="19"/>
  <c r="M146" i="19"/>
  <c r="O145" i="19"/>
  <c r="N145" i="19"/>
  <c r="M145" i="19"/>
  <c r="O144" i="19"/>
  <c r="N144" i="19"/>
  <c r="M144" i="19"/>
  <c r="O143" i="19"/>
  <c r="N143" i="19"/>
  <c r="M143" i="19"/>
  <c r="O142" i="19"/>
  <c r="N142" i="19"/>
  <c r="M142" i="19"/>
  <c r="O141" i="19"/>
  <c r="N141" i="19"/>
  <c r="M141" i="19"/>
  <c r="O140" i="19"/>
  <c r="N140" i="19"/>
  <c r="M140" i="19"/>
  <c r="O139" i="19"/>
  <c r="N139" i="19"/>
  <c r="M139" i="19"/>
  <c r="O138" i="19"/>
  <c r="N138" i="19"/>
  <c r="M138" i="19"/>
  <c r="O137" i="19"/>
  <c r="N137" i="19"/>
  <c r="M137" i="19"/>
  <c r="O136" i="19"/>
  <c r="N136" i="19"/>
  <c r="M136" i="19"/>
  <c r="O135" i="19"/>
  <c r="N135" i="19"/>
  <c r="M135" i="19"/>
  <c r="O134" i="19"/>
  <c r="N134" i="19"/>
  <c r="M134" i="19"/>
  <c r="O133" i="19"/>
  <c r="N133" i="19"/>
  <c r="M133" i="19"/>
  <c r="O132" i="19"/>
  <c r="N132" i="19"/>
  <c r="M132" i="19"/>
  <c r="O131" i="19"/>
  <c r="N131" i="19"/>
  <c r="M131" i="19"/>
  <c r="O130" i="19"/>
  <c r="N130" i="19"/>
  <c r="M130" i="19"/>
  <c r="O129" i="19"/>
  <c r="N129" i="19"/>
  <c r="M129" i="19"/>
  <c r="O128" i="19"/>
  <c r="N128" i="19"/>
  <c r="M128" i="19"/>
  <c r="O127" i="19"/>
  <c r="N127" i="19"/>
  <c r="M127" i="19"/>
  <c r="O126" i="19"/>
  <c r="N126" i="19"/>
  <c r="M126" i="19"/>
  <c r="O125" i="19"/>
  <c r="N125" i="19"/>
  <c r="M125" i="19"/>
  <c r="O124" i="19"/>
  <c r="N124" i="19"/>
  <c r="M124" i="19"/>
  <c r="O123" i="19"/>
  <c r="N123" i="19"/>
  <c r="M123" i="19"/>
  <c r="O122" i="19"/>
  <c r="N122" i="19"/>
  <c r="M122" i="19"/>
  <c r="O121" i="19"/>
  <c r="N121" i="19"/>
  <c r="M121" i="19"/>
  <c r="O120" i="19"/>
  <c r="N120" i="19"/>
  <c r="M120" i="19"/>
  <c r="O119" i="19"/>
  <c r="N119" i="19"/>
  <c r="M119" i="19"/>
  <c r="O118" i="19"/>
  <c r="N118" i="19"/>
  <c r="M118" i="19"/>
  <c r="O117" i="19"/>
  <c r="N117" i="19"/>
  <c r="M117" i="19"/>
  <c r="O116" i="19"/>
  <c r="N116" i="19"/>
  <c r="M116" i="19"/>
  <c r="O115" i="19"/>
  <c r="N115" i="19"/>
  <c r="M115" i="19"/>
  <c r="O114" i="19"/>
  <c r="N114" i="19"/>
  <c r="M114" i="19"/>
  <c r="O113" i="19"/>
  <c r="N113" i="19"/>
  <c r="M113" i="19"/>
  <c r="O112" i="19"/>
  <c r="N112" i="19"/>
  <c r="M112" i="19"/>
  <c r="O111" i="19"/>
  <c r="N111" i="19"/>
  <c r="M111" i="19"/>
  <c r="O110" i="19"/>
  <c r="N110" i="19"/>
  <c r="M110" i="19"/>
  <c r="O109" i="19"/>
  <c r="N109" i="19"/>
  <c r="M109" i="19"/>
  <c r="O108" i="19"/>
  <c r="N108" i="19"/>
  <c r="M108" i="19"/>
  <c r="O107" i="19"/>
  <c r="N107" i="19"/>
  <c r="M107" i="19"/>
  <c r="O106" i="19"/>
  <c r="N106" i="19"/>
  <c r="M106" i="19"/>
  <c r="O105" i="19"/>
  <c r="N105" i="19"/>
  <c r="M105" i="19"/>
  <c r="O104" i="19"/>
  <c r="N104" i="19"/>
  <c r="M104" i="19"/>
  <c r="O103" i="19"/>
  <c r="N103" i="19"/>
  <c r="M103" i="19"/>
  <c r="O102" i="19"/>
  <c r="N102" i="19"/>
  <c r="M102" i="19"/>
  <c r="O101" i="19"/>
  <c r="N101" i="19"/>
  <c r="M101" i="19"/>
  <c r="O100" i="19"/>
  <c r="N100" i="19"/>
  <c r="M100" i="19"/>
  <c r="O99" i="19"/>
  <c r="N99" i="19"/>
  <c r="M99" i="19"/>
  <c r="O98" i="19"/>
  <c r="N98" i="19"/>
  <c r="M98" i="19"/>
  <c r="O97" i="19"/>
  <c r="N97" i="19"/>
  <c r="M97" i="19"/>
  <c r="O96" i="19"/>
  <c r="N96" i="19"/>
  <c r="M96" i="19"/>
  <c r="O95" i="19"/>
  <c r="N95" i="19"/>
  <c r="M95" i="19"/>
  <c r="O94" i="19"/>
  <c r="N94" i="19"/>
  <c r="M94" i="19"/>
  <c r="O93" i="19"/>
  <c r="N93" i="19"/>
  <c r="M93" i="19"/>
  <c r="O92" i="19"/>
  <c r="N92" i="19"/>
  <c r="M92" i="19"/>
  <c r="O91" i="19"/>
  <c r="N91" i="19"/>
  <c r="M91" i="19"/>
  <c r="O90" i="19"/>
  <c r="N90" i="19"/>
  <c r="M90" i="19"/>
  <c r="O89" i="19"/>
  <c r="N89" i="19"/>
  <c r="M89" i="19"/>
  <c r="O88" i="19"/>
  <c r="N88" i="19"/>
  <c r="M88" i="19"/>
  <c r="O87" i="19"/>
  <c r="N87" i="19"/>
  <c r="M87" i="19"/>
  <c r="O86" i="19"/>
  <c r="N86" i="19"/>
  <c r="M86" i="19"/>
  <c r="O85" i="19"/>
  <c r="N85" i="19"/>
  <c r="M85" i="19"/>
  <c r="O84" i="19"/>
  <c r="N84" i="19"/>
  <c r="M84" i="19"/>
  <c r="O83" i="19"/>
  <c r="N83" i="19"/>
  <c r="M83" i="19"/>
  <c r="O82" i="19"/>
  <c r="N82" i="19"/>
  <c r="M82" i="19"/>
  <c r="O81" i="19"/>
  <c r="N81" i="19"/>
  <c r="M81" i="19"/>
  <c r="O80" i="19"/>
  <c r="N80" i="19"/>
  <c r="M80" i="19"/>
  <c r="O79" i="19"/>
  <c r="N79" i="19"/>
  <c r="M79" i="19"/>
  <c r="O78" i="19"/>
  <c r="N78" i="19"/>
  <c r="M78" i="19"/>
  <c r="O77" i="19"/>
  <c r="N77" i="19"/>
  <c r="M77" i="19"/>
  <c r="O76" i="19"/>
  <c r="N76" i="19"/>
  <c r="M76" i="19"/>
  <c r="O75" i="19"/>
  <c r="N75" i="19"/>
  <c r="M75" i="19"/>
  <c r="O74" i="19"/>
  <c r="N74" i="19"/>
  <c r="M74" i="19"/>
  <c r="O73" i="19"/>
  <c r="N73" i="19"/>
  <c r="M73" i="19"/>
  <c r="O72" i="19"/>
  <c r="N72" i="19"/>
  <c r="M72" i="19"/>
  <c r="O71" i="19"/>
  <c r="N71" i="19"/>
  <c r="M71" i="19"/>
  <c r="O70" i="19"/>
  <c r="N70" i="19"/>
  <c r="M70" i="19"/>
  <c r="O69" i="19"/>
  <c r="N69" i="19"/>
  <c r="M69" i="19"/>
  <c r="O68" i="19"/>
  <c r="N68" i="19"/>
  <c r="M68" i="19"/>
  <c r="O67" i="19"/>
  <c r="N67" i="19"/>
  <c r="M67" i="19"/>
  <c r="O66" i="19"/>
  <c r="N66" i="19"/>
  <c r="M66" i="19"/>
  <c r="O65" i="19"/>
  <c r="N65" i="19"/>
  <c r="M65" i="19"/>
  <c r="O64" i="19"/>
  <c r="N64" i="19"/>
  <c r="M64" i="19"/>
  <c r="O63" i="19"/>
  <c r="N63" i="19"/>
  <c r="M63" i="19"/>
  <c r="O62" i="19"/>
  <c r="N62" i="19"/>
  <c r="M62" i="19"/>
  <c r="O61" i="19"/>
  <c r="N61" i="19"/>
  <c r="M61" i="19"/>
  <c r="O60" i="19"/>
  <c r="N60" i="19"/>
  <c r="M60" i="19"/>
  <c r="O59" i="19"/>
  <c r="N59" i="19"/>
  <c r="M59" i="19"/>
  <c r="O58" i="19"/>
  <c r="N58" i="19"/>
  <c r="M58" i="19"/>
  <c r="O57" i="19"/>
  <c r="N57" i="19"/>
  <c r="M57" i="19"/>
  <c r="O56" i="19"/>
  <c r="N56" i="19"/>
  <c r="M56" i="19"/>
  <c r="O55" i="19"/>
  <c r="N55" i="19"/>
  <c r="M55" i="19"/>
  <c r="O54" i="19"/>
  <c r="N54" i="19"/>
  <c r="M54" i="19"/>
  <c r="O53" i="19"/>
  <c r="N53" i="19"/>
  <c r="M53" i="19"/>
  <c r="O52" i="19"/>
  <c r="N52" i="19"/>
  <c r="M52" i="19"/>
  <c r="O51" i="19"/>
  <c r="N51" i="19"/>
  <c r="M51" i="19"/>
  <c r="O50" i="19"/>
  <c r="N50" i="19"/>
  <c r="M50" i="19"/>
  <c r="O49" i="19"/>
  <c r="N49" i="19"/>
  <c r="M49" i="19"/>
  <c r="O48" i="19"/>
  <c r="N48" i="19"/>
  <c r="M48" i="19"/>
  <c r="O47" i="19"/>
  <c r="N47" i="19"/>
  <c r="M47" i="19"/>
  <c r="O46" i="19"/>
  <c r="N46" i="19"/>
  <c r="M46" i="19"/>
  <c r="O45" i="19"/>
  <c r="N45" i="19"/>
  <c r="M45" i="19"/>
  <c r="O44" i="19"/>
  <c r="N44" i="19"/>
  <c r="M44" i="19"/>
  <c r="O43" i="19"/>
  <c r="N43" i="19"/>
  <c r="M43" i="19"/>
  <c r="O42" i="19"/>
  <c r="N42" i="19"/>
  <c r="M42" i="19"/>
  <c r="O41" i="19"/>
  <c r="N41" i="19"/>
  <c r="M41" i="19"/>
  <c r="O40" i="19"/>
  <c r="N40" i="19"/>
  <c r="M40" i="19"/>
  <c r="O39" i="19"/>
  <c r="N39" i="19"/>
  <c r="M39" i="19"/>
  <c r="O38" i="19"/>
  <c r="N38" i="19"/>
  <c r="M38" i="19"/>
  <c r="O37" i="19"/>
  <c r="N37" i="19"/>
  <c r="M37" i="19"/>
  <c r="O36" i="19"/>
  <c r="N36" i="19"/>
  <c r="M36" i="19"/>
  <c r="O35" i="19"/>
  <c r="N35" i="19"/>
  <c r="M35" i="19"/>
  <c r="O34" i="19"/>
  <c r="N34" i="19"/>
  <c r="M34" i="19"/>
  <c r="O33" i="19"/>
  <c r="N33" i="19"/>
  <c r="M33" i="19"/>
  <c r="O32" i="19"/>
  <c r="N32" i="19"/>
  <c r="M32" i="19"/>
  <c r="O31" i="19"/>
  <c r="N31" i="19"/>
  <c r="M31" i="19"/>
  <c r="O30" i="19"/>
  <c r="N30" i="19"/>
  <c r="M30" i="19"/>
  <c r="O29" i="19"/>
  <c r="N29" i="19"/>
  <c r="M29" i="19"/>
  <c r="O28" i="19"/>
  <c r="N28" i="19"/>
  <c r="M28" i="19"/>
  <c r="O27" i="19"/>
  <c r="N27" i="19"/>
  <c r="M27" i="19"/>
  <c r="O26" i="19"/>
  <c r="N26" i="19"/>
  <c r="M26" i="19"/>
  <c r="O25" i="19"/>
  <c r="N25" i="19"/>
  <c r="M25" i="19"/>
  <c r="O24" i="19"/>
  <c r="N24" i="19"/>
  <c r="M24" i="19"/>
  <c r="O23" i="19"/>
  <c r="N23" i="19"/>
  <c r="M23" i="19"/>
  <c r="O22" i="19"/>
  <c r="N22" i="19"/>
  <c r="M22" i="19"/>
  <c r="O21" i="19"/>
  <c r="N21" i="19"/>
  <c r="M21" i="19"/>
  <c r="O20" i="19"/>
  <c r="N20" i="19"/>
  <c r="M20" i="19"/>
  <c r="O19" i="19"/>
  <c r="N19" i="19"/>
  <c r="M19" i="19"/>
  <c r="O18" i="19"/>
  <c r="N18" i="19"/>
  <c r="M18" i="19"/>
  <c r="O17" i="19"/>
  <c r="N17" i="19"/>
  <c r="M17" i="19"/>
  <c r="O16" i="19"/>
  <c r="N16" i="19"/>
  <c r="M16" i="19"/>
  <c r="O15" i="19"/>
  <c r="N15" i="19"/>
  <c r="M15" i="19"/>
  <c r="O14" i="19"/>
  <c r="N14" i="19"/>
  <c r="M14" i="19"/>
  <c r="O13" i="19"/>
  <c r="N13" i="19"/>
  <c r="M13" i="19"/>
  <c r="O12" i="19"/>
  <c r="N12" i="19"/>
  <c r="M12" i="19"/>
  <c r="O11" i="19"/>
  <c r="N11" i="19"/>
  <c r="M11" i="19"/>
  <c r="E7" i="19"/>
  <c r="D7" i="19"/>
  <c r="E5" i="19"/>
  <c r="D5" i="19"/>
  <c r="E4" i="19"/>
  <c r="D4" i="19"/>
  <c r="F4" i="19" s="1"/>
  <c r="E3" i="19"/>
  <c r="D3" i="19"/>
  <c r="F3" i="19" s="1"/>
  <c r="B503" i="18"/>
  <c r="B502" i="18"/>
  <c r="B501" i="18"/>
  <c r="B500" i="18"/>
  <c r="B499" i="18"/>
  <c r="B498" i="18"/>
  <c r="B497" i="18"/>
  <c r="B496" i="18"/>
  <c r="B495" i="18"/>
  <c r="B494" i="18"/>
  <c r="B493" i="18"/>
  <c r="B492" i="18"/>
  <c r="B491" i="18"/>
  <c r="B490" i="18"/>
  <c r="B489" i="18"/>
  <c r="B488" i="18"/>
  <c r="B487" i="18"/>
  <c r="B486" i="18"/>
  <c r="B485" i="18"/>
  <c r="B484" i="18"/>
  <c r="B483" i="18"/>
  <c r="B482" i="18"/>
  <c r="B481" i="18"/>
  <c r="B480" i="18"/>
  <c r="B479" i="18"/>
  <c r="B478" i="18"/>
  <c r="B477" i="18"/>
  <c r="B476" i="18"/>
  <c r="B475" i="18"/>
  <c r="B474" i="18"/>
  <c r="B473" i="18"/>
  <c r="B472" i="18"/>
  <c r="B471" i="18"/>
  <c r="B470" i="18"/>
  <c r="B469" i="18"/>
  <c r="B468" i="18"/>
  <c r="B467" i="18"/>
  <c r="B466" i="18"/>
  <c r="B465" i="18"/>
  <c r="B464" i="18"/>
  <c r="B463" i="18"/>
  <c r="B462" i="18"/>
  <c r="B461" i="18"/>
  <c r="B460" i="18"/>
  <c r="B459" i="18"/>
  <c r="B458" i="18"/>
  <c r="B457" i="18"/>
  <c r="B456" i="18"/>
  <c r="B455" i="18"/>
  <c r="B454" i="18"/>
  <c r="B453" i="18"/>
  <c r="B452" i="18"/>
  <c r="B451" i="18"/>
  <c r="B450" i="18"/>
  <c r="B449" i="18"/>
  <c r="B448" i="18"/>
  <c r="B447" i="18"/>
  <c r="B446" i="18"/>
  <c r="B445" i="18"/>
  <c r="B444" i="18"/>
  <c r="B443" i="18"/>
  <c r="B442" i="18"/>
  <c r="B441" i="18"/>
  <c r="B440" i="18"/>
  <c r="B439" i="18"/>
  <c r="B438" i="18"/>
  <c r="B437" i="18"/>
  <c r="B436" i="18"/>
  <c r="B435" i="18"/>
  <c r="B434" i="18"/>
  <c r="B433" i="18"/>
  <c r="B432" i="18"/>
  <c r="B431" i="18"/>
  <c r="B430" i="18"/>
  <c r="B429" i="18"/>
  <c r="B428" i="18"/>
  <c r="B427" i="18"/>
  <c r="B426" i="18"/>
  <c r="B425" i="18"/>
  <c r="B424" i="18"/>
  <c r="B423" i="18"/>
  <c r="B422" i="18"/>
  <c r="B421" i="18"/>
  <c r="B420" i="18"/>
  <c r="B419" i="18"/>
  <c r="B418" i="18"/>
  <c r="B417" i="18"/>
  <c r="B416" i="18"/>
  <c r="B415" i="18"/>
  <c r="B414" i="18"/>
  <c r="B413" i="18"/>
  <c r="B412" i="18"/>
  <c r="B411" i="18"/>
  <c r="B410" i="18"/>
  <c r="B409" i="18"/>
  <c r="B408" i="18"/>
  <c r="B407" i="18"/>
  <c r="B406" i="18"/>
  <c r="B405" i="18"/>
  <c r="B404" i="18"/>
  <c r="B403" i="18"/>
  <c r="B402" i="18"/>
  <c r="B401" i="18"/>
  <c r="B400" i="18"/>
  <c r="B399" i="18"/>
  <c r="B398" i="18"/>
  <c r="B397" i="18"/>
  <c r="B396" i="18"/>
  <c r="B395" i="18"/>
  <c r="B394" i="18"/>
  <c r="B393" i="18"/>
  <c r="B392" i="18"/>
  <c r="B391" i="18"/>
  <c r="B390" i="18"/>
  <c r="B389" i="18"/>
  <c r="B388" i="18"/>
  <c r="B387" i="18"/>
  <c r="B386" i="18"/>
  <c r="B385" i="18"/>
  <c r="B384" i="18"/>
  <c r="B383" i="18"/>
  <c r="B382" i="18"/>
  <c r="B381" i="18"/>
  <c r="B380" i="18"/>
  <c r="B379" i="18"/>
  <c r="B378" i="18"/>
  <c r="B377" i="18"/>
  <c r="B376" i="18"/>
  <c r="B375" i="18"/>
  <c r="B374" i="18"/>
  <c r="B373" i="18"/>
  <c r="B372" i="18"/>
  <c r="B371" i="18"/>
  <c r="B370" i="18"/>
  <c r="B369" i="18"/>
  <c r="B368" i="18"/>
  <c r="B367" i="18"/>
  <c r="B366" i="18"/>
  <c r="B365" i="18"/>
  <c r="B364" i="18"/>
  <c r="B363" i="18"/>
  <c r="B362" i="18"/>
  <c r="B361" i="18"/>
  <c r="B360" i="18"/>
  <c r="B359" i="18"/>
  <c r="B358" i="18"/>
  <c r="B357" i="18"/>
  <c r="B356" i="18"/>
  <c r="B355" i="18"/>
  <c r="B354" i="18"/>
  <c r="B353" i="18"/>
  <c r="B352" i="18"/>
  <c r="B351" i="18"/>
  <c r="B350" i="18"/>
  <c r="B349" i="18"/>
  <c r="B348" i="18"/>
  <c r="B347" i="18"/>
  <c r="B346" i="18"/>
  <c r="B345" i="18"/>
  <c r="B344" i="18"/>
  <c r="B343" i="18"/>
  <c r="B342" i="18"/>
  <c r="B341" i="18"/>
  <c r="B340" i="18"/>
  <c r="B339" i="18"/>
  <c r="B338" i="18"/>
  <c r="B337" i="18"/>
  <c r="B336" i="18"/>
  <c r="B335" i="18"/>
  <c r="B334" i="18"/>
  <c r="B333" i="18"/>
  <c r="B332" i="18"/>
  <c r="B331" i="18"/>
  <c r="B330" i="18"/>
  <c r="B329" i="18"/>
  <c r="B328" i="18"/>
  <c r="B327" i="18"/>
  <c r="B326" i="18"/>
  <c r="B325" i="18"/>
  <c r="B324" i="18"/>
  <c r="B323" i="18"/>
  <c r="B322" i="18"/>
  <c r="B321" i="18"/>
  <c r="B320" i="18"/>
  <c r="B319" i="18"/>
  <c r="B318" i="18"/>
  <c r="B317" i="18"/>
  <c r="B316" i="18"/>
  <c r="B315" i="18"/>
  <c r="B314" i="18"/>
  <c r="B313" i="18"/>
  <c r="B312" i="18"/>
  <c r="B311" i="18"/>
  <c r="B310" i="18"/>
  <c r="B309" i="18"/>
  <c r="B308" i="18"/>
  <c r="B307" i="18"/>
  <c r="B306" i="18"/>
  <c r="B305" i="18"/>
  <c r="B304" i="18"/>
  <c r="B303" i="18"/>
  <c r="B302" i="18"/>
  <c r="B301" i="18"/>
  <c r="B300" i="18"/>
  <c r="B299" i="18"/>
  <c r="B298" i="18"/>
  <c r="B297" i="18"/>
  <c r="B296" i="18"/>
  <c r="B295" i="18"/>
  <c r="B294" i="18"/>
  <c r="B293" i="18"/>
  <c r="B292" i="18"/>
  <c r="B291" i="18"/>
  <c r="B290" i="18"/>
  <c r="B289" i="18"/>
  <c r="B288" i="18"/>
  <c r="B287" i="18"/>
  <c r="B286" i="18"/>
  <c r="B285" i="18"/>
  <c r="B284" i="18"/>
  <c r="B283" i="18"/>
  <c r="B282" i="18"/>
  <c r="B281" i="18"/>
  <c r="B280" i="18"/>
  <c r="B279" i="18"/>
  <c r="B278" i="18"/>
  <c r="B277" i="18"/>
  <c r="B276" i="18"/>
  <c r="B275" i="18"/>
  <c r="B274" i="18"/>
  <c r="B273" i="18"/>
  <c r="B272" i="18"/>
  <c r="B271" i="18"/>
  <c r="B270" i="18"/>
  <c r="B269" i="18"/>
  <c r="B268" i="18"/>
  <c r="B267" i="18"/>
  <c r="B266" i="18"/>
  <c r="B265" i="18"/>
  <c r="B264" i="18"/>
  <c r="B263" i="18"/>
  <c r="B262" i="18"/>
  <c r="B261" i="18"/>
  <c r="B260" i="18"/>
  <c r="B259" i="18"/>
  <c r="B258" i="18"/>
  <c r="B257" i="18"/>
  <c r="B256" i="18"/>
  <c r="B255" i="18"/>
  <c r="B254" i="18"/>
  <c r="B253" i="18"/>
  <c r="B252" i="18"/>
  <c r="B251" i="18"/>
  <c r="B250" i="18"/>
  <c r="B249" i="18"/>
  <c r="B248" i="18"/>
  <c r="B247" i="18"/>
  <c r="B246" i="18"/>
  <c r="B245" i="18"/>
  <c r="B244" i="18"/>
  <c r="B243" i="18"/>
  <c r="B242" i="18"/>
  <c r="B241" i="18"/>
  <c r="B240" i="18"/>
  <c r="B239" i="18"/>
  <c r="B238" i="18"/>
  <c r="B237" i="18"/>
  <c r="B236" i="18"/>
  <c r="B235" i="18"/>
  <c r="B234" i="18"/>
  <c r="B233" i="18"/>
  <c r="B232" i="18"/>
  <c r="B231" i="18"/>
  <c r="B230" i="18"/>
  <c r="B229" i="18"/>
  <c r="B228" i="18"/>
  <c r="B227" i="18"/>
  <c r="B226" i="18"/>
  <c r="B225" i="18"/>
  <c r="B224" i="18"/>
  <c r="B223" i="18"/>
  <c r="B222" i="18"/>
  <c r="B221" i="18"/>
  <c r="B220" i="18"/>
  <c r="B219" i="18"/>
  <c r="B218" i="18"/>
  <c r="B217" i="18"/>
  <c r="B216" i="18"/>
  <c r="B215" i="18"/>
  <c r="B214" i="18"/>
  <c r="B213" i="18"/>
  <c r="B212" i="18"/>
  <c r="B211" i="18"/>
  <c r="B210" i="18"/>
  <c r="B209" i="18"/>
  <c r="B208" i="18"/>
  <c r="B207" i="18"/>
  <c r="B206" i="18"/>
  <c r="B205" i="18"/>
  <c r="B204" i="18"/>
  <c r="B203" i="18"/>
  <c r="B202" i="18"/>
  <c r="B201" i="18"/>
  <c r="B200" i="18"/>
  <c r="B199" i="18"/>
  <c r="B198" i="18"/>
  <c r="B197" i="18"/>
  <c r="B196" i="18"/>
  <c r="B195" i="18"/>
  <c r="B194" i="18"/>
  <c r="B193" i="18"/>
  <c r="B192" i="18"/>
  <c r="B191" i="18"/>
  <c r="B190" i="18"/>
  <c r="B189" i="18"/>
  <c r="B188" i="18"/>
  <c r="B187" i="18"/>
  <c r="B186" i="18"/>
  <c r="B185" i="18"/>
  <c r="B184" i="18"/>
  <c r="B183" i="18"/>
  <c r="B182" i="18"/>
  <c r="B181" i="18"/>
  <c r="B180" i="18"/>
  <c r="B179" i="18"/>
  <c r="B178" i="18"/>
  <c r="B177" i="18"/>
  <c r="B176" i="18"/>
  <c r="B175" i="18"/>
  <c r="B174" i="18"/>
  <c r="B173" i="18"/>
  <c r="B172" i="18"/>
  <c r="B171" i="18"/>
  <c r="B170" i="18"/>
  <c r="B169" i="18"/>
  <c r="B168" i="18"/>
  <c r="B167" i="18"/>
  <c r="B166" i="18"/>
  <c r="B165" i="18"/>
  <c r="B164" i="18"/>
  <c r="B163" i="18"/>
  <c r="B162" i="18"/>
  <c r="B161" i="18"/>
  <c r="B160" i="18"/>
  <c r="B159" i="18"/>
  <c r="B158" i="18"/>
  <c r="B157" i="18"/>
  <c r="B156" i="18"/>
  <c r="B155" i="18"/>
  <c r="B154" i="18"/>
  <c r="B153" i="18"/>
  <c r="B152" i="18"/>
  <c r="B151" i="18"/>
  <c r="B150" i="18"/>
  <c r="B149" i="18"/>
  <c r="B148" i="18"/>
  <c r="B147" i="18"/>
  <c r="B146" i="18"/>
  <c r="B145" i="18"/>
  <c r="B144" i="18"/>
  <c r="B143" i="18"/>
  <c r="B142" i="18"/>
  <c r="B141" i="18"/>
  <c r="B140" i="18"/>
  <c r="B139" i="18"/>
  <c r="B138" i="18"/>
  <c r="B137" i="18"/>
  <c r="B136" i="18"/>
  <c r="B135" i="18"/>
  <c r="B134" i="18"/>
  <c r="B133" i="18"/>
  <c r="B132" i="18"/>
  <c r="B131" i="18"/>
  <c r="B130" i="18"/>
  <c r="B129" i="18"/>
  <c r="B128" i="18"/>
  <c r="B127" i="18"/>
  <c r="B126" i="18"/>
  <c r="B125" i="18"/>
  <c r="B124" i="18"/>
  <c r="B123" i="18"/>
  <c r="B122" i="18"/>
  <c r="B121" i="18"/>
  <c r="B120" i="18"/>
  <c r="B119" i="18"/>
  <c r="B118" i="18"/>
  <c r="B117" i="18"/>
  <c r="B116" i="18"/>
  <c r="B115" i="18"/>
  <c r="B114" i="18"/>
  <c r="B113" i="18"/>
  <c r="B112" i="18"/>
  <c r="B111" i="18"/>
  <c r="B110" i="18"/>
  <c r="B109" i="18"/>
  <c r="B108" i="18"/>
  <c r="B107" i="18"/>
  <c r="B106" i="18"/>
  <c r="B105" i="18"/>
  <c r="B104" i="18"/>
  <c r="B103" i="18"/>
  <c r="B102" i="18"/>
  <c r="B101" i="18"/>
  <c r="B100" i="18"/>
  <c r="B99" i="18"/>
  <c r="B98" i="18"/>
  <c r="B97" i="18"/>
  <c r="B96" i="18"/>
  <c r="B95" i="18"/>
  <c r="B94" i="18"/>
  <c r="B93" i="18"/>
  <c r="B92" i="18"/>
  <c r="B91" i="18"/>
  <c r="B90" i="18"/>
  <c r="B89" i="18"/>
  <c r="B88" i="18"/>
  <c r="B87" i="18"/>
  <c r="B86" i="18"/>
  <c r="B85" i="18"/>
  <c r="B84" i="18"/>
  <c r="B83" i="18"/>
  <c r="B82" i="18"/>
  <c r="B81" i="18"/>
  <c r="B80" i="18"/>
  <c r="B79" i="18"/>
  <c r="B78" i="18"/>
  <c r="B77" i="18"/>
  <c r="B76" i="18"/>
  <c r="B75" i="18"/>
  <c r="B74" i="18"/>
  <c r="B73" i="18"/>
  <c r="B72" i="18"/>
  <c r="B71" i="18"/>
  <c r="B70" i="18"/>
  <c r="B69" i="18"/>
  <c r="B68" i="18"/>
  <c r="B67" i="18"/>
  <c r="B66" i="18"/>
  <c r="B65" i="18"/>
  <c r="B64" i="18"/>
  <c r="B63" i="18"/>
  <c r="B62" i="18"/>
  <c r="B61" i="18"/>
  <c r="B60" i="18"/>
  <c r="B59" i="18"/>
  <c r="B58" i="18"/>
  <c r="B57" i="18"/>
  <c r="B56" i="18"/>
  <c r="B55" i="18"/>
  <c r="B54" i="18"/>
  <c r="B53" i="18"/>
  <c r="B52" i="18"/>
  <c r="B51" i="18"/>
  <c r="B50" i="18"/>
  <c r="B49" i="18"/>
  <c r="B48" i="18"/>
  <c r="B47" i="18"/>
  <c r="B46" i="18"/>
  <c r="B45" i="18"/>
  <c r="B44" i="18"/>
  <c r="B43" i="18"/>
  <c r="B42" i="18"/>
  <c r="B41" i="18"/>
  <c r="B40" i="18"/>
  <c r="B39" i="18"/>
  <c r="B38" i="18"/>
  <c r="B37" i="18"/>
  <c r="B36" i="18"/>
  <c r="B35" i="18"/>
  <c r="B34" i="18"/>
  <c r="B33" i="18"/>
  <c r="B32" i="18"/>
  <c r="B31" i="18"/>
  <c r="B30" i="18"/>
  <c r="B29" i="18"/>
  <c r="B28" i="18"/>
  <c r="B27" i="18"/>
  <c r="B26" i="18"/>
  <c r="B25" i="18"/>
  <c r="B24" i="18"/>
  <c r="B23" i="18"/>
  <c r="B22" i="18"/>
  <c r="B21" i="18"/>
  <c r="B20" i="18"/>
  <c r="B19" i="18"/>
  <c r="B18" i="18"/>
  <c r="B17" i="18"/>
  <c r="B16" i="18"/>
  <c r="B15" i="18"/>
  <c r="B14" i="18"/>
  <c r="B13" i="18"/>
  <c r="B12" i="18"/>
  <c r="B11" i="18"/>
  <c r="B10" i="18"/>
  <c r="B9" i="18"/>
  <c r="B8" i="18"/>
  <c r="B7" i="18"/>
  <c r="B6" i="18"/>
  <c r="B5" i="18"/>
  <c r="B4" i="18"/>
  <c r="F3" i="18"/>
  <c r="D2" i="18"/>
  <c r="N61" i="17"/>
  <c r="N59" i="17"/>
  <c r="N57" i="17"/>
  <c r="N55" i="17"/>
  <c r="N53" i="17"/>
  <c r="N51" i="17"/>
  <c r="N49" i="17"/>
  <c r="N47" i="17"/>
  <c r="N45" i="17"/>
  <c r="N43" i="17"/>
  <c r="N41" i="17"/>
  <c r="N39" i="17"/>
  <c r="N37" i="17"/>
  <c r="N35" i="17"/>
  <c r="N33" i="17"/>
  <c r="N31" i="17"/>
  <c r="B26" i="17"/>
  <c r="B27" i="17" s="1"/>
  <c r="C24" i="17"/>
  <c r="B24" i="17"/>
  <c r="J15" i="17"/>
  <c r="K15" i="17" s="1"/>
  <c r="H15" i="17"/>
  <c r="J14" i="17"/>
  <c r="K14" i="17" s="1"/>
  <c r="H14" i="17"/>
  <c r="D10" i="17"/>
  <c r="C10" i="17"/>
  <c r="E10" i="17" s="1"/>
  <c r="E6" i="17"/>
  <c r="E15" i="17" s="1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C44" i="16"/>
  <c r="B44" i="16"/>
  <c r="C43" i="16"/>
  <c r="B43" i="16"/>
  <c r="C42" i="16"/>
  <c r="B42" i="16"/>
  <c r="C41" i="16"/>
  <c r="B41" i="16"/>
  <c r="C40" i="16"/>
  <c r="B40" i="16"/>
  <c r="C39" i="16"/>
  <c r="B39" i="16"/>
  <c r="C38" i="16"/>
  <c r="B38" i="16"/>
  <c r="C37" i="16"/>
  <c r="B37" i="16"/>
  <c r="C36" i="16"/>
  <c r="B36" i="16"/>
  <c r="C35" i="16"/>
  <c r="B35" i="16"/>
  <c r="C34" i="16"/>
  <c r="B34" i="16"/>
  <c r="C33" i="16"/>
  <c r="B33" i="16"/>
  <c r="C32" i="16"/>
  <c r="B32" i="16"/>
  <c r="C31" i="16"/>
  <c r="B31" i="16"/>
  <c r="C30" i="16"/>
  <c r="B30" i="16"/>
  <c r="E24" i="16"/>
  <c r="D24" i="16"/>
  <c r="C24" i="16"/>
  <c r="B24" i="16"/>
  <c r="E23" i="16"/>
  <c r="D23" i="16"/>
  <c r="C23" i="16"/>
  <c r="B23" i="16"/>
  <c r="E22" i="16"/>
  <c r="D22" i="16"/>
  <c r="C22" i="16"/>
  <c r="B22" i="16"/>
  <c r="E21" i="16"/>
  <c r="D21" i="16"/>
  <c r="C21" i="16"/>
  <c r="B21" i="16"/>
  <c r="E20" i="16"/>
  <c r="D20" i="16"/>
  <c r="C20" i="16"/>
  <c r="B20" i="16"/>
  <c r="E19" i="16"/>
  <c r="D19" i="16"/>
  <c r="C19" i="16"/>
  <c r="B19" i="16"/>
  <c r="E18" i="16"/>
  <c r="D18" i="16"/>
  <c r="C18" i="16"/>
  <c r="B18" i="16"/>
  <c r="E17" i="16"/>
  <c r="D17" i="16"/>
  <c r="C17" i="16"/>
  <c r="B17" i="16"/>
  <c r="E16" i="16"/>
  <c r="D16" i="16"/>
  <c r="C16" i="16"/>
  <c r="B16" i="16"/>
  <c r="E15" i="16"/>
  <c r="D15" i="16"/>
  <c r="C15" i="16"/>
  <c r="B15" i="16"/>
  <c r="E10" i="16"/>
  <c r="D10" i="16"/>
  <c r="C10" i="16"/>
  <c r="B10" i="16"/>
  <c r="B33" i="15"/>
  <c r="B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H14" i="15"/>
  <c r="C14" i="15"/>
  <c r="H13" i="15"/>
  <c r="C13" i="15"/>
  <c r="H12" i="15"/>
  <c r="C12" i="15"/>
  <c r="H11" i="15"/>
  <c r="C11" i="15"/>
  <c r="H10" i="15"/>
  <c r="C10" i="15"/>
  <c r="H9" i="15"/>
  <c r="C9" i="15"/>
  <c r="H8" i="15"/>
  <c r="C8" i="15"/>
  <c r="H7" i="15"/>
  <c r="C7" i="15"/>
  <c r="H6" i="15"/>
  <c r="C6" i="15"/>
  <c r="H5" i="15"/>
  <c r="C5" i="15"/>
  <c r="H4" i="15"/>
  <c r="C4" i="15"/>
  <c r="H3" i="15"/>
  <c r="C3" i="15"/>
  <c r="C2" i="15"/>
  <c r="C33" i="15" s="1"/>
  <c r="H29" i="23" l="1"/>
  <c r="H32" i="23" a="1"/>
  <c r="H32" i="23" s="1"/>
  <c r="K26" i="23"/>
  <c r="K28" i="23" s="1"/>
  <c r="I32" i="23" a="1"/>
  <c r="I32" i="23" s="1"/>
  <c r="I29" i="23"/>
  <c r="J29" i="23"/>
  <c r="J32" i="23" a="1"/>
  <c r="J32" i="23" s="1"/>
  <c r="A38" i="23"/>
  <c r="B39" i="23"/>
  <c r="C40" i="23"/>
  <c r="A42" i="23"/>
  <c r="B38" i="23"/>
  <c r="C39" i="23"/>
  <c r="A41" i="23"/>
  <c r="B42" i="23"/>
  <c r="A39" i="23"/>
  <c r="B40" i="23"/>
  <c r="C41" i="23"/>
  <c r="C38" i="23"/>
  <c r="A40" i="23"/>
  <c r="B41" i="23"/>
  <c r="O13" i="21"/>
  <c r="R16" i="21"/>
  <c r="E14" i="19"/>
  <c r="E56" i="19"/>
  <c r="C16" i="19"/>
  <c r="P16" i="19" s="1"/>
  <c r="N5" i="21"/>
  <c r="O5" i="21" s="1"/>
  <c r="N7" i="21"/>
  <c r="O7" i="21" s="1"/>
  <c r="N9" i="21"/>
  <c r="O9" i="21" s="1"/>
  <c r="N11" i="21"/>
  <c r="O11" i="21" s="1"/>
  <c r="D10" i="20"/>
  <c r="D14" i="20"/>
  <c r="D18" i="20"/>
  <c r="D22" i="20"/>
  <c r="C8" i="18"/>
  <c r="D9" i="20"/>
  <c r="D15" i="20"/>
  <c r="D19" i="20"/>
  <c r="D11" i="19"/>
  <c r="E12" i="19"/>
  <c r="C14" i="19"/>
  <c r="P14" i="19" s="1"/>
  <c r="C22" i="19"/>
  <c r="P22" i="19" s="1"/>
  <c r="C26" i="19"/>
  <c r="P26" i="19" s="1"/>
  <c r="C30" i="19"/>
  <c r="P30" i="19" s="1"/>
  <c r="D31" i="19"/>
  <c r="C34" i="19"/>
  <c r="P34" i="19" s="1"/>
  <c r="D35" i="19"/>
  <c r="C38" i="19"/>
  <c r="P38" i="19" s="1"/>
  <c r="D39" i="19"/>
  <c r="C42" i="19"/>
  <c r="P42" i="19" s="1"/>
  <c r="D43" i="19"/>
  <c r="C46" i="19"/>
  <c r="P46" i="19" s="1"/>
  <c r="D47" i="19"/>
  <c r="D12" i="20"/>
  <c r="D16" i="20"/>
  <c r="D20" i="20"/>
  <c r="B24" i="20"/>
  <c r="B25" i="20" s="1"/>
  <c r="C5" i="18"/>
  <c r="D14" i="19"/>
  <c r="E15" i="19"/>
  <c r="E23" i="19"/>
  <c r="E27" i="19"/>
  <c r="E31" i="19"/>
  <c r="E35" i="19"/>
  <c r="E39" i="19"/>
  <c r="E43" i="19"/>
  <c r="E47" i="19"/>
  <c r="D50" i="19"/>
  <c r="E51" i="19"/>
  <c r="C53" i="19"/>
  <c r="P53" i="19" s="1"/>
  <c r="D54" i="19"/>
  <c r="C57" i="19"/>
  <c r="P57" i="19" s="1"/>
  <c r="D8" i="20"/>
  <c r="G9" i="20" s="1"/>
  <c r="G10" i="20" s="1"/>
  <c r="D11" i="20"/>
  <c r="D13" i="20"/>
  <c r="D17" i="20"/>
  <c r="D189" i="19"/>
  <c r="D185" i="19"/>
  <c r="D181" i="19"/>
  <c r="D177" i="19"/>
  <c r="D173" i="19"/>
  <c r="D169" i="19"/>
  <c r="D165" i="19"/>
  <c r="D161" i="19"/>
  <c r="D157" i="19"/>
  <c r="D210" i="19"/>
  <c r="D207" i="19"/>
  <c r="D203" i="19"/>
  <c r="D199" i="19"/>
  <c r="D195" i="19"/>
  <c r="D191" i="19"/>
  <c r="D187" i="19"/>
  <c r="D183" i="19"/>
  <c r="D179" i="19"/>
  <c r="D175" i="19"/>
  <c r="D200" i="19"/>
  <c r="D196" i="19"/>
  <c r="D192" i="19"/>
  <c r="D188" i="19"/>
  <c r="D184" i="19"/>
  <c r="D180" i="19"/>
  <c r="D176" i="19"/>
  <c r="D172" i="19"/>
  <c r="D168" i="19"/>
  <c r="D164" i="19"/>
  <c r="D160" i="19"/>
  <c r="D159" i="19"/>
  <c r="D156" i="19"/>
  <c r="D155" i="19"/>
  <c r="D151" i="19"/>
  <c r="D171" i="19"/>
  <c r="D167" i="19"/>
  <c r="D163" i="19"/>
  <c r="D153" i="19"/>
  <c r="D149" i="19"/>
  <c r="D145" i="19"/>
  <c r="D141" i="19"/>
  <c r="D137" i="19"/>
  <c r="D147" i="19"/>
  <c r="D143" i="19"/>
  <c r="D139" i="19"/>
  <c r="D135" i="19"/>
  <c r="D129" i="19"/>
  <c r="D127" i="19"/>
  <c r="D120" i="19"/>
  <c r="D116" i="19"/>
  <c r="D112" i="19"/>
  <c r="D108" i="19"/>
  <c r="D104" i="19"/>
  <c r="D100" i="19"/>
  <c r="D96" i="19"/>
  <c r="D92" i="19"/>
  <c r="D88" i="19"/>
  <c r="D84" i="19"/>
  <c r="D82" i="19"/>
  <c r="D107" i="19"/>
  <c r="D103" i="19"/>
  <c r="D99" i="19"/>
  <c r="D95" i="19"/>
  <c r="D91" i="19"/>
  <c r="D87" i="19"/>
  <c r="D83" i="19"/>
  <c r="D79" i="19"/>
  <c r="D75" i="19"/>
  <c r="D71" i="19"/>
  <c r="D67" i="19"/>
  <c r="D63" i="19"/>
  <c r="D59" i="19"/>
  <c r="D133" i="19"/>
  <c r="D131" i="19"/>
  <c r="D125" i="19"/>
  <c r="D121" i="19"/>
  <c r="D117" i="19"/>
  <c r="D113" i="19"/>
  <c r="D109" i="19"/>
  <c r="D105" i="19"/>
  <c r="D101" i="19"/>
  <c r="D97" i="19"/>
  <c r="D93" i="19"/>
  <c r="D89" i="19"/>
  <c r="D85" i="19"/>
  <c r="D80" i="19"/>
  <c r="D76" i="19"/>
  <c r="D72" i="19"/>
  <c r="D68" i="19"/>
  <c r="D64" i="19"/>
  <c r="D60" i="19"/>
  <c r="D56" i="19"/>
  <c r="D52" i="19"/>
  <c r="E11" i="19"/>
  <c r="C192" i="19"/>
  <c r="P192" i="19" s="1"/>
  <c r="C188" i="19"/>
  <c r="P188" i="19" s="1"/>
  <c r="C184" i="19"/>
  <c r="P184" i="19" s="1"/>
  <c r="C180" i="19"/>
  <c r="P180" i="19" s="1"/>
  <c r="C176" i="19"/>
  <c r="P176" i="19" s="1"/>
  <c r="C172" i="19"/>
  <c r="P172" i="19" s="1"/>
  <c r="C168" i="19"/>
  <c r="P168" i="19" s="1"/>
  <c r="C164" i="19"/>
  <c r="P164" i="19" s="1"/>
  <c r="C160" i="19"/>
  <c r="P160" i="19" s="1"/>
  <c r="C156" i="19"/>
  <c r="P156" i="19" s="1"/>
  <c r="C210" i="19"/>
  <c r="P210" i="19" s="1"/>
  <c r="C206" i="19"/>
  <c r="P206" i="19" s="1"/>
  <c r="C202" i="19"/>
  <c r="P202" i="19" s="1"/>
  <c r="C198" i="19"/>
  <c r="P198" i="19" s="1"/>
  <c r="C194" i="19"/>
  <c r="P194" i="19" s="1"/>
  <c r="C190" i="19"/>
  <c r="P190" i="19" s="1"/>
  <c r="C186" i="19"/>
  <c r="P186" i="19" s="1"/>
  <c r="C182" i="19"/>
  <c r="P182" i="19" s="1"/>
  <c r="C178" i="19"/>
  <c r="P178" i="19" s="1"/>
  <c r="C174" i="19"/>
  <c r="P174" i="19" s="1"/>
  <c r="C203" i="19"/>
  <c r="P203" i="19" s="1"/>
  <c r="C199" i="19"/>
  <c r="P199" i="19" s="1"/>
  <c r="C195" i="19"/>
  <c r="P195" i="19" s="1"/>
  <c r="C191" i="19"/>
  <c r="P191" i="19" s="1"/>
  <c r="C187" i="19"/>
  <c r="P187" i="19" s="1"/>
  <c r="C183" i="19"/>
  <c r="P183" i="19" s="1"/>
  <c r="C179" i="19"/>
  <c r="P179" i="19" s="1"/>
  <c r="C175" i="19"/>
  <c r="P175" i="19" s="1"/>
  <c r="C171" i="19"/>
  <c r="P171" i="19" s="1"/>
  <c r="C167" i="19"/>
  <c r="P167" i="19" s="1"/>
  <c r="C163" i="19"/>
  <c r="P163" i="19" s="1"/>
  <c r="C152" i="19"/>
  <c r="P152" i="19" s="1"/>
  <c r="C148" i="19"/>
  <c r="P148" i="19" s="1"/>
  <c r="C170" i="19"/>
  <c r="P170" i="19" s="1"/>
  <c r="C166" i="19"/>
  <c r="P166" i="19" s="1"/>
  <c r="C162" i="19"/>
  <c r="P162" i="19" s="1"/>
  <c r="C159" i="19"/>
  <c r="P159" i="19" s="1"/>
  <c r="C155" i="19"/>
  <c r="P155" i="19" s="1"/>
  <c r="C151" i="19"/>
  <c r="P151" i="19" s="1"/>
  <c r="C147" i="19"/>
  <c r="P147" i="19" s="1"/>
  <c r="C143" i="19"/>
  <c r="P143" i="19" s="1"/>
  <c r="C139" i="19"/>
  <c r="P139" i="19" s="1"/>
  <c r="C144" i="19"/>
  <c r="P144" i="19" s="1"/>
  <c r="C140" i="19"/>
  <c r="P140" i="19" s="1"/>
  <c r="C136" i="19"/>
  <c r="P136" i="19" s="1"/>
  <c r="C128" i="19"/>
  <c r="P128" i="19" s="1"/>
  <c r="C118" i="19"/>
  <c r="P118" i="19" s="1"/>
  <c r="C114" i="19"/>
  <c r="P114" i="19" s="1"/>
  <c r="C110" i="19"/>
  <c r="P110" i="19" s="1"/>
  <c r="C106" i="19"/>
  <c r="P106" i="19" s="1"/>
  <c r="C102" i="19"/>
  <c r="P102" i="19" s="1"/>
  <c r="C98" i="19"/>
  <c r="P98" i="19" s="1"/>
  <c r="C94" i="19"/>
  <c r="P94" i="19" s="1"/>
  <c r="C90" i="19"/>
  <c r="P90" i="19" s="1"/>
  <c r="C86" i="19"/>
  <c r="P86" i="19" s="1"/>
  <c r="C81" i="19"/>
  <c r="P81" i="19" s="1"/>
  <c r="C135" i="19"/>
  <c r="P135" i="19" s="1"/>
  <c r="C127" i="19"/>
  <c r="P127" i="19" s="1"/>
  <c r="C120" i="19"/>
  <c r="P120" i="19" s="1"/>
  <c r="C116" i="19"/>
  <c r="P116" i="19" s="1"/>
  <c r="C112" i="19"/>
  <c r="P112" i="19" s="1"/>
  <c r="C108" i="19"/>
  <c r="P108" i="19" s="1"/>
  <c r="C104" i="19"/>
  <c r="P104" i="19" s="1"/>
  <c r="C100" i="19"/>
  <c r="P100" i="19" s="1"/>
  <c r="C96" i="19"/>
  <c r="P96" i="19" s="1"/>
  <c r="C92" i="19"/>
  <c r="P92" i="19" s="1"/>
  <c r="C88" i="19"/>
  <c r="P88" i="19" s="1"/>
  <c r="C84" i="19"/>
  <c r="P84" i="19" s="1"/>
  <c r="C82" i="19"/>
  <c r="P82" i="19" s="1"/>
  <c r="C78" i="19"/>
  <c r="P78" i="19" s="1"/>
  <c r="C74" i="19"/>
  <c r="P74" i="19" s="1"/>
  <c r="C70" i="19"/>
  <c r="P70" i="19" s="1"/>
  <c r="C66" i="19"/>
  <c r="P66" i="19" s="1"/>
  <c r="C62" i="19"/>
  <c r="P62" i="19" s="1"/>
  <c r="C132" i="19"/>
  <c r="P132" i="19" s="1"/>
  <c r="C79" i="19"/>
  <c r="P79" i="19" s="1"/>
  <c r="C75" i="19"/>
  <c r="P75" i="19" s="1"/>
  <c r="C71" i="19"/>
  <c r="P71" i="19" s="1"/>
  <c r="C67" i="19"/>
  <c r="P67" i="19" s="1"/>
  <c r="C63" i="19"/>
  <c r="P63" i="19" s="1"/>
  <c r="C59" i="19"/>
  <c r="P59" i="19" s="1"/>
  <c r="C55" i="19"/>
  <c r="P55" i="19" s="1"/>
  <c r="C51" i="19"/>
  <c r="P51" i="19" s="1"/>
  <c r="C131" i="19"/>
  <c r="P131" i="19" s="1"/>
  <c r="C124" i="19"/>
  <c r="P124" i="19" s="1"/>
  <c r="C19" i="19"/>
  <c r="P19" i="19" s="1"/>
  <c r="C18" i="19"/>
  <c r="P18" i="19" s="1"/>
  <c r="C12" i="19"/>
  <c r="P12" i="19" s="1"/>
  <c r="E13" i="19"/>
  <c r="C15" i="19"/>
  <c r="P15" i="19" s="1"/>
  <c r="E16" i="19"/>
  <c r="E17" i="19"/>
  <c r="D17" i="19"/>
  <c r="E18" i="19"/>
  <c r="C20" i="19"/>
  <c r="P20" i="19" s="1"/>
  <c r="D21" i="19"/>
  <c r="D22" i="19"/>
  <c r="C23" i="19"/>
  <c r="P23" i="19" s="1"/>
  <c r="E24" i="19"/>
  <c r="D25" i="19"/>
  <c r="D26" i="19"/>
  <c r="C27" i="19"/>
  <c r="P27" i="19" s="1"/>
  <c r="E28" i="19"/>
  <c r="D29" i="19"/>
  <c r="D30" i="19"/>
  <c r="C31" i="19"/>
  <c r="P31" i="19" s="1"/>
  <c r="E32" i="19"/>
  <c r="D33" i="19"/>
  <c r="D34" i="19"/>
  <c r="C35" i="19"/>
  <c r="P35" i="19" s="1"/>
  <c r="E36" i="19"/>
  <c r="D37" i="19"/>
  <c r="D38" i="19"/>
  <c r="C39" i="19"/>
  <c r="P39" i="19" s="1"/>
  <c r="E40" i="19"/>
  <c r="D41" i="19"/>
  <c r="D42" i="19"/>
  <c r="C43" i="19"/>
  <c r="P43" i="19" s="1"/>
  <c r="E44" i="19"/>
  <c r="D45" i="19"/>
  <c r="D46" i="19"/>
  <c r="C47" i="19"/>
  <c r="P47" i="19" s="1"/>
  <c r="E48" i="19"/>
  <c r="E52" i="19"/>
  <c r="D61" i="19"/>
  <c r="D65" i="19"/>
  <c r="D69" i="19"/>
  <c r="D73" i="19"/>
  <c r="D77" i="19"/>
  <c r="C83" i="19"/>
  <c r="P83" i="19" s="1"/>
  <c r="C87" i="19"/>
  <c r="P87" i="19" s="1"/>
  <c r="C91" i="19"/>
  <c r="P91" i="19" s="1"/>
  <c r="C95" i="19"/>
  <c r="P95" i="19" s="1"/>
  <c r="C99" i="19"/>
  <c r="P99" i="19" s="1"/>
  <c r="E101" i="19"/>
  <c r="C103" i="19"/>
  <c r="P103" i="19" s="1"/>
  <c r="E105" i="19"/>
  <c r="C107" i="19"/>
  <c r="P107" i="19" s="1"/>
  <c r="E109" i="19"/>
  <c r="C111" i="19"/>
  <c r="P111" i="19" s="1"/>
  <c r="E113" i="19"/>
  <c r="C115" i="19"/>
  <c r="P115" i="19" s="1"/>
  <c r="E117" i="19"/>
  <c r="C119" i="19"/>
  <c r="P119" i="19" s="1"/>
  <c r="E121" i="19"/>
  <c r="C123" i="19"/>
  <c r="P123" i="19" s="1"/>
  <c r="D124" i="19"/>
  <c r="E125" i="19"/>
  <c r="E133" i="19"/>
  <c r="C21" i="18"/>
  <c r="C25" i="18"/>
  <c r="C93" i="18"/>
  <c r="C109" i="18"/>
  <c r="C141" i="18"/>
  <c r="E190" i="19"/>
  <c r="E186" i="19"/>
  <c r="E182" i="19"/>
  <c r="E178" i="19"/>
  <c r="E174" i="19"/>
  <c r="E170" i="19"/>
  <c r="E166" i="19"/>
  <c r="E162" i="19"/>
  <c r="E158" i="19"/>
  <c r="E208" i="19"/>
  <c r="E204" i="19"/>
  <c r="E200" i="19"/>
  <c r="E196" i="19"/>
  <c r="E192" i="19"/>
  <c r="E188" i="19"/>
  <c r="E184" i="19"/>
  <c r="E180" i="19"/>
  <c r="E176" i="19"/>
  <c r="E201" i="19"/>
  <c r="E197" i="19"/>
  <c r="E193" i="19"/>
  <c r="E189" i="19"/>
  <c r="E185" i="19"/>
  <c r="E181" i="19"/>
  <c r="E177" i="19"/>
  <c r="E173" i="19"/>
  <c r="E169" i="19"/>
  <c r="E165" i="19"/>
  <c r="E153" i="19"/>
  <c r="E149" i="19"/>
  <c r="E172" i="19"/>
  <c r="E168" i="19"/>
  <c r="E164" i="19"/>
  <c r="E161" i="19"/>
  <c r="E157" i="19"/>
  <c r="E154" i="19"/>
  <c r="E150" i="19"/>
  <c r="E146" i="19"/>
  <c r="E142" i="19"/>
  <c r="E138" i="19"/>
  <c r="E134" i="19"/>
  <c r="E130" i="19"/>
  <c r="E126" i="19"/>
  <c r="E145" i="19"/>
  <c r="E141" i="19"/>
  <c r="E137" i="19"/>
  <c r="E122" i="19"/>
  <c r="E97" i="19"/>
  <c r="E93" i="19"/>
  <c r="E89" i="19"/>
  <c r="E85" i="19"/>
  <c r="E80" i="19"/>
  <c r="E76" i="19"/>
  <c r="E72" i="19"/>
  <c r="E68" i="19"/>
  <c r="E64" i="19"/>
  <c r="E60" i="19"/>
  <c r="E81" i="19"/>
  <c r="E77" i="19"/>
  <c r="E73" i="19"/>
  <c r="E69" i="19"/>
  <c r="E65" i="19"/>
  <c r="E61" i="19"/>
  <c r="E57" i="19"/>
  <c r="E53" i="19"/>
  <c r="E49" i="19"/>
  <c r="E129" i="19"/>
  <c r="E118" i="19"/>
  <c r="E114" i="19"/>
  <c r="E110" i="19"/>
  <c r="E106" i="19"/>
  <c r="E102" i="19"/>
  <c r="E98" i="19"/>
  <c r="E94" i="19"/>
  <c r="E90" i="19"/>
  <c r="E86" i="19"/>
  <c r="D12" i="19"/>
  <c r="D15" i="19"/>
  <c r="D20" i="19"/>
  <c r="E21" i="19"/>
  <c r="D23" i="19"/>
  <c r="C24" i="19"/>
  <c r="P24" i="19" s="1"/>
  <c r="C25" i="19"/>
  <c r="P25" i="19" s="1"/>
  <c r="D27" i="19"/>
  <c r="C28" i="19"/>
  <c r="P28" i="19" s="1"/>
  <c r="C29" i="19"/>
  <c r="P29" i="19" s="1"/>
  <c r="C32" i="19"/>
  <c r="P32" i="19" s="1"/>
  <c r="C33" i="19"/>
  <c r="P33" i="19" s="1"/>
  <c r="C36" i="19"/>
  <c r="P36" i="19" s="1"/>
  <c r="C37" i="19"/>
  <c r="P37" i="19" s="1"/>
  <c r="C40" i="19"/>
  <c r="P40" i="19" s="1"/>
  <c r="C41" i="19"/>
  <c r="P41" i="19" s="1"/>
  <c r="C44" i="19"/>
  <c r="P44" i="19" s="1"/>
  <c r="C45" i="19"/>
  <c r="P45" i="19" s="1"/>
  <c r="C48" i="19"/>
  <c r="P48" i="19" s="1"/>
  <c r="C49" i="19"/>
  <c r="P49" i="19" s="1"/>
  <c r="C50" i="19"/>
  <c r="P50" i="19" s="1"/>
  <c r="E50" i="19"/>
  <c r="C52" i="19"/>
  <c r="P52" i="19" s="1"/>
  <c r="C54" i="19"/>
  <c r="P54" i="19" s="1"/>
  <c r="E54" i="19"/>
  <c r="C56" i="19"/>
  <c r="P56" i="19" s="1"/>
  <c r="C58" i="19"/>
  <c r="P58" i="19" s="1"/>
  <c r="E58" i="19"/>
  <c r="E62" i="19"/>
  <c r="E66" i="19"/>
  <c r="E70" i="19"/>
  <c r="E74" i="19"/>
  <c r="E78" i="19"/>
  <c r="E84" i="19"/>
  <c r="E88" i="19"/>
  <c r="E92" i="19"/>
  <c r="E96" i="19"/>
  <c r="E100" i="19"/>
  <c r="E104" i="19"/>
  <c r="E108" i="19"/>
  <c r="D111" i="19"/>
  <c r="E112" i="19"/>
  <c r="D115" i="19"/>
  <c r="E116" i="19"/>
  <c r="D119" i="19"/>
  <c r="E120" i="19"/>
  <c r="C311" i="18"/>
  <c r="C13" i="18"/>
  <c r="C33" i="18"/>
  <c r="C125" i="18"/>
  <c r="C10" i="18"/>
  <c r="C11" i="19"/>
  <c r="C13" i="19"/>
  <c r="P13" i="19" s="1"/>
  <c r="D19" i="19"/>
  <c r="E20" i="19"/>
  <c r="E25" i="19"/>
  <c r="E29" i="19"/>
  <c r="E33" i="19"/>
  <c r="E37" i="19"/>
  <c r="E41" i="19"/>
  <c r="E45" i="19"/>
  <c r="D51" i="19"/>
  <c r="D55" i="19"/>
  <c r="D58" i="19"/>
  <c r="E59" i="19"/>
  <c r="C61" i="19"/>
  <c r="P61" i="19" s="1"/>
  <c r="D62" i="19"/>
  <c r="E63" i="19"/>
  <c r="C65" i="19"/>
  <c r="P65" i="19" s="1"/>
  <c r="D66" i="19"/>
  <c r="E67" i="19"/>
  <c r="C69" i="19"/>
  <c r="P69" i="19" s="1"/>
  <c r="D70" i="19"/>
  <c r="E71" i="19"/>
  <c r="C73" i="19"/>
  <c r="P73" i="19" s="1"/>
  <c r="D74" i="19"/>
  <c r="E75" i="19"/>
  <c r="C77" i="19"/>
  <c r="P77" i="19" s="1"/>
  <c r="D78" i="19"/>
  <c r="E79" i="19"/>
  <c r="C17" i="18"/>
  <c r="C29" i="18"/>
  <c r="C175" i="18"/>
  <c r="C7" i="18"/>
  <c r="C15" i="18"/>
  <c r="C19" i="18"/>
  <c r="C23" i="18"/>
  <c r="C27" i="18"/>
  <c r="C31" i="18"/>
  <c r="D13" i="19"/>
  <c r="D16" i="19"/>
  <c r="C17" i="19"/>
  <c r="P17" i="19" s="1"/>
  <c r="D18" i="19"/>
  <c r="E19" i="19"/>
  <c r="C21" i="19"/>
  <c r="P21" i="19" s="1"/>
  <c r="E22" i="19"/>
  <c r="D24" i="19"/>
  <c r="E26" i="19"/>
  <c r="D28" i="19"/>
  <c r="E30" i="19"/>
  <c r="D32" i="19"/>
  <c r="E34" i="19"/>
  <c r="D36" i="19"/>
  <c r="E38" i="19"/>
  <c r="D40" i="19"/>
  <c r="E42" i="19"/>
  <c r="D44" i="19"/>
  <c r="E46" i="19"/>
  <c r="D48" i="19"/>
  <c r="D49" i="19"/>
  <c r="D53" i="19"/>
  <c r="E55" i="19"/>
  <c r="D57" i="19"/>
  <c r="C60" i="19"/>
  <c r="P60" i="19" s="1"/>
  <c r="C64" i="19"/>
  <c r="P64" i="19" s="1"/>
  <c r="C68" i="19"/>
  <c r="P68" i="19" s="1"/>
  <c r="C72" i="19"/>
  <c r="P72" i="19" s="1"/>
  <c r="C76" i="19"/>
  <c r="P76" i="19" s="1"/>
  <c r="C80" i="19"/>
  <c r="P80" i="19" s="1"/>
  <c r="D81" i="19"/>
  <c r="E82" i="19"/>
  <c r="C122" i="19"/>
  <c r="P122" i="19" s="1"/>
  <c r="E124" i="19"/>
  <c r="D126" i="19"/>
  <c r="E131" i="19"/>
  <c r="E132" i="19"/>
  <c r="D134" i="19"/>
  <c r="C138" i="19"/>
  <c r="P138" i="19" s="1"/>
  <c r="C142" i="19"/>
  <c r="P142" i="19" s="1"/>
  <c r="C146" i="19"/>
  <c r="P146" i="19" s="1"/>
  <c r="D148" i="19"/>
  <c r="D152" i="19"/>
  <c r="E83" i="19"/>
  <c r="E87" i="19"/>
  <c r="E91" i="19"/>
  <c r="E95" i="19"/>
  <c r="E99" i="19"/>
  <c r="E103" i="19"/>
  <c r="E107" i="19"/>
  <c r="E111" i="19"/>
  <c r="E115" i="19"/>
  <c r="E119" i="19"/>
  <c r="D122" i="19"/>
  <c r="D128" i="19"/>
  <c r="C130" i="19"/>
  <c r="P130" i="19" s="1"/>
  <c r="D136" i="19"/>
  <c r="D138" i="19"/>
  <c r="D140" i="19"/>
  <c r="D142" i="19"/>
  <c r="D144" i="19"/>
  <c r="D146" i="19"/>
  <c r="E148" i="19"/>
  <c r="C150" i="19"/>
  <c r="P150" i="19" s="1"/>
  <c r="E152" i="19"/>
  <c r="C154" i="19"/>
  <c r="P154" i="19" s="1"/>
  <c r="E156" i="19"/>
  <c r="C158" i="19"/>
  <c r="P158" i="19" s="1"/>
  <c r="E160" i="19"/>
  <c r="D86" i="19"/>
  <c r="D90" i="19"/>
  <c r="D94" i="19"/>
  <c r="D98" i="19"/>
  <c r="D102" i="19"/>
  <c r="D106" i="19"/>
  <c r="D110" i="19"/>
  <c r="D114" i="19"/>
  <c r="D118" i="19"/>
  <c r="D123" i="19"/>
  <c r="E127" i="19"/>
  <c r="E128" i="19"/>
  <c r="D130" i="19"/>
  <c r="E135" i="19"/>
  <c r="E136" i="19"/>
  <c r="E140" i="19"/>
  <c r="E144" i="19"/>
  <c r="C85" i="19"/>
  <c r="P85" i="19" s="1"/>
  <c r="C89" i="19"/>
  <c r="P89" i="19" s="1"/>
  <c r="C93" i="19"/>
  <c r="P93" i="19" s="1"/>
  <c r="C97" i="19"/>
  <c r="P97" i="19" s="1"/>
  <c r="C101" i="19"/>
  <c r="P101" i="19" s="1"/>
  <c r="C105" i="19"/>
  <c r="P105" i="19" s="1"/>
  <c r="C109" i="19"/>
  <c r="P109" i="19" s="1"/>
  <c r="C113" i="19"/>
  <c r="P113" i="19" s="1"/>
  <c r="C117" i="19"/>
  <c r="P117" i="19" s="1"/>
  <c r="C121" i="19"/>
  <c r="P121" i="19" s="1"/>
  <c r="E123" i="19"/>
  <c r="C125" i="19"/>
  <c r="P125" i="19" s="1"/>
  <c r="C126" i="19"/>
  <c r="P126" i="19" s="1"/>
  <c r="D132" i="19"/>
  <c r="C134" i="19"/>
  <c r="P134" i="19" s="1"/>
  <c r="E163" i="19"/>
  <c r="E167" i="19"/>
  <c r="E171" i="19"/>
  <c r="D204" i="19"/>
  <c r="E205" i="19"/>
  <c r="C207" i="19"/>
  <c r="P207" i="19" s="1"/>
  <c r="D208" i="19"/>
  <c r="E209" i="19"/>
  <c r="E139" i="19"/>
  <c r="E143" i="19"/>
  <c r="E147" i="19"/>
  <c r="E151" i="19"/>
  <c r="E155" i="19"/>
  <c r="C157" i="19"/>
  <c r="P157" i="19" s="1"/>
  <c r="E159" i="19"/>
  <c r="C161" i="19"/>
  <c r="P161" i="19" s="1"/>
  <c r="D150" i="19"/>
  <c r="D154" i="19"/>
  <c r="C165" i="19"/>
  <c r="P165" i="19" s="1"/>
  <c r="C169" i="19"/>
  <c r="P169" i="19" s="1"/>
  <c r="C173" i="19"/>
  <c r="P173" i="19" s="1"/>
  <c r="D174" i="19"/>
  <c r="E175" i="19"/>
  <c r="C177" i="19"/>
  <c r="P177" i="19" s="1"/>
  <c r="D178" i="19"/>
  <c r="E179" i="19"/>
  <c r="C181" i="19"/>
  <c r="P181" i="19" s="1"/>
  <c r="D182" i="19"/>
  <c r="E183" i="19"/>
  <c r="C185" i="19"/>
  <c r="P185" i="19" s="1"/>
  <c r="D186" i="19"/>
  <c r="E187" i="19"/>
  <c r="C189" i="19"/>
  <c r="P189" i="19" s="1"/>
  <c r="D190" i="19"/>
  <c r="E191" i="19"/>
  <c r="C193" i="19"/>
  <c r="P193" i="19" s="1"/>
  <c r="D194" i="19"/>
  <c r="E195" i="19"/>
  <c r="C197" i="19"/>
  <c r="P197" i="19" s="1"/>
  <c r="D198" i="19"/>
  <c r="E199" i="19"/>
  <c r="C201" i="19"/>
  <c r="P201" i="19" s="1"/>
  <c r="D202" i="19"/>
  <c r="E203" i="19"/>
  <c r="C205" i="19"/>
  <c r="P205" i="19" s="1"/>
  <c r="D206" i="19"/>
  <c r="E207" i="19"/>
  <c r="C209" i="19"/>
  <c r="P209" i="19" s="1"/>
  <c r="C129" i="19"/>
  <c r="P129" i="19" s="1"/>
  <c r="C133" i="19"/>
  <c r="P133" i="19" s="1"/>
  <c r="C137" i="19"/>
  <c r="P137" i="19" s="1"/>
  <c r="C141" i="19"/>
  <c r="P141" i="19" s="1"/>
  <c r="C145" i="19"/>
  <c r="P145" i="19" s="1"/>
  <c r="C149" i="19"/>
  <c r="P149" i="19" s="1"/>
  <c r="C153" i="19"/>
  <c r="P153" i="19" s="1"/>
  <c r="D158" i="19"/>
  <c r="D162" i="19"/>
  <c r="D166" i="19"/>
  <c r="D170" i="19"/>
  <c r="D193" i="19"/>
  <c r="E194" i="19"/>
  <c r="C196" i="19"/>
  <c r="P196" i="19" s="1"/>
  <c r="D197" i="19"/>
  <c r="E198" i="19"/>
  <c r="C200" i="19"/>
  <c r="P200" i="19" s="1"/>
  <c r="D201" i="19"/>
  <c r="E202" i="19"/>
  <c r="C204" i="19"/>
  <c r="P204" i="19" s="1"/>
  <c r="D205" i="19"/>
  <c r="E206" i="19"/>
  <c r="C208" i="19"/>
  <c r="P208" i="19" s="1"/>
  <c r="D209" i="19"/>
  <c r="E210" i="19"/>
  <c r="C11" i="18"/>
  <c r="C18" i="18"/>
  <c r="C24" i="18"/>
  <c r="C34" i="18"/>
  <c r="C50" i="18"/>
  <c r="C55" i="18"/>
  <c r="C71" i="18"/>
  <c r="C89" i="18"/>
  <c r="C95" i="18"/>
  <c r="C111" i="18"/>
  <c r="C131" i="18"/>
  <c r="C159" i="18"/>
  <c r="C191" i="18"/>
  <c r="C239" i="18"/>
  <c r="C271" i="18"/>
  <c r="C303" i="18"/>
  <c r="C4" i="18"/>
  <c r="C37" i="18"/>
  <c r="C40" i="18"/>
  <c r="C45" i="18"/>
  <c r="C48" i="18"/>
  <c r="C53" i="18"/>
  <c r="C56" i="18"/>
  <c r="C61" i="18"/>
  <c r="C64" i="18"/>
  <c r="C69" i="18"/>
  <c r="C72" i="18"/>
  <c r="C77" i="18"/>
  <c r="C80" i="18"/>
  <c r="C90" i="18"/>
  <c r="C96" i="18"/>
  <c r="C106" i="18"/>
  <c r="C112" i="18"/>
  <c r="C122" i="18"/>
  <c r="C128" i="18"/>
  <c r="C138" i="18"/>
  <c r="C144" i="18"/>
  <c r="C154" i="18"/>
  <c r="C157" i="18"/>
  <c r="C160" i="18"/>
  <c r="C170" i="18"/>
  <c r="C173" i="18"/>
  <c r="C176" i="18"/>
  <c r="C186" i="18"/>
  <c r="C189" i="18"/>
  <c r="C192" i="18"/>
  <c r="C202" i="18"/>
  <c r="C205" i="18"/>
  <c r="C208" i="18"/>
  <c r="C218" i="18"/>
  <c r="C221" i="18"/>
  <c r="C224" i="18"/>
  <c r="C234" i="18"/>
  <c r="C237" i="18"/>
  <c r="C247" i="18"/>
  <c r="C258" i="18"/>
  <c r="C279" i="18"/>
  <c r="C290" i="18"/>
  <c r="C322" i="18"/>
  <c r="C9" i="18"/>
  <c r="C14" i="18"/>
  <c r="C20" i="18"/>
  <c r="C26" i="18"/>
  <c r="C30" i="18"/>
  <c r="C39" i="18"/>
  <c r="C47" i="18"/>
  <c r="C63" i="18"/>
  <c r="C74" i="18"/>
  <c r="C79" i="18"/>
  <c r="C105" i="18"/>
  <c r="C115" i="18"/>
  <c r="C137" i="18"/>
  <c r="C147" i="18"/>
  <c r="C207" i="18"/>
  <c r="C223" i="18"/>
  <c r="C282" i="18"/>
  <c r="C314" i="18"/>
  <c r="C329" i="18"/>
  <c r="C321" i="18"/>
  <c r="C313" i="18"/>
  <c r="C305" i="18"/>
  <c r="C297" i="18"/>
  <c r="C289" i="18"/>
  <c r="C281" i="18"/>
  <c r="C273" i="18"/>
  <c r="C265" i="18"/>
  <c r="C257" i="18"/>
  <c r="C249" i="18"/>
  <c r="C241" i="18"/>
  <c r="C233" i="18"/>
  <c r="C225" i="18"/>
  <c r="C217" i="18"/>
  <c r="C209" i="18"/>
  <c r="C201" i="18"/>
  <c r="C193" i="18"/>
  <c r="C185" i="18"/>
  <c r="C177" i="18"/>
  <c r="C169" i="18"/>
  <c r="C161" i="18"/>
  <c r="C153" i="18"/>
  <c r="C331" i="18"/>
  <c r="C323" i="18"/>
  <c r="C315" i="18"/>
  <c r="C307" i="18"/>
  <c r="C299" i="18"/>
  <c r="C291" i="18"/>
  <c r="C283" i="18"/>
  <c r="C275" i="18"/>
  <c r="C267" i="18"/>
  <c r="C259" i="18"/>
  <c r="C251" i="18"/>
  <c r="C243" i="18"/>
  <c r="C235" i="18"/>
  <c r="C227" i="18"/>
  <c r="C219" i="18"/>
  <c r="C211" i="18"/>
  <c r="C203" i="18"/>
  <c r="C195" i="18"/>
  <c r="C187" i="18"/>
  <c r="C179" i="18"/>
  <c r="C171" i="18"/>
  <c r="C163" i="18"/>
  <c r="C155" i="18"/>
  <c r="C333" i="18"/>
  <c r="C325" i="18"/>
  <c r="C317" i="18"/>
  <c r="C309" i="18"/>
  <c r="C301" i="18"/>
  <c r="C293" i="18"/>
  <c r="C285" i="18"/>
  <c r="C277" i="18"/>
  <c r="C269" i="18"/>
  <c r="C261" i="18"/>
  <c r="C253" i="18"/>
  <c r="C245" i="18"/>
  <c r="C35" i="18"/>
  <c r="C38" i="18"/>
  <c r="C43" i="18"/>
  <c r="C46" i="18"/>
  <c r="C51" i="18"/>
  <c r="C54" i="18"/>
  <c r="C59" i="18"/>
  <c r="C62" i="18"/>
  <c r="C67" i="18"/>
  <c r="C70" i="18"/>
  <c r="C75" i="18"/>
  <c r="C78" i="18"/>
  <c r="C81" i="18"/>
  <c r="C87" i="18"/>
  <c r="C91" i="18"/>
  <c r="C97" i="18"/>
  <c r="C103" i="18"/>
  <c r="C107" i="18"/>
  <c r="C113" i="18"/>
  <c r="C119" i="18"/>
  <c r="C123" i="18"/>
  <c r="C129" i="18"/>
  <c r="C135" i="18"/>
  <c r="C139" i="18"/>
  <c r="C145" i="18"/>
  <c r="C151" i="18"/>
  <c r="C167" i="18"/>
  <c r="C183" i="18"/>
  <c r="C199" i="18"/>
  <c r="C215" i="18"/>
  <c r="C231" i="18"/>
  <c r="C255" i="18"/>
  <c r="C266" i="18"/>
  <c r="C287" i="18"/>
  <c r="C298" i="18"/>
  <c r="C319" i="18"/>
  <c r="C330" i="18"/>
  <c r="C16" i="18"/>
  <c r="C22" i="18"/>
  <c r="C28" i="18"/>
  <c r="C32" i="18"/>
  <c r="C42" i="18"/>
  <c r="C58" i="18"/>
  <c r="C66" i="18"/>
  <c r="C83" i="18"/>
  <c r="C99" i="18"/>
  <c r="C121" i="18"/>
  <c r="C127" i="18"/>
  <c r="C143" i="18"/>
  <c r="C250" i="18"/>
  <c r="C6" i="18"/>
  <c r="C12" i="18"/>
  <c r="C36" i="18"/>
  <c r="C41" i="18"/>
  <c r="C44" i="18"/>
  <c r="C49" i="18"/>
  <c r="C52" i="18"/>
  <c r="C57" i="18"/>
  <c r="C60" i="18"/>
  <c r="C65" i="18"/>
  <c r="C68" i="18"/>
  <c r="C73" i="18"/>
  <c r="C76" i="18"/>
  <c r="C82" i="18"/>
  <c r="C85" i="18"/>
  <c r="C88" i="18"/>
  <c r="C98" i="18"/>
  <c r="C101" i="18"/>
  <c r="C104" i="18"/>
  <c r="C114" i="18"/>
  <c r="C117" i="18"/>
  <c r="C120" i="18"/>
  <c r="C130" i="18"/>
  <c r="C133" i="18"/>
  <c r="C136" i="18"/>
  <c r="C146" i="18"/>
  <c r="C149" i="18"/>
  <c r="C152" i="18"/>
  <c r="C162" i="18"/>
  <c r="C165" i="18"/>
  <c r="C168" i="18"/>
  <c r="C178" i="18"/>
  <c r="C181" i="18"/>
  <c r="C184" i="18"/>
  <c r="C194" i="18"/>
  <c r="C197" i="18"/>
  <c r="C200" i="18"/>
  <c r="C210" i="18"/>
  <c r="C213" i="18"/>
  <c r="C216" i="18"/>
  <c r="C226" i="18"/>
  <c r="C229" i="18"/>
  <c r="C232" i="18"/>
  <c r="C242" i="18"/>
  <c r="C263" i="18"/>
  <c r="C274" i="18"/>
  <c r="C295" i="18"/>
  <c r="C306" i="18"/>
  <c r="C327" i="18"/>
  <c r="C240" i="18"/>
  <c r="C248" i="18"/>
  <c r="C256" i="18"/>
  <c r="C264" i="18"/>
  <c r="C272" i="18"/>
  <c r="C280" i="18"/>
  <c r="C288" i="18"/>
  <c r="C296" i="18"/>
  <c r="C304" i="18"/>
  <c r="C312" i="18"/>
  <c r="C320" i="18"/>
  <c r="C328" i="18"/>
  <c r="C337" i="18"/>
  <c r="C341" i="18"/>
  <c r="C345" i="18"/>
  <c r="C349" i="18"/>
  <c r="C353" i="18"/>
  <c r="C357" i="18"/>
  <c r="C361" i="18"/>
  <c r="C365" i="18"/>
  <c r="C369" i="18"/>
  <c r="C373" i="18"/>
  <c r="C377" i="18"/>
  <c r="C381" i="18"/>
  <c r="C385" i="18"/>
  <c r="C389" i="18"/>
  <c r="C393" i="18"/>
  <c r="C397" i="18"/>
  <c r="C401" i="18"/>
  <c r="C405" i="18"/>
  <c r="C409" i="18"/>
  <c r="C413" i="18"/>
  <c r="C417" i="18"/>
  <c r="C421" i="18"/>
  <c r="C425" i="18"/>
  <c r="C429" i="18"/>
  <c r="C433" i="18"/>
  <c r="C437" i="18"/>
  <c r="C441" i="18"/>
  <c r="C445" i="18"/>
  <c r="C449" i="18"/>
  <c r="C453" i="18"/>
  <c r="C457" i="18"/>
  <c r="C461" i="18"/>
  <c r="C465" i="18"/>
  <c r="C469" i="18"/>
  <c r="C473" i="18"/>
  <c r="C477" i="18"/>
  <c r="C481" i="18"/>
  <c r="C485" i="18"/>
  <c r="C489" i="18"/>
  <c r="C493" i="18"/>
  <c r="C497" i="18"/>
  <c r="C501" i="18"/>
  <c r="C86" i="18"/>
  <c r="C94" i="18"/>
  <c r="C102" i="18"/>
  <c r="C110" i="18"/>
  <c r="C118" i="18"/>
  <c r="C126" i="18"/>
  <c r="C134" i="18"/>
  <c r="C142" i="18"/>
  <c r="C150" i="18"/>
  <c r="C158" i="18"/>
  <c r="C166" i="18"/>
  <c r="C174" i="18"/>
  <c r="C182" i="18"/>
  <c r="C190" i="18"/>
  <c r="C198" i="18"/>
  <c r="C206" i="18"/>
  <c r="C214" i="18"/>
  <c r="C222" i="18"/>
  <c r="C230" i="18"/>
  <c r="C238" i="18"/>
  <c r="C246" i="18"/>
  <c r="C254" i="18"/>
  <c r="C262" i="18"/>
  <c r="C270" i="18"/>
  <c r="C278" i="18"/>
  <c r="C286" i="18"/>
  <c r="C294" i="18"/>
  <c r="C302" i="18"/>
  <c r="C310" i="18"/>
  <c r="C318" i="18"/>
  <c r="C326" i="18"/>
  <c r="C84" i="18"/>
  <c r="C92" i="18"/>
  <c r="C100" i="18"/>
  <c r="C108" i="18"/>
  <c r="C116" i="18"/>
  <c r="C124" i="18"/>
  <c r="C132" i="18"/>
  <c r="C140" i="18"/>
  <c r="C148" i="18"/>
  <c r="C156" i="18"/>
  <c r="C164" i="18"/>
  <c r="C172" i="18"/>
  <c r="C180" i="18"/>
  <c r="C188" i="18"/>
  <c r="C196" i="18"/>
  <c r="C204" i="18"/>
  <c r="C212" i="18"/>
  <c r="C220" i="18"/>
  <c r="C228" i="18"/>
  <c r="C236" i="18"/>
  <c r="C244" i="18"/>
  <c r="C252" i="18"/>
  <c r="C260" i="18"/>
  <c r="C268" i="18"/>
  <c r="C276" i="18"/>
  <c r="C284" i="18"/>
  <c r="C292" i="18"/>
  <c r="C300" i="18"/>
  <c r="C308" i="18"/>
  <c r="C316" i="18"/>
  <c r="C324" i="18"/>
  <c r="C332" i="18"/>
  <c r="C336" i="18"/>
  <c r="C340" i="18"/>
  <c r="C344" i="18"/>
  <c r="C348" i="18"/>
  <c r="C352" i="18"/>
  <c r="C356" i="18"/>
  <c r="C360" i="18"/>
  <c r="C364" i="18"/>
  <c r="C368" i="18"/>
  <c r="C372" i="18"/>
  <c r="C376" i="18"/>
  <c r="C380" i="18"/>
  <c r="C384" i="18"/>
  <c r="C388" i="18"/>
  <c r="C392" i="18"/>
  <c r="C396" i="18"/>
  <c r="C400" i="18"/>
  <c r="C404" i="18"/>
  <c r="C408" i="18"/>
  <c r="C412" i="18"/>
  <c r="C416" i="18"/>
  <c r="C420" i="18"/>
  <c r="C424" i="18"/>
  <c r="C428" i="18"/>
  <c r="C432" i="18"/>
  <c r="C436" i="18"/>
  <c r="C440" i="18"/>
  <c r="C444" i="18"/>
  <c r="C448" i="18"/>
  <c r="C452" i="18"/>
  <c r="C456" i="18"/>
  <c r="C460" i="18"/>
  <c r="C464" i="18"/>
  <c r="C468" i="18"/>
  <c r="C472" i="18"/>
  <c r="C476" i="18"/>
  <c r="C480" i="18"/>
  <c r="C484" i="18"/>
  <c r="C488" i="18"/>
  <c r="C492" i="18"/>
  <c r="C496" i="18"/>
  <c r="C500" i="18"/>
  <c r="C334" i="18"/>
  <c r="C338" i="18"/>
  <c r="C342" i="18"/>
  <c r="C346" i="18"/>
  <c r="C350" i="18"/>
  <c r="C354" i="18"/>
  <c r="C358" i="18"/>
  <c r="C362" i="18"/>
  <c r="C366" i="18"/>
  <c r="C370" i="18"/>
  <c r="C374" i="18"/>
  <c r="C378" i="18"/>
  <c r="C382" i="18"/>
  <c r="C386" i="18"/>
  <c r="C390" i="18"/>
  <c r="C394" i="18"/>
  <c r="C398" i="18"/>
  <c r="C402" i="18"/>
  <c r="C406" i="18"/>
  <c r="C410" i="18"/>
  <c r="C414" i="18"/>
  <c r="C418" i="18"/>
  <c r="C422" i="18"/>
  <c r="C426" i="18"/>
  <c r="C430" i="18"/>
  <c r="C434" i="18"/>
  <c r="C438" i="18"/>
  <c r="C442" i="18"/>
  <c r="C446" i="18"/>
  <c r="C450" i="18"/>
  <c r="C454" i="18"/>
  <c r="C458" i="18"/>
  <c r="C462" i="18"/>
  <c r="C466" i="18"/>
  <c r="C470" i="18"/>
  <c r="C474" i="18"/>
  <c r="C478" i="18"/>
  <c r="C482" i="18"/>
  <c r="C486" i="18"/>
  <c r="C490" i="18"/>
  <c r="C494" i="18"/>
  <c r="C498" i="18"/>
  <c r="C502" i="18"/>
  <c r="C335" i="18"/>
  <c r="C339" i="18"/>
  <c r="C343" i="18"/>
  <c r="C347" i="18"/>
  <c r="C351" i="18"/>
  <c r="C355" i="18"/>
  <c r="C359" i="18"/>
  <c r="C363" i="18"/>
  <c r="C367" i="18"/>
  <c r="C371" i="18"/>
  <c r="C375" i="18"/>
  <c r="C379" i="18"/>
  <c r="C383" i="18"/>
  <c r="C387" i="18"/>
  <c r="C391" i="18"/>
  <c r="C395" i="18"/>
  <c r="C399" i="18"/>
  <c r="C403" i="18"/>
  <c r="C407" i="18"/>
  <c r="C411" i="18"/>
  <c r="C415" i="18"/>
  <c r="C419" i="18"/>
  <c r="C423" i="18"/>
  <c r="C427" i="18"/>
  <c r="C431" i="18"/>
  <c r="C435" i="18"/>
  <c r="C439" i="18"/>
  <c r="C443" i="18"/>
  <c r="C447" i="18"/>
  <c r="C451" i="18"/>
  <c r="C455" i="18"/>
  <c r="C459" i="18"/>
  <c r="C463" i="18"/>
  <c r="C467" i="18"/>
  <c r="C471" i="18"/>
  <c r="C475" i="18"/>
  <c r="C479" i="18"/>
  <c r="C483" i="18"/>
  <c r="C487" i="18"/>
  <c r="C491" i="18"/>
  <c r="C495" i="18"/>
  <c r="C499" i="18"/>
  <c r="C503" i="18"/>
  <c r="N63" i="17"/>
  <c r="N65" i="17"/>
  <c r="N67" i="17"/>
  <c r="N69" i="17"/>
  <c r="N71" i="17"/>
  <c r="N73" i="17"/>
  <c r="N75" i="17"/>
  <c r="N77" i="17"/>
  <c r="N79" i="17"/>
  <c r="N81" i="17"/>
  <c r="N83" i="17"/>
  <c r="N85" i="17"/>
  <c r="N87" i="17"/>
  <c r="N89" i="17"/>
  <c r="N91" i="17"/>
  <c r="N93" i="17"/>
  <c r="N95" i="17"/>
  <c r="N97" i="17"/>
  <c r="N99" i="17"/>
  <c r="G14" i="17"/>
  <c r="I14" i="17" s="1"/>
  <c r="G15" i="17"/>
  <c r="I15" i="17" s="1"/>
  <c r="D14" i="17"/>
  <c r="D15" i="17"/>
  <c r="F15" i="17" s="1"/>
  <c r="N30" i="17"/>
  <c r="O30" i="17" s="1"/>
  <c r="O31" i="17" s="1"/>
  <c r="N32" i="17"/>
  <c r="N34" i="17"/>
  <c r="N36" i="17"/>
  <c r="N38" i="17"/>
  <c r="N40" i="17"/>
  <c r="N42" i="17"/>
  <c r="N44" i="17"/>
  <c r="N46" i="17"/>
  <c r="N48" i="17"/>
  <c r="N50" i="17"/>
  <c r="N52" i="17"/>
  <c r="N54" i="17"/>
  <c r="N56" i="17"/>
  <c r="N58" i="17"/>
  <c r="N60" i="17"/>
  <c r="N62" i="17"/>
  <c r="N64" i="17"/>
  <c r="N66" i="17"/>
  <c r="N68" i="17"/>
  <c r="N70" i="17"/>
  <c r="N72" i="17"/>
  <c r="N74" i="17"/>
  <c r="N76" i="17"/>
  <c r="N78" i="17"/>
  <c r="N80" i="17"/>
  <c r="N82" i="17"/>
  <c r="N84" i="17"/>
  <c r="N86" i="17"/>
  <c r="N88" i="17"/>
  <c r="N90" i="17"/>
  <c r="N92" i="17"/>
  <c r="N94" i="17"/>
  <c r="N96" i="17"/>
  <c r="N98" i="17"/>
  <c r="N100" i="17"/>
  <c r="E14" i="17"/>
  <c r="C32" i="15"/>
  <c r="N27" i="14"/>
  <c r="J27" i="14"/>
  <c r="F27" i="14"/>
  <c r="F27" i="14" a="1"/>
  <c r="M27" i="14" s="1"/>
  <c r="F26" i="14" a="1"/>
  <c r="L26" i="14" s="1"/>
  <c r="B17" i="14"/>
  <c r="D16" i="14"/>
  <c r="O15" i="14"/>
  <c r="D15" i="14"/>
  <c r="N14" i="14"/>
  <c r="F25" i="14" s="1" a="1"/>
  <c r="N14" i="14" a="1"/>
  <c r="O14" i="14" s="1"/>
  <c r="D14" i="14"/>
  <c r="O13" i="14"/>
  <c r="N13" i="14"/>
  <c r="M13" i="14"/>
  <c r="F24" i="14" s="1" a="1"/>
  <c r="M13" i="14" a="1"/>
  <c r="D13" i="14"/>
  <c r="L12" i="14" a="1"/>
  <c r="N12" i="14" s="1"/>
  <c r="D12" i="14"/>
  <c r="M11" i="14"/>
  <c r="L11" i="14"/>
  <c r="K11" i="14" a="1"/>
  <c r="O11" i="14" s="1"/>
  <c r="D11" i="14"/>
  <c r="M10" i="14"/>
  <c r="L10" i="14"/>
  <c r="J10" i="14" a="1"/>
  <c r="O10" i="14" s="1"/>
  <c r="D10" i="14"/>
  <c r="I9" i="14" a="1"/>
  <c r="O9" i="14" s="1"/>
  <c r="D9" i="14"/>
  <c r="N8" i="14"/>
  <c r="M8" i="14"/>
  <c r="L8" i="14"/>
  <c r="J8" i="14"/>
  <c r="I8" i="14"/>
  <c r="H8" i="14"/>
  <c r="H8" i="14" a="1"/>
  <c r="O8" i="14" s="1"/>
  <c r="D8" i="14"/>
  <c r="O7" i="14"/>
  <c r="K7" i="14"/>
  <c r="G7" i="14"/>
  <c r="G7" i="14" a="1"/>
  <c r="N7" i="14" s="1"/>
  <c r="D7" i="14"/>
  <c r="H17" i="13"/>
  <c r="G17" i="13"/>
  <c r="F17" i="13"/>
  <c r="B17" i="13"/>
  <c r="B75" i="13" s="1"/>
  <c r="J16" i="13"/>
  <c r="K16" i="13" s="1"/>
  <c r="I16" i="13"/>
  <c r="D16" i="13"/>
  <c r="J15" i="13"/>
  <c r="K15" i="13" s="1"/>
  <c r="I15" i="13"/>
  <c r="D15" i="13"/>
  <c r="J14" i="13"/>
  <c r="K14" i="13" s="1"/>
  <c r="I14" i="13"/>
  <c r="D14" i="13"/>
  <c r="J13" i="13"/>
  <c r="K13" i="13" s="1"/>
  <c r="I13" i="13"/>
  <c r="D13" i="13"/>
  <c r="J12" i="13"/>
  <c r="K12" i="13" s="1"/>
  <c r="I12" i="13"/>
  <c r="D12" i="13"/>
  <c r="J11" i="13"/>
  <c r="K11" i="13" s="1"/>
  <c r="I11" i="13"/>
  <c r="D11" i="13"/>
  <c r="J10" i="13"/>
  <c r="K10" i="13" s="1"/>
  <c r="I10" i="13"/>
  <c r="D10" i="13"/>
  <c r="J9" i="13"/>
  <c r="K9" i="13" s="1"/>
  <c r="I9" i="13"/>
  <c r="D9" i="13"/>
  <c r="J8" i="13"/>
  <c r="K8" i="13" s="1"/>
  <c r="I8" i="13"/>
  <c r="D8" i="13"/>
  <c r="J7" i="13"/>
  <c r="K7" i="13" s="1"/>
  <c r="K17" i="13" s="1"/>
  <c r="J17" i="13" s="1"/>
  <c r="I7" i="13"/>
  <c r="I17" i="13" s="1"/>
  <c r="D7" i="13"/>
  <c r="D17" i="13" s="1"/>
  <c r="C17" i="13" s="1"/>
  <c r="C72" i="12"/>
  <c r="D72" i="12" s="1"/>
  <c r="C71" i="12"/>
  <c r="D71" i="12" s="1"/>
  <c r="C70" i="12"/>
  <c r="D70" i="12" s="1"/>
  <c r="C69" i="12"/>
  <c r="D69" i="12" s="1"/>
  <c r="C68" i="12"/>
  <c r="D68" i="12" s="1"/>
  <c r="C67" i="12"/>
  <c r="D67" i="12" s="1"/>
  <c r="C66" i="12"/>
  <c r="D66" i="12" s="1"/>
  <c r="C65" i="12"/>
  <c r="D65" i="12" s="1"/>
  <c r="C64" i="12"/>
  <c r="D64" i="12" s="1"/>
  <c r="C63" i="12"/>
  <c r="D63" i="12" s="1"/>
  <c r="C62" i="12"/>
  <c r="D62" i="12" s="1"/>
  <c r="C61" i="12"/>
  <c r="D61" i="12" s="1"/>
  <c r="C60" i="12"/>
  <c r="D60" i="12" s="1"/>
  <c r="C59" i="12"/>
  <c r="D59" i="12" s="1"/>
  <c r="C58" i="12"/>
  <c r="D58" i="12" s="1"/>
  <c r="C57" i="12"/>
  <c r="D57" i="12" s="1"/>
  <c r="C56" i="12"/>
  <c r="D56" i="12" s="1"/>
  <c r="C55" i="12"/>
  <c r="D55" i="12" s="1"/>
  <c r="C54" i="12"/>
  <c r="D54" i="12" s="1"/>
  <c r="C53" i="12"/>
  <c r="D53" i="12" s="1"/>
  <c r="C52" i="12"/>
  <c r="D52" i="12" s="1"/>
  <c r="C51" i="12"/>
  <c r="D51" i="12" s="1"/>
  <c r="C50" i="12"/>
  <c r="D50" i="12" s="1"/>
  <c r="C49" i="12"/>
  <c r="D49" i="12" s="1"/>
  <c r="C48" i="12"/>
  <c r="D48" i="12" s="1"/>
  <c r="C47" i="12"/>
  <c r="D47" i="12" s="1"/>
  <c r="C46" i="12"/>
  <c r="D46" i="12" s="1"/>
  <c r="C45" i="12"/>
  <c r="D45" i="12" s="1"/>
  <c r="C44" i="12"/>
  <c r="D44" i="12" s="1"/>
  <c r="C43" i="12"/>
  <c r="D43" i="12" s="1"/>
  <c r="C42" i="12"/>
  <c r="D42" i="12" s="1"/>
  <c r="C41" i="12"/>
  <c r="D41" i="12" s="1"/>
  <c r="K40" i="12"/>
  <c r="J40" i="12"/>
  <c r="I40" i="12"/>
  <c r="D40" i="12"/>
  <c r="C40" i="12"/>
  <c r="K39" i="12"/>
  <c r="J39" i="12"/>
  <c r="I39" i="12"/>
  <c r="C39" i="12"/>
  <c r="D39" i="12" s="1"/>
  <c r="K38" i="12"/>
  <c r="J38" i="12"/>
  <c r="I38" i="12"/>
  <c r="D38" i="12"/>
  <c r="C38" i="12"/>
  <c r="D37" i="12"/>
  <c r="C37" i="12"/>
  <c r="D36" i="12"/>
  <c r="C36" i="12"/>
  <c r="D35" i="12"/>
  <c r="C35" i="12"/>
  <c r="I34" i="12"/>
  <c r="H34" i="12"/>
  <c r="G34" i="12"/>
  <c r="C34" i="12"/>
  <c r="D34" i="12" s="1"/>
  <c r="H33" i="12"/>
  <c r="I33" i="12" s="1"/>
  <c r="G33" i="12"/>
  <c r="D33" i="12"/>
  <c r="C33" i="12"/>
  <c r="I32" i="12"/>
  <c r="H32" i="12"/>
  <c r="G32" i="12"/>
  <c r="C32" i="12"/>
  <c r="D32" i="12" s="1"/>
  <c r="H31" i="12"/>
  <c r="I31" i="12" s="1"/>
  <c r="G31" i="12"/>
  <c r="D31" i="12"/>
  <c r="C31" i="12"/>
  <c r="I30" i="12"/>
  <c r="H30" i="12"/>
  <c r="G30" i="12"/>
  <c r="C30" i="12"/>
  <c r="D30" i="12" s="1"/>
  <c r="C29" i="12"/>
  <c r="D29" i="12" s="1"/>
  <c r="C28" i="12"/>
  <c r="D28" i="12" s="1"/>
  <c r="C27" i="12"/>
  <c r="D27" i="12" s="1"/>
  <c r="D22" i="12"/>
  <c r="B22" i="12"/>
  <c r="D21" i="12"/>
  <c r="D23" i="12" s="1"/>
  <c r="C21" i="12"/>
  <c r="C22" i="12" s="1"/>
  <c r="B21" i="12"/>
  <c r="B23" i="12" s="1"/>
  <c r="E18" i="12"/>
  <c r="B18" i="12"/>
  <c r="E17" i="12"/>
  <c r="B17" i="12"/>
  <c r="E16" i="12"/>
  <c r="B16" i="12"/>
  <c r="E15" i="12"/>
  <c r="B15" i="12"/>
  <c r="E14" i="12"/>
  <c r="B14" i="12"/>
  <c r="E13" i="12"/>
  <c r="B13" i="12"/>
  <c r="E12" i="12"/>
  <c r="A12" i="12"/>
  <c r="E11" i="12"/>
  <c r="B11" i="12"/>
  <c r="E10" i="12"/>
  <c r="A10" i="12"/>
  <c r="E9" i="12"/>
  <c r="B9" i="12"/>
  <c r="E8" i="12"/>
  <c r="B8" i="12"/>
  <c r="E7" i="12"/>
  <c r="B7" i="12"/>
  <c r="E6" i="12"/>
  <c r="B6" i="12"/>
  <c r="E5" i="12"/>
  <c r="B5" i="12"/>
  <c r="E4" i="12"/>
  <c r="B4" i="12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B18" i="11"/>
  <c r="B17" i="11"/>
  <c r="B11" i="11"/>
  <c r="B10" i="11"/>
  <c r="E8" i="10"/>
  <c r="D8" i="10"/>
  <c r="C8" i="10"/>
  <c r="A8" i="10"/>
  <c r="E7" i="10"/>
  <c r="D7" i="10"/>
  <c r="C7" i="10"/>
  <c r="B7" i="10"/>
  <c r="E5" i="10"/>
  <c r="D5" i="10"/>
  <c r="E4" i="10"/>
  <c r="D4" i="10"/>
  <c r="C4" i="10"/>
  <c r="C5" i="10" s="1"/>
  <c r="B4" i="10"/>
  <c r="B5" i="10" s="1"/>
  <c r="L31" i="9" a="1"/>
  <c r="L31" i="9" s="1"/>
  <c r="K31" i="9" a="1"/>
  <c r="K31" i="9" s="1"/>
  <c r="J31" i="9" a="1"/>
  <c r="J31" i="9" s="1"/>
  <c r="I31" i="9" a="1"/>
  <c r="I31" i="9" s="1"/>
  <c r="L30" i="9" a="1"/>
  <c r="L30" i="9" s="1"/>
  <c r="K30" i="9" a="1"/>
  <c r="K30" i="9" s="1"/>
  <c r="J30" i="9" a="1"/>
  <c r="J30" i="9" s="1"/>
  <c r="I30" i="9" a="1"/>
  <c r="I30" i="9" s="1"/>
  <c r="L29" i="9" a="1"/>
  <c r="L29" i="9" s="1"/>
  <c r="K29" i="9" a="1"/>
  <c r="K29" i="9" s="1"/>
  <c r="J29" i="9" a="1"/>
  <c r="J29" i="9" s="1"/>
  <c r="I29" i="9" a="1"/>
  <c r="I29" i="9" s="1"/>
  <c r="T23" i="9" a="1"/>
  <c r="T23" i="9" s="1"/>
  <c r="S23" i="9" a="1"/>
  <c r="S23" i="9" s="1"/>
  <c r="R23" i="9" a="1"/>
  <c r="R23" i="9" s="1"/>
  <c r="Q23" i="9" a="1"/>
  <c r="Q23" i="9" s="1"/>
  <c r="L23" i="9" a="1"/>
  <c r="L23" i="9" s="1"/>
  <c r="K23" i="9" a="1"/>
  <c r="K23" i="9" s="1"/>
  <c r="J23" i="9" a="1"/>
  <c r="J23" i="9" s="1"/>
  <c r="T22" i="9" a="1"/>
  <c r="T22" i="9" s="1"/>
  <c r="S22" i="9" a="1"/>
  <c r="S22" i="9" s="1"/>
  <c r="R22" i="9" a="1"/>
  <c r="R22" i="9" s="1"/>
  <c r="Q22" i="9" a="1"/>
  <c r="Q22" i="9" s="1"/>
  <c r="L22" i="9" a="1"/>
  <c r="L22" i="9" s="1"/>
  <c r="K22" i="9" a="1"/>
  <c r="K22" i="9" s="1"/>
  <c r="J22" i="9" a="1"/>
  <c r="J22" i="9" s="1"/>
  <c r="T21" i="9" a="1"/>
  <c r="T21" i="9" s="1"/>
  <c r="S21" i="9" a="1"/>
  <c r="S21" i="9" s="1"/>
  <c r="R21" i="9" a="1"/>
  <c r="R21" i="9" s="1"/>
  <c r="Q21" i="9" a="1"/>
  <c r="Q21" i="9" s="1"/>
  <c r="K21" i="9" a="1"/>
  <c r="K21" i="9" s="1"/>
  <c r="J21" i="9" a="1"/>
  <c r="J21" i="9" s="1"/>
  <c r="I21" i="9" a="1"/>
  <c r="I21" i="9" s="1"/>
  <c r="T20" i="9" a="1"/>
  <c r="T20" i="9" s="1"/>
  <c r="S20" i="9" a="1"/>
  <c r="S20" i="9" s="1"/>
  <c r="R20" i="9" a="1"/>
  <c r="R20" i="9" s="1"/>
  <c r="Q20" i="9" a="1"/>
  <c r="Q20" i="9" s="1"/>
  <c r="K20" i="9" a="1"/>
  <c r="K20" i="9" s="1"/>
  <c r="J20" i="9" a="1"/>
  <c r="J20" i="9" s="1"/>
  <c r="I20" i="9" a="1"/>
  <c r="I20" i="9" s="1"/>
  <c r="T19" i="9" a="1"/>
  <c r="T19" i="9" s="1"/>
  <c r="S19" i="9" a="1"/>
  <c r="S19" i="9" s="1"/>
  <c r="R19" i="9" a="1"/>
  <c r="R19" i="9" s="1"/>
  <c r="Q19" i="9" a="1"/>
  <c r="Q19" i="9" s="1"/>
  <c r="K19" i="9" a="1"/>
  <c r="K19" i="9" s="1"/>
  <c r="J19" i="9" a="1"/>
  <c r="J19" i="9" s="1"/>
  <c r="I19" i="9" a="1"/>
  <c r="I19" i="9" s="1"/>
  <c r="T18" i="9" a="1"/>
  <c r="T18" i="9" s="1"/>
  <c r="S18" i="9" a="1"/>
  <c r="S18" i="9" s="1"/>
  <c r="R18" i="9" a="1"/>
  <c r="R18" i="9" s="1"/>
  <c r="Q18" i="9" a="1"/>
  <c r="Q18" i="9" s="1"/>
  <c r="K18" i="9" a="1"/>
  <c r="K18" i="9" s="1"/>
  <c r="J18" i="9" a="1"/>
  <c r="J18" i="9" s="1"/>
  <c r="I18" i="9" a="1"/>
  <c r="I18" i="9" s="1"/>
  <c r="T17" i="9" a="1"/>
  <c r="T17" i="9" s="1"/>
  <c r="S17" i="9" a="1"/>
  <c r="S17" i="9" s="1"/>
  <c r="R17" i="9" a="1"/>
  <c r="R17" i="9" s="1"/>
  <c r="Q17" i="9" a="1"/>
  <c r="Q17" i="9" s="1"/>
  <c r="L17" i="9" a="1"/>
  <c r="L17" i="9" s="1"/>
  <c r="K17" i="9" a="1"/>
  <c r="K17" i="9" s="1"/>
  <c r="J17" i="9" a="1"/>
  <c r="J17" i="9" s="1"/>
  <c r="I17" i="9" a="1"/>
  <c r="I17" i="9" s="1"/>
  <c r="T16" i="9" a="1"/>
  <c r="T16" i="9" s="1"/>
  <c r="S16" i="9" a="1"/>
  <c r="S16" i="9" s="1"/>
  <c r="R16" i="9" a="1"/>
  <c r="R16" i="9" s="1"/>
  <c r="Q16" i="9" a="1"/>
  <c r="Q16" i="9" s="1"/>
  <c r="K16" i="9" a="1"/>
  <c r="K16" i="9" s="1"/>
  <c r="J16" i="9" a="1"/>
  <c r="J16" i="9" s="1"/>
  <c r="I16" i="9" a="1"/>
  <c r="I16" i="9" s="1"/>
  <c r="T15" i="9" a="1"/>
  <c r="T15" i="9" s="1"/>
  <c r="S15" i="9" a="1"/>
  <c r="S15" i="9" s="1"/>
  <c r="R15" i="9" a="1"/>
  <c r="R15" i="9" s="1"/>
  <c r="Q15" i="9" a="1"/>
  <c r="Q15" i="9" s="1"/>
  <c r="L15" i="9" a="1"/>
  <c r="L15" i="9" s="1"/>
  <c r="K15" i="9" a="1"/>
  <c r="K15" i="9" s="1"/>
  <c r="J15" i="9" a="1"/>
  <c r="J15" i="9" s="1"/>
  <c r="I15" i="9" a="1"/>
  <c r="I15" i="9" s="1"/>
  <c r="T14" i="9" a="1"/>
  <c r="T14" i="9" s="1"/>
  <c r="S14" i="9" a="1"/>
  <c r="S14" i="9" s="1"/>
  <c r="R14" i="9" a="1"/>
  <c r="R14" i="9" s="1"/>
  <c r="Q14" i="9" a="1"/>
  <c r="Q14" i="9" s="1"/>
  <c r="L14" i="9" a="1"/>
  <c r="L14" i="9" s="1"/>
  <c r="K14" i="9" a="1"/>
  <c r="K14" i="9" s="1"/>
  <c r="J14" i="9" a="1"/>
  <c r="J14" i="9" s="1"/>
  <c r="I14" i="9" a="1"/>
  <c r="I14" i="9" s="1"/>
  <c r="T13" i="9" a="1"/>
  <c r="T13" i="9" s="1"/>
  <c r="S13" i="9" a="1"/>
  <c r="S13" i="9" s="1"/>
  <c r="R13" i="9" a="1"/>
  <c r="R13" i="9" s="1"/>
  <c r="Q13" i="9" a="1"/>
  <c r="Q13" i="9" s="1"/>
  <c r="L13" i="9" a="1"/>
  <c r="L13" i="9" s="1"/>
  <c r="K13" i="9" a="1"/>
  <c r="K13" i="9" s="1"/>
  <c r="J13" i="9" a="1"/>
  <c r="J13" i="9" s="1"/>
  <c r="I13" i="9" a="1"/>
  <c r="I13" i="9" s="1"/>
  <c r="T12" i="9" a="1"/>
  <c r="T12" i="9" s="1"/>
  <c r="S12" i="9" a="1"/>
  <c r="S12" i="9" s="1"/>
  <c r="R12" i="9" a="1"/>
  <c r="R12" i="9" s="1"/>
  <c r="Q12" i="9" a="1"/>
  <c r="Q12" i="9" s="1"/>
  <c r="L12" i="9" a="1"/>
  <c r="L12" i="9" s="1"/>
  <c r="K12" i="9" a="1"/>
  <c r="K12" i="9" s="1"/>
  <c r="J12" i="9" a="1"/>
  <c r="J12" i="9" s="1"/>
  <c r="I12" i="9" a="1"/>
  <c r="I12" i="9" s="1"/>
  <c r="T11" i="9" a="1"/>
  <c r="T11" i="9" s="1"/>
  <c r="S11" i="9" a="1"/>
  <c r="S11" i="9" s="1"/>
  <c r="R11" i="9" a="1"/>
  <c r="R11" i="9" s="1"/>
  <c r="Q11" i="9" a="1"/>
  <c r="Q11" i="9" s="1"/>
  <c r="J11" i="9" a="1"/>
  <c r="J11" i="9" s="1"/>
  <c r="I11" i="9" a="1"/>
  <c r="I11" i="9" s="1"/>
  <c r="T10" i="9" a="1"/>
  <c r="T10" i="9" s="1"/>
  <c r="S10" i="9" a="1"/>
  <c r="S10" i="9" s="1"/>
  <c r="R10" i="9" a="1"/>
  <c r="R10" i="9" s="1"/>
  <c r="Q10" i="9" a="1"/>
  <c r="Q10" i="9" s="1"/>
  <c r="K10" i="9" a="1"/>
  <c r="K10" i="9" s="1"/>
  <c r="J10" i="9" a="1"/>
  <c r="J10" i="9" s="1"/>
  <c r="I10" i="9" a="1"/>
  <c r="I10" i="9" s="1"/>
  <c r="T9" i="9" a="1"/>
  <c r="T9" i="9" s="1"/>
  <c r="S9" i="9" a="1"/>
  <c r="S9" i="9" s="1"/>
  <c r="R9" i="9" a="1"/>
  <c r="R9" i="9" s="1"/>
  <c r="Q9" i="9" a="1"/>
  <c r="Q9" i="9" s="1"/>
  <c r="K9" i="9" a="1"/>
  <c r="K9" i="9" s="1"/>
  <c r="J9" i="9" a="1"/>
  <c r="J9" i="9" s="1"/>
  <c r="I9" i="9" a="1"/>
  <c r="I9" i="9" s="1"/>
  <c r="T8" i="9" a="1"/>
  <c r="T8" i="9" s="1"/>
  <c r="S8" i="9" a="1"/>
  <c r="S8" i="9" s="1"/>
  <c r="R8" i="9" a="1"/>
  <c r="R8" i="9" s="1"/>
  <c r="Q8" i="9" a="1"/>
  <c r="Q8" i="9" s="1"/>
  <c r="K8" i="9" a="1"/>
  <c r="K8" i="9" s="1"/>
  <c r="J8" i="9" a="1"/>
  <c r="J8" i="9" s="1"/>
  <c r="I8" i="9" a="1"/>
  <c r="I8" i="9" s="1"/>
  <c r="T7" i="9" a="1"/>
  <c r="T7" i="9" s="1"/>
  <c r="S7" i="9" a="1"/>
  <c r="S7" i="9" s="1"/>
  <c r="R7" i="9" a="1"/>
  <c r="R7" i="9" s="1"/>
  <c r="Q7" i="9" a="1"/>
  <c r="Q7" i="9" s="1"/>
  <c r="K7" i="9" a="1"/>
  <c r="K7" i="9" s="1"/>
  <c r="J7" i="9" a="1"/>
  <c r="J7" i="9" s="1"/>
  <c r="I7" i="9" a="1"/>
  <c r="I7" i="9" s="1"/>
  <c r="T6" i="9" a="1"/>
  <c r="T6" i="9" s="1"/>
  <c r="S6" i="9" a="1"/>
  <c r="S6" i="9" s="1"/>
  <c r="R6" i="9" a="1"/>
  <c r="R6" i="9" s="1"/>
  <c r="Q6" i="9" a="1"/>
  <c r="Q6" i="9" s="1"/>
  <c r="L6" i="9" a="1"/>
  <c r="L6" i="9" s="1"/>
  <c r="K6" i="9" a="1"/>
  <c r="K6" i="9" s="1"/>
  <c r="J6" i="9" a="1"/>
  <c r="J6" i="9" s="1"/>
  <c r="T5" i="9" a="1"/>
  <c r="T5" i="9" s="1"/>
  <c r="S5" i="9" a="1"/>
  <c r="S5" i="9" s="1"/>
  <c r="R5" i="9" a="1"/>
  <c r="R5" i="9" s="1"/>
  <c r="Q5" i="9" a="1"/>
  <c r="Q5" i="9" s="1"/>
  <c r="J5" i="9" a="1"/>
  <c r="J5" i="9" s="1"/>
  <c r="I5" i="9" a="1"/>
  <c r="I5" i="9" s="1"/>
  <c r="T4" i="9" a="1"/>
  <c r="T4" i="9" s="1"/>
  <c r="T24" i="9" s="1"/>
  <c r="S4" i="9" a="1"/>
  <c r="S4" i="9" s="1"/>
  <c r="R4" i="9" a="1"/>
  <c r="R4" i="9" s="1"/>
  <c r="R24" i="9" s="1"/>
  <c r="Q4" i="9" a="1"/>
  <c r="Q4" i="9" s="1"/>
  <c r="K4" i="9" a="1"/>
  <c r="K4" i="9" s="1"/>
  <c r="K25" i="9" s="1"/>
  <c r="J4" i="9" a="1"/>
  <c r="J4" i="9" s="1"/>
  <c r="I4" i="9" a="1"/>
  <c r="I4" i="9" s="1"/>
  <c r="E17" i="8"/>
  <c r="E16" i="8"/>
  <c r="E15" i="8"/>
  <c r="E14" i="8"/>
  <c r="E13" i="8"/>
  <c r="E12" i="8"/>
  <c r="E11" i="8"/>
  <c r="I10" i="8"/>
  <c r="E10" i="8"/>
  <c r="I9" i="8"/>
  <c r="E9" i="8"/>
  <c r="I8" i="8"/>
  <c r="E8" i="8"/>
  <c r="I7" i="8"/>
  <c r="E7" i="8"/>
  <c r="E6" i="8"/>
  <c r="E5" i="8"/>
  <c r="E4" i="8"/>
  <c r="B45" i="23" l="1"/>
  <c r="B46" i="23"/>
  <c r="B43" i="23"/>
  <c r="B44" i="23" s="1"/>
  <c r="A43" i="23"/>
  <c r="A44" i="23" s="1"/>
  <c r="A45" i="23"/>
  <c r="A46" i="23"/>
  <c r="C46" i="23"/>
  <c r="C45" i="23"/>
  <c r="C43" i="23"/>
  <c r="C44" i="23" s="1"/>
  <c r="O14" i="21"/>
  <c r="O15" i="21" s="1"/>
  <c r="O16" i="21" s="1"/>
  <c r="I14" i="19"/>
  <c r="I16" i="19" s="1"/>
  <c r="I17" i="19" s="1"/>
  <c r="G11" i="20"/>
  <c r="H9" i="20"/>
  <c r="H12" i="19"/>
  <c r="P11" i="19"/>
  <c r="H16" i="19" s="1"/>
  <c r="H14" i="19"/>
  <c r="H13" i="19"/>
  <c r="H11" i="19"/>
  <c r="I12" i="19"/>
  <c r="I13" i="19" s="1" a="1"/>
  <c r="I13" i="19" s="1"/>
  <c r="I15" i="19" s="1"/>
  <c r="I11" i="19"/>
  <c r="J14" i="19"/>
  <c r="J16" i="19" s="1"/>
  <c r="J17" i="19" s="1"/>
  <c r="J11" i="19"/>
  <c r="J12" i="19"/>
  <c r="J13" i="19" s="1" a="1"/>
  <c r="J13" i="19" s="1"/>
  <c r="F7" i="18"/>
  <c r="F6" i="18"/>
  <c r="F4" i="18"/>
  <c r="F5" i="18"/>
  <c r="F14" i="17"/>
  <c r="O32" i="17"/>
  <c r="O33" i="17"/>
  <c r="I14" i="15"/>
  <c r="J14" i="15" s="1"/>
  <c r="I13" i="15"/>
  <c r="J13" i="15" s="1"/>
  <c r="I12" i="15"/>
  <c r="I11" i="15"/>
  <c r="J11" i="15" s="1"/>
  <c r="I10" i="15"/>
  <c r="J10" i="15" s="1"/>
  <c r="I9" i="15"/>
  <c r="J9" i="15" s="1"/>
  <c r="I8" i="15"/>
  <c r="I7" i="15"/>
  <c r="J7" i="15" s="1"/>
  <c r="I6" i="15"/>
  <c r="J6" i="15" s="1"/>
  <c r="I5" i="15"/>
  <c r="J5" i="15" s="1"/>
  <c r="I4" i="15"/>
  <c r="I3" i="15"/>
  <c r="J3" i="15" s="1"/>
  <c r="O24" i="14"/>
  <c r="K24" i="14"/>
  <c r="G24" i="14"/>
  <c r="N24" i="14"/>
  <c r="J24" i="14"/>
  <c r="F24" i="14"/>
  <c r="M24" i="14"/>
  <c r="I24" i="14"/>
  <c r="L24" i="14"/>
  <c r="H24" i="14"/>
  <c r="O25" i="14"/>
  <c r="K25" i="14"/>
  <c r="G25" i="14"/>
  <c r="H25" i="14"/>
  <c r="N25" i="14"/>
  <c r="J25" i="14"/>
  <c r="F25" i="14"/>
  <c r="M25" i="14"/>
  <c r="I25" i="14"/>
  <c r="L25" i="14"/>
  <c r="M26" i="14"/>
  <c r="I9" i="14"/>
  <c r="N11" i="14"/>
  <c r="L12" i="14"/>
  <c r="F26" i="14"/>
  <c r="J26" i="14"/>
  <c r="N26" i="14"/>
  <c r="G27" i="14"/>
  <c r="K27" i="14"/>
  <c r="O27" i="14"/>
  <c r="L9" i="14"/>
  <c r="H7" i="14"/>
  <c r="F18" i="14" s="1" a="1"/>
  <c r="L7" i="14"/>
  <c r="M9" i="14"/>
  <c r="I7" i="14"/>
  <c r="M7" i="14"/>
  <c r="K8" i="14"/>
  <c r="F19" i="14" s="1" a="1"/>
  <c r="J9" i="14"/>
  <c r="N9" i="14"/>
  <c r="J10" i="14"/>
  <c r="N10" i="14"/>
  <c r="K11" i="14"/>
  <c r="F22" i="14" s="1" a="1"/>
  <c r="M12" i="14"/>
  <c r="G26" i="14"/>
  <c r="K26" i="14"/>
  <c r="O26" i="14"/>
  <c r="H27" i="14"/>
  <c r="L27" i="14"/>
  <c r="O12" i="14"/>
  <c r="I26" i="14"/>
  <c r="J7" i="14"/>
  <c r="K9" i="14"/>
  <c r="K10" i="14"/>
  <c r="H26" i="14"/>
  <c r="I27" i="14"/>
  <c r="I19" i="13"/>
  <c r="B33" i="13"/>
  <c r="B40" i="13"/>
  <c r="B42" i="13"/>
  <c r="B50" i="13"/>
  <c r="B56" i="13"/>
  <c r="B60" i="13"/>
  <c r="B64" i="13"/>
  <c r="B72" i="13"/>
  <c r="B24" i="13"/>
  <c r="B30" i="13"/>
  <c r="B34" i="13"/>
  <c r="B73" i="13"/>
  <c r="B38" i="13"/>
  <c r="B44" i="13"/>
  <c r="B48" i="13"/>
  <c r="B54" i="13"/>
  <c r="B58" i="13"/>
  <c r="B62" i="13"/>
  <c r="B66" i="13"/>
  <c r="B70" i="13"/>
  <c r="B31" i="13"/>
  <c r="B35" i="13"/>
  <c r="B37" i="13"/>
  <c r="B39" i="13"/>
  <c r="B41" i="13"/>
  <c r="B43" i="13"/>
  <c r="B45" i="13"/>
  <c r="B47" i="13"/>
  <c r="B49" i="13"/>
  <c r="B51" i="13"/>
  <c r="B53" i="13"/>
  <c r="B55" i="13"/>
  <c r="B57" i="13"/>
  <c r="B59" i="13"/>
  <c r="B61" i="13"/>
  <c r="B63" i="13"/>
  <c r="B65" i="13"/>
  <c r="B67" i="13"/>
  <c r="B69" i="13"/>
  <c r="B71" i="13"/>
  <c r="B74" i="13"/>
  <c r="B36" i="13"/>
  <c r="B46" i="13"/>
  <c r="B52" i="13"/>
  <c r="B68" i="13"/>
  <c r="B23" i="13"/>
  <c r="B25" i="13"/>
  <c r="B32" i="13"/>
  <c r="C23" i="12"/>
  <c r="A9" i="10"/>
  <c r="B8" i="10"/>
  <c r="K24" i="9"/>
  <c r="Q24" i="9"/>
  <c r="L25" i="9"/>
  <c r="L24" i="9"/>
  <c r="M24" i="9" s="1"/>
  <c r="I24" i="9"/>
  <c r="J24" i="9"/>
  <c r="J25" i="9"/>
  <c r="S24" i="9"/>
  <c r="I25" i="9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L24" i="7"/>
  <c r="K24" i="7"/>
  <c r="J24" i="7"/>
  <c r="C24" i="7"/>
  <c r="C23" i="7"/>
  <c r="C22" i="7"/>
  <c r="L21" i="7"/>
  <c r="C21" i="7"/>
  <c r="L20" i="7"/>
  <c r="K20" i="7"/>
  <c r="C20" i="7"/>
  <c r="L19" i="7"/>
  <c r="K19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G5" i="7" s="1"/>
  <c r="C6" i="7"/>
  <c r="C5" i="7"/>
  <c r="G3" i="7" s="1"/>
  <c r="F8" i="18" l="1"/>
  <c r="F11" i="18" s="1"/>
  <c r="H15" i="19"/>
  <c r="H20" i="19" s="1"/>
  <c r="J15" i="19"/>
  <c r="I19" i="19" s="1"/>
  <c r="H11" i="20"/>
  <c r="H10" i="20"/>
  <c r="H21" i="19"/>
  <c r="I18" i="19"/>
  <c r="O34" i="17"/>
  <c r="J4" i="15"/>
  <c r="J8" i="15"/>
  <c r="J12" i="15"/>
  <c r="O18" i="14"/>
  <c r="K18" i="14"/>
  <c r="G18" i="14"/>
  <c r="L18" i="14"/>
  <c r="H18" i="14"/>
  <c r="N18" i="14"/>
  <c r="J18" i="14"/>
  <c r="F18" i="14"/>
  <c r="M18" i="14"/>
  <c r="I18" i="14"/>
  <c r="L19" i="14"/>
  <c r="H19" i="14"/>
  <c r="I19" i="14"/>
  <c r="O19" i="14"/>
  <c r="K19" i="14"/>
  <c r="G19" i="14"/>
  <c r="N19" i="14"/>
  <c r="J19" i="14"/>
  <c r="F19" i="14"/>
  <c r="M19" i="14"/>
  <c r="F23" i="14" a="1"/>
  <c r="F21" i="14" a="1"/>
  <c r="O22" i="14"/>
  <c r="K22" i="14"/>
  <c r="G22" i="14"/>
  <c r="L22" i="14"/>
  <c r="H22" i="14"/>
  <c r="N22" i="14"/>
  <c r="J22" i="14"/>
  <c r="F22" i="14"/>
  <c r="M22" i="14"/>
  <c r="I22" i="14"/>
  <c r="F20" i="14" a="1"/>
  <c r="C65" i="13"/>
  <c r="C57" i="13"/>
  <c r="C49" i="13"/>
  <c r="C41" i="13"/>
  <c r="C23" i="13"/>
  <c r="I20" i="13"/>
  <c r="C71" i="13" s="1"/>
  <c r="C70" i="13"/>
  <c r="C64" i="13"/>
  <c r="C62" i="13"/>
  <c r="C56" i="13"/>
  <c r="C54" i="13"/>
  <c r="C50" i="13"/>
  <c r="C48" i="13"/>
  <c r="C46" i="13"/>
  <c r="C42" i="13"/>
  <c r="C40" i="13"/>
  <c r="C38" i="13"/>
  <c r="E9" i="10"/>
  <c r="B9" i="10"/>
  <c r="A10" i="10"/>
  <c r="D9" i="10"/>
  <c r="C9" i="10"/>
  <c r="U24" i="9"/>
  <c r="G4" i="7"/>
  <c r="G2" i="7"/>
  <c r="F12" i="18" l="1"/>
  <c r="I20" i="19"/>
  <c r="I21" i="19"/>
  <c r="O35" i="17"/>
  <c r="N21" i="14"/>
  <c r="J21" i="14"/>
  <c r="F21" i="14"/>
  <c r="O21" i="14"/>
  <c r="K21" i="14"/>
  <c r="G21" i="14"/>
  <c r="M21" i="14"/>
  <c r="I21" i="14"/>
  <c r="L21" i="14"/>
  <c r="H21" i="14"/>
  <c r="M20" i="14"/>
  <c r="I20" i="14"/>
  <c r="N20" i="14"/>
  <c r="F20" i="14"/>
  <c r="L20" i="14"/>
  <c r="H20" i="14"/>
  <c r="D17" i="14" s="1" a="1"/>
  <c r="D17" i="14" s="1"/>
  <c r="C17" i="14" s="1"/>
  <c r="O20" i="14"/>
  <c r="K20" i="14"/>
  <c r="G20" i="14"/>
  <c r="J20" i="14"/>
  <c r="O23" i="14"/>
  <c r="K23" i="14"/>
  <c r="G23" i="14"/>
  <c r="L23" i="14"/>
  <c r="H23" i="14"/>
  <c r="N23" i="14"/>
  <c r="J23" i="14"/>
  <c r="F23" i="14"/>
  <c r="M23" i="14"/>
  <c r="I23" i="14"/>
  <c r="C25" i="13"/>
  <c r="C35" i="13"/>
  <c r="C43" i="13"/>
  <c r="C51" i="13"/>
  <c r="C59" i="13"/>
  <c r="C67" i="13"/>
  <c r="C37" i="13"/>
  <c r="C45" i="13"/>
  <c r="C53" i="13"/>
  <c r="C61" i="13"/>
  <c r="C69" i="13"/>
  <c r="C58" i="13"/>
  <c r="C66" i="13"/>
  <c r="C36" i="13"/>
  <c r="C44" i="13"/>
  <c r="C52" i="13"/>
  <c r="C60" i="13"/>
  <c r="C68" i="13"/>
  <c r="C24" i="13"/>
  <c r="C39" i="13"/>
  <c r="C47" i="13"/>
  <c r="C55" i="13"/>
  <c r="C63" i="13"/>
  <c r="D10" i="10"/>
  <c r="B10" i="10"/>
  <c r="A11" i="10"/>
  <c r="E10" i="10"/>
  <c r="C10" i="10"/>
  <c r="K13" i="7"/>
  <c r="K9" i="7"/>
  <c r="K10" i="7"/>
  <c r="J11" i="7" s="1"/>
  <c r="L26" i="7"/>
  <c r="L25" i="7"/>
  <c r="K12" i="7"/>
  <c r="J26" i="7"/>
  <c r="K26" i="7"/>
  <c r="K25" i="7"/>
  <c r="K15" i="7"/>
  <c r="K11" i="7"/>
  <c r="J25" i="7"/>
  <c r="K14" i="7"/>
  <c r="O36" i="17" l="1"/>
  <c r="O37" i="17"/>
  <c r="B64" i="14"/>
  <c r="B56" i="14"/>
  <c r="B48" i="14"/>
  <c r="B36" i="14"/>
  <c r="B25" i="14"/>
  <c r="B72" i="14"/>
  <c r="B44" i="14"/>
  <c r="B68" i="14"/>
  <c r="B60" i="14"/>
  <c r="B52" i="14"/>
  <c r="B40" i="14"/>
  <c r="B32" i="14"/>
  <c r="B24" i="14"/>
  <c r="B23" i="14"/>
  <c r="B45" i="14"/>
  <c r="B61" i="14"/>
  <c r="B38" i="14"/>
  <c r="B54" i="14"/>
  <c r="B70" i="14"/>
  <c r="B43" i="14"/>
  <c r="B59" i="14"/>
  <c r="B37" i="14"/>
  <c r="B53" i="14"/>
  <c r="B69" i="14"/>
  <c r="B46" i="14"/>
  <c r="B62" i="14"/>
  <c r="B35" i="14"/>
  <c r="B67" i="14"/>
  <c r="B41" i="14"/>
  <c r="B73" i="14"/>
  <c r="B75" i="14"/>
  <c r="B33" i="14"/>
  <c r="B49" i="14"/>
  <c r="B65" i="14"/>
  <c r="B42" i="14"/>
  <c r="B58" i="14"/>
  <c r="B74" i="14"/>
  <c r="B31" i="14"/>
  <c r="B47" i="14"/>
  <c r="B63" i="14"/>
  <c r="B30" i="14"/>
  <c r="B51" i="14"/>
  <c r="B57" i="14"/>
  <c r="B34" i="14"/>
  <c r="B50" i="14"/>
  <c r="B66" i="14"/>
  <c r="B39" i="14"/>
  <c r="B55" i="14"/>
  <c r="B71" i="14"/>
  <c r="C11" i="10"/>
  <c r="B11" i="10"/>
  <c r="A12" i="10"/>
  <c r="E11" i="10"/>
  <c r="D11" i="10"/>
  <c r="J12" i="7"/>
  <c r="J16" i="7"/>
  <c r="J13" i="7"/>
  <c r="J10" i="7"/>
  <c r="L9" i="7"/>
  <c r="J15" i="7"/>
  <c r="J14" i="7"/>
  <c r="O38" i="17" l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O84" i="17" s="1"/>
  <c r="O85" i="17" s="1"/>
  <c r="O86" i="17" s="1"/>
  <c r="O87" i="17" s="1"/>
  <c r="O88" i="17" s="1"/>
  <c r="O89" i="17" s="1"/>
  <c r="O90" i="17" s="1"/>
  <c r="O91" i="17" s="1"/>
  <c r="O92" i="17" s="1"/>
  <c r="O93" i="17" s="1"/>
  <c r="O94" i="17" s="1"/>
  <c r="O95" i="17" s="1"/>
  <c r="O96" i="17" s="1"/>
  <c r="O97" i="17" s="1"/>
  <c r="O98" i="17" s="1"/>
  <c r="O99" i="17" s="1"/>
  <c r="O100" i="17" s="1"/>
  <c r="A13" i="10"/>
  <c r="B12" i="10"/>
  <c r="C12" i="10"/>
  <c r="E12" i="10"/>
  <c r="D12" i="10"/>
  <c r="L10" i="7"/>
  <c r="M9" i="7"/>
  <c r="L11" i="7"/>
  <c r="M11" i="7" s="1"/>
  <c r="E13" i="10" l="1"/>
  <c r="C13" i="10"/>
  <c r="B13" i="10"/>
  <c r="A14" i="10"/>
  <c r="D13" i="10"/>
  <c r="M10" i="7"/>
  <c r="L12" i="7"/>
  <c r="M12" i="7" s="1"/>
  <c r="D14" i="10" l="1"/>
  <c r="C14" i="10"/>
  <c r="B14" i="10"/>
  <c r="A15" i="10"/>
  <c r="E14" i="10"/>
  <c r="L13" i="7"/>
  <c r="C15" i="10" l="1"/>
  <c r="D15" i="10"/>
  <c r="B15" i="10"/>
  <c r="A16" i="10"/>
  <c r="E15" i="10"/>
  <c r="M13" i="7"/>
  <c r="L14" i="7"/>
  <c r="M14" i="7" s="1"/>
  <c r="A17" i="10" l="1"/>
  <c r="B16" i="10"/>
  <c r="D16" i="10"/>
  <c r="C16" i="10"/>
  <c r="E16" i="10"/>
  <c r="L15" i="7"/>
  <c r="M20" i="7"/>
  <c r="M19" i="7"/>
  <c r="C135" i="6"/>
  <c r="C134" i="6"/>
  <c r="C133" i="6"/>
  <c r="C132" i="6"/>
  <c r="C131" i="6"/>
  <c r="C130" i="6"/>
  <c r="C129" i="6"/>
  <c r="C128" i="6"/>
  <c r="C127" i="6"/>
  <c r="C126" i="6"/>
  <c r="C125" i="6"/>
  <c r="C124" i="6"/>
  <c r="C123" i="6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G30" i="6"/>
  <c r="C30" i="6"/>
  <c r="C29" i="6"/>
  <c r="C28" i="6"/>
  <c r="C27" i="6"/>
  <c r="F56" i="6" s="1"/>
  <c r="G56" i="6" s="1"/>
  <c r="G26" i="6"/>
  <c r="C26" i="6"/>
  <c r="G25" i="6"/>
  <c r="C25" i="6"/>
  <c r="G24" i="6"/>
  <c r="C24" i="6"/>
  <c r="G23" i="6"/>
  <c r="C23" i="6"/>
  <c r="G22" i="6"/>
  <c r="C22" i="6"/>
  <c r="G21" i="6"/>
  <c r="C21" i="6"/>
  <c r="G20" i="6"/>
  <c r="C20" i="6"/>
  <c r="G19" i="6"/>
  <c r="C19" i="6"/>
  <c r="G18" i="6"/>
  <c r="C18" i="6"/>
  <c r="G17" i="6"/>
  <c r="C17" i="6"/>
  <c r="G16" i="6"/>
  <c r="C16" i="6"/>
  <c r="G15" i="6"/>
  <c r="C15" i="6"/>
  <c r="G14" i="6"/>
  <c r="C14" i="6"/>
  <c r="G13" i="6"/>
  <c r="C13" i="6"/>
  <c r="G12" i="6"/>
  <c r="C12" i="6"/>
  <c r="G11" i="6"/>
  <c r="C11" i="6"/>
  <c r="G10" i="6"/>
  <c r="C10" i="6"/>
  <c r="G9" i="6"/>
  <c r="C9" i="6"/>
  <c r="G8" i="6"/>
  <c r="C8" i="6"/>
  <c r="G7" i="6"/>
  <c r="C7" i="6"/>
  <c r="G6" i="6"/>
  <c r="C6" i="6"/>
  <c r="G5" i="6"/>
  <c r="C5" i="6"/>
  <c r="H25" i="6" s="1"/>
  <c r="G9" i="5"/>
  <c r="E9" i="5"/>
  <c r="D4" i="4"/>
  <c r="F43" i="3"/>
  <c r="I40" i="3"/>
  <c r="H40" i="3"/>
  <c r="D40" i="3"/>
  <c r="F40" i="3" s="1"/>
  <c r="C40" i="3"/>
  <c r="E40" i="3" s="1"/>
  <c r="I39" i="3"/>
  <c r="H39" i="3"/>
  <c r="F39" i="3"/>
  <c r="D39" i="3"/>
  <c r="C39" i="3"/>
  <c r="E39" i="3" s="1"/>
  <c r="I38" i="3"/>
  <c r="H38" i="3"/>
  <c r="F38" i="3"/>
  <c r="D38" i="3"/>
  <c r="C38" i="3"/>
  <c r="E38" i="3" s="1"/>
  <c r="I37" i="3"/>
  <c r="H37" i="3"/>
  <c r="F37" i="3"/>
  <c r="E37" i="3"/>
  <c r="D37" i="3"/>
  <c r="C37" i="3"/>
  <c r="I36" i="3"/>
  <c r="H36" i="3"/>
  <c r="D36" i="3"/>
  <c r="F36" i="3" s="1"/>
  <c r="C36" i="3"/>
  <c r="I35" i="3"/>
  <c r="H35" i="3"/>
  <c r="D35" i="3"/>
  <c r="F35" i="3" s="1"/>
  <c r="C35" i="3"/>
  <c r="E35" i="3" s="1"/>
  <c r="I34" i="3"/>
  <c r="H34" i="3"/>
  <c r="F34" i="3"/>
  <c r="D34" i="3"/>
  <c r="C34" i="3"/>
  <c r="E34" i="3" s="1"/>
  <c r="I33" i="3"/>
  <c r="H33" i="3"/>
  <c r="F33" i="3"/>
  <c r="E33" i="3"/>
  <c r="D33" i="3"/>
  <c r="C33" i="3"/>
  <c r="I32" i="3"/>
  <c r="H32" i="3"/>
  <c r="D32" i="3"/>
  <c r="F32" i="3" s="1"/>
  <c r="C32" i="3"/>
  <c r="I31" i="3"/>
  <c r="H31" i="3"/>
  <c r="D31" i="3"/>
  <c r="F31" i="3" s="1"/>
  <c r="C31" i="3"/>
  <c r="E31" i="3" s="1"/>
  <c r="I30" i="3"/>
  <c r="H30" i="3"/>
  <c r="F30" i="3"/>
  <c r="D30" i="3"/>
  <c r="C30" i="3"/>
  <c r="E30" i="3" s="1"/>
  <c r="I29" i="3"/>
  <c r="H29" i="3"/>
  <c r="F29" i="3"/>
  <c r="F41" i="3" s="1"/>
  <c r="E29" i="3"/>
  <c r="D29" i="3"/>
  <c r="C29" i="3"/>
  <c r="C28" i="3"/>
  <c r="E43" i="3" s="1"/>
  <c r="J27" i="3"/>
  <c r="J38" i="3" s="1"/>
  <c r="C24" i="3"/>
  <c r="B24" i="3"/>
  <c r="C23" i="3"/>
  <c r="B23" i="3"/>
  <c r="D20" i="3"/>
  <c r="F20" i="3" s="1"/>
  <c r="F19" i="3"/>
  <c r="D19" i="3"/>
  <c r="E19" i="3" s="1"/>
  <c r="C15" i="3"/>
  <c r="D15" i="3" s="1"/>
  <c r="C13" i="3"/>
  <c r="D13" i="3" s="1"/>
  <c r="C12" i="3"/>
  <c r="D12" i="3" s="1"/>
  <c r="C11" i="3"/>
  <c r="D11" i="3" s="1"/>
  <c r="C10" i="3"/>
  <c r="D10" i="3" s="1"/>
  <c r="C9" i="3"/>
  <c r="D9" i="3" s="1"/>
  <c r="C8" i="3"/>
  <c r="D8" i="3" s="1"/>
  <c r="C4" i="3"/>
  <c r="E43" i="2" a="1"/>
  <c r="E43" i="2" s="1"/>
  <c r="E37" i="2"/>
  <c r="E40" i="2" s="1"/>
  <c r="E36" i="2"/>
  <c r="E39" i="2" s="1"/>
  <c r="M33" i="2"/>
  <c r="M32" i="2"/>
  <c r="M31" i="2"/>
  <c r="M30" i="2"/>
  <c r="M29" i="2"/>
  <c r="M28" i="2"/>
  <c r="M27" i="2"/>
  <c r="M26" i="2"/>
  <c r="M25" i="2"/>
  <c r="K25" i="2"/>
  <c r="I25" i="2"/>
  <c r="M24" i="2"/>
  <c r="K24" i="2"/>
  <c r="I24" i="2"/>
  <c r="M23" i="2"/>
  <c r="M22" i="2"/>
  <c r="M21" i="2"/>
  <c r="I21" i="2"/>
  <c r="M20" i="2"/>
  <c r="M19" i="2"/>
  <c r="M18" i="2"/>
  <c r="K18" i="2"/>
  <c r="K7" i="2" s="1"/>
  <c r="M17" i="2"/>
  <c r="K17" i="2"/>
  <c r="M16" i="2"/>
  <c r="K16" i="2"/>
  <c r="M15" i="2"/>
  <c r="K15" i="2"/>
  <c r="K14" i="2" s="1"/>
  <c r="M14" i="2"/>
  <c r="M13" i="2"/>
  <c r="K13" i="2"/>
  <c r="M12" i="2"/>
  <c r="K12" i="2"/>
  <c r="I12" i="2"/>
  <c r="M11" i="2"/>
  <c r="K11" i="2"/>
  <c r="M10" i="2"/>
  <c r="K10" i="2"/>
  <c r="M9" i="2"/>
  <c r="K9" i="2"/>
  <c r="M8" i="2"/>
  <c r="K8" i="2"/>
  <c r="M7" i="2"/>
  <c r="M6" i="2"/>
  <c r="O9" i="2" s="1"/>
  <c r="I9" i="2" s="1"/>
  <c r="K6" i="2"/>
  <c r="M5" i="2"/>
  <c r="M4" i="2"/>
  <c r="E17" i="10" l="1"/>
  <c r="D17" i="10"/>
  <c r="C17" i="10"/>
  <c r="B17" i="10"/>
  <c r="A18" i="10"/>
  <c r="M15" i="7"/>
  <c r="M21" i="7" s="1"/>
  <c r="L16" i="7"/>
  <c r="M16" i="7" s="1"/>
  <c r="I26" i="6"/>
  <c r="F36" i="6"/>
  <c r="G36" i="6" s="1"/>
  <c r="I36" i="6" s="1"/>
  <c r="F40" i="6"/>
  <c r="G40" i="6" s="1"/>
  <c r="F46" i="6"/>
  <c r="G46" i="6" s="1"/>
  <c r="H53" i="6"/>
  <c r="G31" i="6"/>
  <c r="H37" i="6"/>
  <c r="H39" i="6"/>
  <c r="H41" i="6"/>
  <c r="F44" i="6"/>
  <c r="G44" i="6" s="1"/>
  <c r="I44" i="6" s="1"/>
  <c r="F48" i="6"/>
  <c r="G48" i="6" s="1"/>
  <c r="H49" i="6"/>
  <c r="H51" i="6"/>
  <c r="J51" i="6" s="1"/>
  <c r="F54" i="6"/>
  <c r="G54" i="6" s="1"/>
  <c r="I54" i="6" s="1"/>
  <c r="H55" i="6"/>
  <c r="I30" i="6"/>
  <c r="I31" i="6"/>
  <c r="H36" i="6"/>
  <c r="J36" i="6" s="1"/>
  <c r="F37" i="6"/>
  <c r="G37" i="6" s="1"/>
  <c r="H38" i="6"/>
  <c r="J38" i="6" s="1"/>
  <c r="F39" i="6"/>
  <c r="G39" i="6" s="1"/>
  <c r="I39" i="6" s="1"/>
  <c r="H40" i="6"/>
  <c r="J40" i="6" s="1"/>
  <c r="F41" i="6"/>
  <c r="G41" i="6" s="1"/>
  <c r="I41" i="6" s="1"/>
  <c r="H42" i="6"/>
  <c r="F43" i="6"/>
  <c r="G43" i="6" s="1"/>
  <c r="H44" i="6"/>
  <c r="F45" i="6"/>
  <c r="G45" i="6" s="1"/>
  <c r="H46" i="6"/>
  <c r="J46" i="6" s="1"/>
  <c r="F47" i="6"/>
  <c r="G47" i="6" s="1"/>
  <c r="I47" i="6" s="1"/>
  <c r="H48" i="6"/>
  <c r="J48" i="6" s="1"/>
  <c r="F49" i="6"/>
  <c r="G49" i="6" s="1"/>
  <c r="I49" i="6" s="1"/>
  <c r="H50" i="6"/>
  <c r="J50" i="6" s="1"/>
  <c r="F51" i="6"/>
  <c r="G51" i="6" s="1"/>
  <c r="H52" i="6"/>
  <c r="J52" i="6" s="1"/>
  <c r="F53" i="6"/>
  <c r="G53" i="6" s="1"/>
  <c r="H54" i="6"/>
  <c r="J54" i="6" s="1"/>
  <c r="F55" i="6"/>
  <c r="G55" i="6" s="1"/>
  <c r="H56" i="6"/>
  <c r="F57" i="6"/>
  <c r="G57" i="6" s="1"/>
  <c r="I57" i="6" s="1"/>
  <c r="F38" i="6"/>
  <c r="G38" i="6" s="1"/>
  <c r="I38" i="6" s="1"/>
  <c r="F42" i="6"/>
  <c r="G42" i="6" s="1"/>
  <c r="I42" i="6" s="1"/>
  <c r="H43" i="6"/>
  <c r="J43" i="6" s="1"/>
  <c r="H45" i="6"/>
  <c r="H47" i="6"/>
  <c r="J47" i="6" s="1"/>
  <c r="F50" i="6"/>
  <c r="G50" i="6" s="1"/>
  <c r="I50" i="6" s="1"/>
  <c r="F52" i="6"/>
  <c r="G52" i="6" s="1"/>
  <c r="I52" i="6" s="1"/>
  <c r="H30" i="6"/>
  <c r="H31" i="6"/>
  <c r="H5" i="6"/>
  <c r="I5" i="6" s="1"/>
  <c r="H6" i="6"/>
  <c r="I6" i="6" s="1"/>
  <c r="H7" i="6"/>
  <c r="H8" i="6"/>
  <c r="I8" i="6" s="1"/>
  <c r="H9" i="6"/>
  <c r="I9" i="6" s="1"/>
  <c r="H10" i="6"/>
  <c r="I10" i="6" s="1"/>
  <c r="H11" i="6"/>
  <c r="H12" i="6"/>
  <c r="I12" i="6" s="1"/>
  <c r="H13" i="6"/>
  <c r="I13" i="6" s="1"/>
  <c r="H14" i="6"/>
  <c r="I14" i="6" s="1"/>
  <c r="H15" i="6"/>
  <c r="H16" i="6"/>
  <c r="I16" i="6" s="1"/>
  <c r="H17" i="6"/>
  <c r="I17" i="6" s="1"/>
  <c r="H18" i="6"/>
  <c r="I18" i="6" s="1"/>
  <c r="H19" i="6"/>
  <c r="H20" i="6"/>
  <c r="I20" i="6" s="1"/>
  <c r="H21" i="6"/>
  <c r="I21" i="6" s="1"/>
  <c r="H22" i="6"/>
  <c r="I22" i="6" s="1"/>
  <c r="H23" i="6"/>
  <c r="H24" i="6"/>
  <c r="I24" i="6" s="1"/>
  <c r="F42" i="3" a="1"/>
  <c r="F42" i="3" s="1"/>
  <c r="E24" i="3"/>
  <c r="E23" i="3"/>
  <c r="J40" i="3"/>
  <c r="J29" i="3"/>
  <c r="J33" i="3"/>
  <c r="J37" i="3"/>
  <c r="E32" i="3"/>
  <c r="E41" i="3" s="1"/>
  <c r="J32" i="3"/>
  <c r="E36" i="3"/>
  <c r="J36" i="3"/>
  <c r="E20" i="3"/>
  <c r="D23" i="3"/>
  <c r="D24" i="3"/>
  <c r="J31" i="3"/>
  <c r="J35" i="3"/>
  <c r="J39" i="3"/>
  <c r="J30" i="3"/>
  <c r="J34" i="3"/>
  <c r="E42" i="2" a="1"/>
  <c r="E42" i="2" s="1"/>
  <c r="D18" i="10" l="1"/>
  <c r="E18" i="10"/>
  <c r="C18" i="10"/>
  <c r="B18" i="10"/>
  <c r="A19" i="10"/>
  <c r="J41" i="6"/>
  <c r="J53" i="6"/>
  <c r="I25" i="6"/>
  <c r="J57" i="6"/>
  <c r="J56" i="6"/>
  <c r="I55" i="6"/>
  <c r="I43" i="6"/>
  <c r="J42" i="6"/>
  <c r="J49" i="6"/>
  <c r="J39" i="6"/>
  <c r="I46" i="6"/>
  <c r="J44" i="6"/>
  <c r="I51" i="6"/>
  <c r="I23" i="6"/>
  <c r="I19" i="6"/>
  <c r="I15" i="6"/>
  <c r="I11" i="6"/>
  <c r="I7" i="6"/>
  <c r="J45" i="6"/>
  <c r="I53" i="6"/>
  <c r="I45" i="6"/>
  <c r="I37" i="6"/>
  <c r="J55" i="6"/>
  <c r="I48" i="6"/>
  <c r="J37" i="6"/>
  <c r="I40" i="6"/>
  <c r="I56" i="6"/>
  <c r="E49" i="2" a="1"/>
  <c r="E49" i="2" s="1"/>
  <c r="E52" i="2" s="1" a="1"/>
  <c r="E52" i="2" s="1"/>
  <c r="E46" i="2" a="1"/>
  <c r="E46" i="2" s="1"/>
  <c r="E51" i="2" a="1"/>
  <c r="E51" i="2" s="1"/>
  <c r="E48" i="2" a="1"/>
  <c r="E48" i="2" s="1"/>
  <c r="E45" i="2" a="1"/>
  <c r="E45" i="2" s="1"/>
  <c r="C19" i="10" l="1"/>
  <c r="E19" i="10"/>
  <c r="D19" i="10"/>
  <c r="B19" i="10"/>
  <c r="A20" i="10"/>
  <c r="A21" i="10" l="1"/>
  <c r="B20" i="10"/>
  <c r="E20" i="10"/>
  <c r="D20" i="10"/>
  <c r="C20" i="10"/>
  <c r="E21" i="10" l="1"/>
  <c r="A22" i="10"/>
  <c r="D21" i="10"/>
  <c r="C21" i="10"/>
  <c r="B21" i="10"/>
  <c r="D22" i="10" l="1"/>
  <c r="A23" i="10"/>
  <c r="E22" i="10"/>
  <c r="C22" i="10"/>
  <c r="B22" i="10"/>
  <c r="C23" i="10" l="1"/>
  <c r="A24" i="10"/>
  <c r="E23" i="10"/>
  <c r="D23" i="10"/>
  <c r="B23" i="10"/>
  <c r="A25" i="10" l="1"/>
  <c r="B24" i="10"/>
  <c r="E24" i="10"/>
  <c r="D24" i="10"/>
  <c r="C24" i="10"/>
  <c r="E25" i="10" l="1"/>
  <c r="B25" i="10"/>
  <c r="A26" i="10"/>
  <c r="D25" i="10"/>
  <c r="C25" i="10"/>
  <c r="D26" i="10" l="1"/>
  <c r="B26" i="10"/>
  <c r="A27" i="10"/>
  <c r="E26" i="10"/>
  <c r="C26" i="10"/>
  <c r="C27" i="10" l="1"/>
  <c r="B27" i="10"/>
  <c r="A28" i="10"/>
  <c r="E27" i="10"/>
  <c r="D27" i="10"/>
  <c r="A29" i="10" l="1"/>
  <c r="B28" i="10"/>
  <c r="C28" i="10"/>
  <c r="E28" i="10"/>
  <c r="D28" i="10"/>
  <c r="E29" i="10" l="1"/>
  <c r="C29" i="10"/>
  <c r="B29" i="10"/>
  <c r="A30" i="10"/>
  <c r="D29" i="10"/>
  <c r="D30" i="10" l="1"/>
  <c r="C30" i="10"/>
  <c r="B30" i="10"/>
  <c r="A31" i="10"/>
  <c r="E30" i="10"/>
  <c r="C31" i="10" l="1"/>
  <c r="D31" i="10"/>
  <c r="B31" i="10"/>
  <c r="A32" i="10"/>
  <c r="E31" i="10"/>
  <c r="A33" i="10" l="1"/>
  <c r="B32" i="10"/>
  <c r="D32" i="10"/>
  <c r="C32" i="10"/>
  <c r="E32" i="10"/>
  <c r="E33" i="10" l="1"/>
  <c r="D33" i="10"/>
  <c r="C33" i="10"/>
  <c r="B33" i="10"/>
  <c r="A34" i="10"/>
  <c r="D34" i="10" l="1"/>
  <c r="E34" i="10"/>
  <c r="C34" i="10"/>
  <c r="B34" i="10"/>
  <c r="A35" i="10"/>
  <c r="C35" i="10" l="1"/>
  <c r="E35" i="10"/>
  <c r="D35" i="10"/>
  <c r="B35" i="10"/>
  <c r="A36" i="10"/>
  <c r="A37" i="10" l="1"/>
  <c r="B36" i="10"/>
  <c r="E36" i="10"/>
  <c r="D36" i="10"/>
  <c r="C36" i="10"/>
  <c r="E37" i="10" l="1"/>
  <c r="A38" i="10"/>
  <c r="D37" i="10"/>
  <c r="C37" i="10"/>
  <c r="B37" i="10"/>
  <c r="D38" i="10" l="1"/>
  <c r="A39" i="10"/>
  <c r="E38" i="10"/>
  <c r="C38" i="10"/>
  <c r="B38" i="10"/>
  <c r="C39" i="10" l="1"/>
  <c r="A40" i="10"/>
  <c r="E39" i="10"/>
  <c r="D39" i="10"/>
  <c r="B39" i="10"/>
  <c r="A41" i="10" l="1"/>
  <c r="B40" i="10"/>
  <c r="E40" i="10"/>
  <c r="D40" i="10"/>
  <c r="C40" i="10"/>
  <c r="E41" i="10" l="1"/>
  <c r="B41" i="10"/>
  <c r="A42" i="10"/>
  <c r="D41" i="10"/>
  <c r="C41" i="10"/>
  <c r="D42" i="10" l="1"/>
  <c r="B42" i="10"/>
  <c r="A43" i="10"/>
  <c r="E42" i="10"/>
  <c r="C42" i="10"/>
  <c r="C43" i="10" l="1"/>
  <c r="B43" i="10"/>
  <c r="A44" i="10"/>
  <c r="E43" i="10"/>
  <c r="D43" i="10"/>
  <c r="A45" i="10" l="1"/>
  <c r="B44" i="10"/>
  <c r="C44" i="10"/>
  <c r="E44" i="10"/>
  <c r="D44" i="10"/>
  <c r="E45" i="10" l="1"/>
  <c r="D45" i="10"/>
  <c r="C45" i="10"/>
  <c r="B45" i="10"/>
  <c r="A46" i="10"/>
  <c r="D46" i="10" l="1"/>
  <c r="C46" i="10"/>
  <c r="A47" i="10"/>
  <c r="E46" i="10"/>
  <c r="B46" i="10"/>
  <c r="C47" i="10" l="1"/>
  <c r="A48" i="10"/>
  <c r="B47" i="10"/>
  <c r="E47" i="10"/>
  <c r="D47" i="10"/>
  <c r="A49" i="10" l="1"/>
  <c r="B48" i="10"/>
  <c r="E48" i="10"/>
  <c r="D48" i="10"/>
  <c r="C48" i="10"/>
  <c r="E49" i="10" l="1"/>
  <c r="D49" i="10"/>
  <c r="A50" i="10"/>
  <c r="C49" i="10"/>
  <c r="B49" i="10"/>
  <c r="D50" i="10" l="1"/>
  <c r="C50" i="10"/>
  <c r="B50" i="10"/>
  <c r="A51" i="10"/>
  <c r="E50" i="10"/>
  <c r="C51" i="10" l="1"/>
  <c r="A52" i="10"/>
  <c r="B51" i="10"/>
  <c r="E51" i="10"/>
  <c r="D51" i="10"/>
  <c r="A53" i="10" l="1"/>
  <c r="B52" i="10"/>
  <c r="E52" i="10"/>
  <c r="D52" i="10"/>
  <c r="C52" i="10"/>
  <c r="E53" i="10" l="1"/>
  <c r="D53" i="10"/>
  <c r="C53" i="10"/>
  <c r="B53" i="10"/>
  <c r="A54" i="10"/>
  <c r="D54" i="10" l="1"/>
  <c r="C54" i="10"/>
  <c r="A55" i="10"/>
  <c r="E54" i="10"/>
  <c r="B54" i="10"/>
  <c r="C55" i="10" l="1"/>
  <c r="A56" i="10"/>
  <c r="B55" i="10"/>
  <c r="E55" i="10"/>
  <c r="D55" i="10"/>
  <c r="A57" i="10" l="1"/>
  <c r="B56" i="10"/>
  <c r="E56" i="10"/>
  <c r="D56" i="10"/>
  <c r="C56" i="10"/>
  <c r="E57" i="10" l="1"/>
  <c r="D57" i="10"/>
  <c r="A58" i="10"/>
  <c r="C57" i="10"/>
  <c r="B57" i="10"/>
  <c r="D58" i="10" l="1"/>
  <c r="C58" i="10"/>
  <c r="B58" i="10"/>
  <c r="A59" i="10"/>
  <c r="E58" i="10"/>
  <c r="C59" i="10" l="1"/>
  <c r="A60" i="10"/>
  <c r="B59" i="10"/>
  <c r="E59" i="10"/>
  <c r="D59" i="10"/>
  <c r="D60" i="10" l="1"/>
  <c r="C60" i="10"/>
  <c r="B60" i="10"/>
  <c r="A61" i="10"/>
  <c r="E60" i="10"/>
  <c r="C61" i="10" l="1"/>
  <c r="A62" i="10"/>
  <c r="B61" i="10"/>
  <c r="E61" i="10"/>
  <c r="D61" i="10"/>
  <c r="A63" i="10" l="1"/>
  <c r="B62" i="10"/>
  <c r="E62" i="10"/>
  <c r="D62" i="10"/>
  <c r="C62" i="10"/>
  <c r="E63" i="10" l="1"/>
  <c r="D63" i="10"/>
  <c r="C63" i="10"/>
  <c r="B63" i="10"/>
  <c r="A64" i="10"/>
  <c r="D64" i="10" l="1"/>
  <c r="C64" i="10"/>
  <c r="A65" i="10"/>
  <c r="E64" i="10"/>
  <c r="B64" i="10"/>
  <c r="C65" i="10" l="1"/>
  <c r="A66" i="10"/>
  <c r="B65" i="10"/>
  <c r="E65" i="10"/>
  <c r="D65" i="10"/>
  <c r="A67" i="10" l="1"/>
  <c r="B66" i="10"/>
  <c r="E66" i="10"/>
  <c r="D66" i="10"/>
  <c r="C66" i="10"/>
  <c r="E67" i="10" l="1"/>
  <c r="D67" i="10"/>
  <c r="A68" i="10"/>
  <c r="C67" i="10"/>
  <c r="B67" i="10"/>
  <c r="D68" i="10" l="1"/>
  <c r="C68" i="10"/>
  <c r="B68" i="10"/>
  <c r="A69" i="10"/>
  <c r="E68" i="10"/>
  <c r="C69" i="10" l="1"/>
  <c r="A70" i="10"/>
  <c r="B69" i="10"/>
  <c r="E69" i="10"/>
  <c r="D69" i="10"/>
  <c r="A71" i="10" l="1"/>
  <c r="B70" i="10"/>
  <c r="E70" i="10"/>
  <c r="D70" i="10"/>
  <c r="C70" i="10"/>
  <c r="E71" i="10" l="1"/>
  <c r="D71" i="10"/>
  <c r="C71" i="10"/>
  <c r="B71" i="10"/>
  <c r="A72" i="10"/>
  <c r="D72" i="10" l="1"/>
  <c r="C72" i="10"/>
  <c r="A73" i="10"/>
  <c r="E72" i="10"/>
  <c r="B72" i="10"/>
  <c r="C73" i="10" l="1"/>
  <c r="A74" i="10"/>
  <c r="B73" i="10"/>
  <c r="E73" i="10"/>
  <c r="D73" i="10"/>
  <c r="A75" i="10" l="1"/>
  <c r="B74" i="10"/>
  <c r="E74" i="10"/>
  <c r="D74" i="10"/>
  <c r="C74" i="10"/>
  <c r="E75" i="10" l="1"/>
  <c r="D75" i="10"/>
  <c r="A76" i="10"/>
  <c r="C75" i="10"/>
  <c r="B75" i="10"/>
  <c r="D76" i="10" l="1"/>
  <c r="C76" i="10"/>
  <c r="B76" i="10"/>
  <c r="A77" i="10"/>
  <c r="E76" i="10"/>
  <c r="C77" i="10" l="1"/>
  <c r="A78" i="10"/>
  <c r="B77" i="10"/>
  <c r="E77" i="10"/>
  <c r="D77" i="10"/>
  <c r="A79" i="10" l="1"/>
  <c r="B78" i="10"/>
  <c r="E78" i="10"/>
  <c r="D78" i="10"/>
  <c r="C78" i="10"/>
  <c r="E79" i="10" l="1"/>
  <c r="D79" i="10"/>
  <c r="C79" i="10"/>
  <c r="B79" i="10"/>
  <c r="A80" i="10"/>
  <c r="D80" i="10" l="1"/>
  <c r="C80" i="10"/>
  <c r="A81" i="10"/>
  <c r="E80" i="10"/>
  <c r="B80" i="10"/>
  <c r="C81" i="10" l="1"/>
  <c r="A82" i="10"/>
  <c r="B81" i="10"/>
  <c r="E81" i="10"/>
  <c r="D81" i="10"/>
  <c r="A83" i="10" l="1"/>
  <c r="B82" i="10"/>
  <c r="E82" i="10"/>
  <c r="D82" i="10"/>
  <c r="C82" i="10"/>
  <c r="E83" i="10" l="1"/>
  <c r="D83" i="10"/>
  <c r="A84" i="10"/>
  <c r="C83" i="10"/>
  <c r="B83" i="10"/>
  <c r="D84" i="10" l="1"/>
  <c r="C84" i="10"/>
  <c r="B84" i="10"/>
  <c r="A85" i="10"/>
  <c r="E84" i="10"/>
  <c r="C85" i="10" l="1"/>
  <c r="A86" i="10"/>
  <c r="B85" i="10"/>
  <c r="E85" i="10"/>
  <c r="D85" i="10"/>
  <c r="A87" i="10" l="1"/>
  <c r="B86" i="10"/>
  <c r="E86" i="10"/>
  <c r="D86" i="10"/>
  <c r="C86" i="10"/>
  <c r="E87" i="10" l="1"/>
  <c r="D87" i="10"/>
  <c r="C87" i="10"/>
  <c r="B87" i="10"/>
  <c r="A88" i="10"/>
  <c r="D88" i="10" l="1"/>
  <c r="C88" i="10"/>
  <c r="A89" i="10"/>
  <c r="E88" i="10"/>
  <c r="B88" i="10"/>
  <c r="C89" i="10" l="1"/>
  <c r="A90" i="10"/>
  <c r="B89" i="10"/>
  <c r="E89" i="10"/>
  <c r="D89" i="10"/>
  <c r="A91" i="10" l="1"/>
  <c r="B90" i="10"/>
  <c r="E90" i="10"/>
  <c r="D90" i="10"/>
  <c r="C90" i="10"/>
  <c r="E91" i="10" l="1"/>
  <c r="D91" i="10"/>
  <c r="A92" i="10"/>
  <c r="C91" i="10"/>
  <c r="B91" i="10"/>
  <c r="D92" i="10" l="1"/>
  <c r="C92" i="10"/>
  <c r="B92" i="10"/>
  <c r="A93" i="10"/>
  <c r="E92" i="10"/>
  <c r="C93" i="10" l="1"/>
  <c r="A94" i="10"/>
  <c r="B93" i="10"/>
  <c r="E93" i="10"/>
  <c r="D93" i="10"/>
  <c r="A95" i="10" l="1"/>
  <c r="B94" i="10"/>
  <c r="E94" i="10"/>
  <c r="D94" i="10"/>
  <c r="C94" i="10"/>
  <c r="E95" i="10" l="1"/>
  <c r="D95" i="10"/>
  <c r="C95" i="10"/>
  <c r="B95" i="10"/>
  <c r="A96" i="10"/>
  <c r="D96" i="10" l="1"/>
  <c r="C96" i="10"/>
  <c r="A97" i="10"/>
  <c r="E96" i="10"/>
  <c r="B96" i="10"/>
  <c r="C97" i="10" l="1"/>
  <c r="A98" i="10"/>
  <c r="B97" i="10"/>
  <c r="E97" i="10"/>
  <c r="D97" i="10"/>
  <c r="A99" i="10" l="1"/>
  <c r="B98" i="10"/>
  <c r="E98" i="10"/>
  <c r="D98" i="10"/>
  <c r="C98" i="10"/>
  <c r="E99" i="10" l="1"/>
  <c r="D99" i="10"/>
  <c r="A100" i="10"/>
  <c r="C99" i="10"/>
  <c r="B99" i="10"/>
  <c r="D100" i="10" l="1"/>
  <c r="C100" i="10"/>
  <c r="B100" i="10"/>
  <c r="A101" i="10"/>
  <c r="E100" i="10"/>
  <c r="C101" i="10" l="1"/>
  <c r="A102" i="10"/>
  <c r="B101" i="10"/>
  <c r="E101" i="10"/>
  <c r="D101" i="10"/>
  <c r="A103" i="10" l="1"/>
  <c r="B102" i="10"/>
  <c r="E102" i="10"/>
  <c r="D102" i="10"/>
  <c r="C102" i="10"/>
  <c r="E103" i="10" l="1"/>
  <c r="D103" i="10"/>
  <c r="C103" i="10"/>
  <c r="B103" i="10"/>
  <c r="A104" i="10"/>
  <c r="D104" i="10" l="1"/>
  <c r="C104" i="10"/>
  <c r="A105" i="10"/>
  <c r="E104" i="10"/>
  <c r="B104" i="10"/>
  <c r="C105" i="10" l="1"/>
  <c r="A106" i="10"/>
  <c r="B105" i="10"/>
  <c r="E105" i="10"/>
  <c r="D105" i="10"/>
  <c r="A107" i="10" l="1"/>
  <c r="B106" i="10"/>
  <c r="E106" i="10"/>
  <c r="D106" i="10"/>
  <c r="C106" i="10"/>
  <c r="E107" i="10" l="1"/>
  <c r="D107" i="10"/>
  <c r="A108" i="10"/>
  <c r="C107" i="10"/>
  <c r="B107" i="10"/>
  <c r="D108" i="10" l="1"/>
  <c r="C108" i="10"/>
  <c r="B108" i="10"/>
  <c r="A109" i="10"/>
  <c r="E108" i="10"/>
  <c r="C109" i="10" l="1"/>
  <c r="A110" i="10"/>
  <c r="B109" i="10"/>
  <c r="E109" i="10"/>
  <c r="D109" i="10"/>
  <c r="A111" i="10" l="1"/>
  <c r="B110" i="10"/>
  <c r="E110" i="10"/>
  <c r="D110" i="10"/>
  <c r="C110" i="10"/>
  <c r="E111" i="10" l="1"/>
  <c r="D111" i="10"/>
  <c r="C111" i="10"/>
  <c r="B111" i="10"/>
  <c r="A112" i="10"/>
  <c r="D112" i="10" l="1"/>
  <c r="C112" i="10"/>
  <c r="A113" i="10"/>
  <c r="E112" i="10"/>
  <c r="B112" i="10"/>
  <c r="C113" i="10" l="1"/>
  <c r="A114" i="10"/>
  <c r="B113" i="10"/>
  <c r="E113" i="10"/>
  <c r="D113" i="10"/>
  <c r="A115" i="10" l="1"/>
  <c r="B114" i="10"/>
  <c r="E114" i="10"/>
  <c r="D114" i="10"/>
  <c r="C114" i="10"/>
  <c r="E115" i="10" l="1"/>
  <c r="D115" i="10"/>
  <c r="A116" i="10"/>
  <c r="C115" i="10"/>
  <c r="B115" i="10"/>
  <c r="D116" i="10" l="1"/>
  <c r="C116" i="10"/>
  <c r="B116" i="10"/>
  <c r="A117" i="10"/>
  <c r="E116" i="10"/>
  <c r="C117" i="10" l="1"/>
  <c r="A118" i="10"/>
  <c r="B117" i="10"/>
  <c r="E117" i="10"/>
  <c r="D117" i="10"/>
  <c r="A119" i="10" l="1"/>
  <c r="B118" i="10"/>
  <c r="E118" i="10"/>
  <c r="D118" i="10"/>
  <c r="C118" i="10"/>
  <c r="E119" i="10" l="1"/>
  <c r="D119" i="10"/>
  <c r="C119" i="10"/>
  <c r="B119" i="10"/>
  <c r="A120" i="10"/>
  <c r="D120" i="10" l="1"/>
  <c r="C120" i="10"/>
  <c r="A121" i="10"/>
  <c r="E120" i="10"/>
  <c r="B120" i="10"/>
  <c r="C121" i="10" l="1"/>
  <c r="A122" i="10"/>
  <c r="B121" i="10"/>
  <c r="E121" i="10"/>
  <c r="D121" i="10"/>
  <c r="A123" i="10" l="1"/>
  <c r="B122" i="10"/>
  <c r="E122" i="10"/>
  <c r="D122" i="10"/>
  <c r="C122" i="10"/>
  <c r="E123" i="10" l="1"/>
  <c r="D123" i="10"/>
  <c r="A124" i="10"/>
  <c r="C123" i="10"/>
  <c r="B123" i="10"/>
  <c r="D124" i="10" l="1"/>
  <c r="C124" i="10"/>
  <c r="B124" i="10"/>
  <c r="A125" i="10"/>
  <c r="E124" i="10"/>
  <c r="C125" i="10" l="1"/>
  <c r="A126" i="10"/>
  <c r="B125" i="10"/>
  <c r="E125" i="10"/>
  <c r="D125" i="10"/>
  <c r="A127" i="10" l="1"/>
  <c r="B126" i="10"/>
  <c r="E126" i="10"/>
  <c r="D126" i="10"/>
  <c r="C126" i="10"/>
  <c r="E127" i="10" l="1"/>
  <c r="D127" i="10"/>
  <c r="C127" i="10"/>
  <c r="B127" i="10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F3" authorId="0" shapeId="0">
      <text>
        <r>
          <rPr>
            <sz val="8"/>
            <color indexed="81"/>
            <rFont val="Tahoma"/>
            <family val="2"/>
          </rPr>
          <t xml:space="preserve">Meaning of 5-point scale:
1 - strong disagree
2 - disagree
3 - neutral
4 - agree
5 - strongly agree
</t>
        </r>
      </text>
    </comment>
  </commentList>
</comments>
</file>

<file path=xl/comments2.xml><?xml version="1.0" encoding="utf-8"?>
<comments xmlns="http://schemas.openxmlformats.org/spreadsheetml/2006/main">
  <authors>
    <author>Alois Geyer</author>
  </authors>
  <commentList>
    <comment ref="F4" authorId="0" shapeId="0">
      <text>
        <r>
          <rPr>
            <b/>
            <sz val="9"/>
            <color indexed="81"/>
            <rFont val="Tahoma"/>
            <charset val="1"/>
          </rPr>
          <t>based on using the add-in</t>
        </r>
      </text>
    </comment>
    <comment ref="F35" authorId="0" shapeId="0">
      <text>
        <r>
          <rPr>
            <b/>
            <sz val="9"/>
            <color indexed="81"/>
            <rFont val="Tahoma"/>
            <charset val="1"/>
          </rPr>
          <t>based on using the function FREQUENCY</t>
        </r>
      </text>
    </comment>
  </commentList>
</comments>
</file>

<file path=xl/comments3.xml><?xml version="1.0" encoding="utf-8"?>
<comments xmlns="http://schemas.openxmlformats.org/spreadsheetml/2006/main">
  <authors>
    <author>Alois Geyer</author>
  </authors>
  <commentList>
    <comment ref="H3" authorId="0" shapeId="0">
      <text>
        <r>
          <rPr>
            <sz val="10"/>
            <color indexed="81"/>
            <rFont val="Tahoma"/>
            <family val="2"/>
          </rPr>
          <t>In the average of averages the mean of each country has the same weight, no matter how many years have been used to compute a country's average in a specific category.</t>
        </r>
      </text>
    </comment>
    <comment ref="H28" authorId="0" shapeId="0">
      <text>
        <r>
          <rPr>
            <sz val="10"/>
            <color indexed="81"/>
            <rFont val="Tahoma"/>
            <family val="2"/>
          </rPr>
          <t>Each year and each country has the same weight.</t>
        </r>
      </text>
    </comment>
  </commentList>
</comments>
</file>

<file path=xl/comments4.xml><?xml version="1.0" encoding="utf-8"?>
<comments xmlns="http://schemas.openxmlformats.org/spreadsheetml/2006/main">
  <authors>
    <author>Alois Geyer</author>
  </authors>
  <commentList>
    <comment ref="A1" authorId="0" shapeId="0">
      <text>
        <r>
          <rPr>
            <sz val="8"/>
            <color indexed="81"/>
            <rFont val="Tahoma"/>
            <family val="2"/>
          </rPr>
          <t>Die Daten stammen aus Bortz/Döring S.413</t>
        </r>
      </text>
    </comment>
  </commentList>
</comments>
</file>

<file path=xl/comments5.xml><?xml version="1.0" encoding="utf-8"?>
<comments xmlns="http://schemas.openxmlformats.org/spreadsheetml/2006/main">
  <authors>
    <author>Alois Geyer</author>
  </authors>
  <commentList>
    <comment ref="A40" authorId="0" shapeId="0">
      <text>
        <r>
          <rPr>
            <sz val="8"/>
            <color indexed="81"/>
            <rFont val="Tahoma"/>
            <family val="2"/>
          </rPr>
          <t>Bestimmtheitsmaß R²</t>
        </r>
      </text>
    </comment>
    <comment ref="B40" authorId="0" shapeId="0">
      <text>
        <r>
          <rPr>
            <sz val="8"/>
            <color indexed="81"/>
            <rFont val="Tahoma"/>
            <family val="2"/>
          </rPr>
          <t>Standardfehler (der Regression)</t>
        </r>
      </text>
    </comment>
  </commentList>
</comments>
</file>

<file path=xl/sharedStrings.xml><?xml version="1.0" encoding="utf-8"?>
<sst xmlns="http://schemas.openxmlformats.org/spreadsheetml/2006/main" count="3057" uniqueCount="386">
  <si>
    <t>Most data sets in this file are taken from the book "Managerial Statistics", 1st edition</t>
  </si>
  <si>
    <t>by S. Christian Albright, Wayne L. Winston, and Christopher Zappe</t>
  </si>
  <si>
    <t>ISBN 0-534-38931-7</t>
  </si>
  <si>
    <t>Copyright 2002 Wadsworth Group</t>
  </si>
  <si>
    <t>www.cengage.com</t>
  </si>
  <si>
    <t>The title of the third edition is "Data Analysis and Decision Making".</t>
  </si>
  <si>
    <t>Data from a questionnaire on environmental policy</t>
  </si>
  <si>
    <t>Summary Statistics</t>
  </si>
  <si>
    <t>Age</t>
  </si>
  <si>
    <t>Gender</t>
  </si>
  <si>
    <t>State</t>
  </si>
  <si>
    <t>Children</t>
  </si>
  <si>
    <t>Salary</t>
  </si>
  <si>
    <t>Opinion</t>
  </si>
  <si>
    <t>rounded</t>
  </si>
  <si>
    <t>Male</t>
  </si>
  <si>
    <t>Minnesota</t>
  </si>
  <si>
    <t>Texas</t>
  </si>
  <si>
    <t>Female</t>
  </si>
  <si>
    <t>Ohio</t>
  </si>
  <si>
    <t>Mean</t>
  </si>
  <si>
    <t>Florida</t>
  </si>
  <si>
    <t>Standard Error</t>
  </si>
  <si>
    <t>California</t>
  </si>
  <si>
    <t>Median</t>
  </si>
  <si>
    <t>New York</t>
  </si>
  <si>
    <t>Mode</t>
  </si>
  <si>
    <t>mode:</t>
  </si>
  <si>
    <t>Standard Deviation</t>
  </si>
  <si>
    <t>Sample Variance</t>
  </si>
  <si>
    <t>Kurtosis</t>
  </si>
  <si>
    <t>Skewness</t>
  </si>
  <si>
    <t>Range</t>
  </si>
  <si>
    <t>Virginia</t>
  </si>
  <si>
    <t>Minimum</t>
  </si>
  <si>
    <t>Illinois</t>
  </si>
  <si>
    <t>Maximum</t>
  </si>
  <si>
    <t>Sum</t>
  </si>
  <si>
    <t>Number of Observations</t>
  </si>
  <si>
    <t>Michigan</t>
  </si>
  <si>
    <t>coefficient of variation</t>
  </si>
  <si>
    <t>a</t>
  </si>
  <si>
    <t>empirical quantile</t>
  </si>
  <si>
    <t>normal quantile</t>
  </si>
  <si>
    <t>Arizona</t>
  </si>
  <si>
    <t>Summary Statistics for groups</t>
  </si>
  <si>
    <t>number of cases</t>
  </si>
  <si>
    <t>mean using</t>
  </si>
  <si>
    <t>SUMIF</t>
  </si>
  <si>
    <t>conditional SUM</t>
  </si>
  <si>
    <t>std.dev. using conditional</t>
  </si>
  <si>
    <t>SUMSQ</t>
  </si>
  <si>
    <t>std.dev. using</t>
  </si>
  <si>
    <t>skewness using</t>
  </si>
  <si>
    <t>simple and log returns</t>
  </si>
  <si>
    <r>
      <t>initial value p</t>
    </r>
    <r>
      <rPr>
        <vertAlign val="subscript"/>
        <sz val="10"/>
        <rFont val="Arial"/>
        <family val="2"/>
      </rPr>
      <t>0</t>
    </r>
  </si>
  <si>
    <r>
      <t>value after one year p</t>
    </r>
    <r>
      <rPr>
        <vertAlign val="subscript"/>
        <sz val="10"/>
        <rFont val="Arial"/>
        <family val="2"/>
      </rPr>
      <t>1</t>
    </r>
  </si>
  <si>
    <r>
      <t>simple return r</t>
    </r>
    <r>
      <rPr>
        <sz val="10"/>
        <rFont val="Arial"/>
        <family val="2"/>
      </rPr>
      <t xml:space="preserve"> (p.a)</t>
    </r>
  </si>
  <si>
    <t>decompose into discrete steps</t>
  </si>
  <si>
    <t>number of steps</t>
  </si>
  <si>
    <t>r (p.a.)</t>
  </si>
  <si>
    <t>value after one year</t>
  </si>
  <si>
    <t>…</t>
  </si>
  <si>
    <r>
      <t>log return y</t>
    </r>
    <r>
      <rPr>
        <sz val="10"/>
        <rFont val="Arial"/>
        <family val="2"/>
      </rPr>
      <t xml:space="preserve"> (p.a.)</t>
    </r>
  </si>
  <si>
    <t>portfolio return</t>
  </si>
  <si>
    <t xml:space="preserve"> </t>
  </si>
  <si>
    <t>value A</t>
  </si>
  <si>
    <t>value B</t>
  </si>
  <si>
    <t>PF=A+B</t>
  </si>
  <si>
    <t>weight A</t>
  </si>
  <si>
    <t>weight B</t>
  </si>
  <si>
    <t>t=1</t>
  </si>
  <si>
    <t>t=2</t>
  </si>
  <si>
    <t>A</t>
  </si>
  <si>
    <t>B</t>
  </si>
  <si>
    <t>PF</t>
  </si>
  <si>
    <t>using
weights</t>
  </si>
  <si>
    <t>log return</t>
  </si>
  <si>
    <t>=B7*E$2+C7*F$2</t>
  </si>
  <si>
    <t>simple return</t>
  </si>
  <si>
    <t>=B6*E$2+C6*F$2</t>
  </si>
  <si>
    <t>mean return</t>
  </si>
  <si>
    <t>weeks</t>
  </si>
  <si>
    <t>days</t>
  </si>
  <si>
    <t>hours</t>
  </si>
  <si>
    <t>Date</t>
  </si>
  <si>
    <r>
      <t>DAX (p</t>
    </r>
    <r>
      <rPr>
        <vertAlign val="subscript"/>
        <sz val="10"/>
        <rFont val="Arial"/>
        <family val="2"/>
      </rPr>
      <t>t</t>
    </r>
    <r>
      <rPr>
        <sz val="10"/>
        <rFont val="Arial"/>
        <family val="2"/>
      </rPr>
      <t>)</t>
    </r>
  </si>
  <si>
    <r>
      <t>LN(p</t>
    </r>
    <r>
      <rPr>
        <vertAlign val="subscript"/>
        <sz val="10"/>
        <rFont val="Arial"/>
        <family val="2"/>
      </rPr>
      <t>t</t>
    </r>
    <r>
      <rPr>
        <sz val="10"/>
        <rFont val="Arial"/>
        <family val="2"/>
      </rPr>
      <t>)</t>
    </r>
  </si>
  <si>
    <r>
      <t>p</t>
    </r>
    <r>
      <rPr>
        <vertAlign val="subscript"/>
        <sz val="10"/>
        <rFont val="Arial"/>
        <family val="2"/>
      </rPr>
      <t>t</t>
    </r>
    <r>
      <rPr>
        <sz val="10"/>
        <rFont val="Arial"/>
        <family val="2"/>
      </rPr>
      <t>-p</t>
    </r>
    <r>
      <rPr>
        <vertAlign val="subscript"/>
        <sz val="10"/>
        <rFont val="Arial"/>
        <family val="2"/>
      </rPr>
      <t>t</t>
    </r>
  </si>
  <si>
    <r>
      <t>y</t>
    </r>
    <r>
      <rPr>
        <vertAlign val="subscript"/>
        <sz val="10"/>
        <rFont val="Arial"/>
        <family val="2"/>
      </rPr>
      <t>t</t>
    </r>
    <r>
      <rPr>
        <sz val="10"/>
        <rFont val="Arial"/>
        <family val="2"/>
      </rPr>
      <t>(%)</t>
    </r>
  </si>
  <si>
    <r>
      <t>r</t>
    </r>
    <r>
      <rPr>
        <vertAlign val="subscript"/>
        <sz val="10"/>
        <rFont val="Arial"/>
        <family val="2"/>
      </rPr>
      <t>t</t>
    </r>
    <r>
      <rPr>
        <sz val="10"/>
        <rFont val="Arial"/>
        <family val="2"/>
      </rPr>
      <t>(%)</t>
    </r>
  </si>
  <si>
    <t>.</t>
  </si>
  <si>
    <t>arithmetric mean</t>
  </si>
  <si>
    <t>geometric mean</t>
  </si>
  <si>
    <t>internal rate of return</t>
  </si>
  <si>
    <t>Shoe sizes purchased (for men)</t>
  </si>
  <si>
    <t>Shoesize</t>
  </si>
  <si>
    <t>Diameters from two suppliers</t>
  </si>
  <si>
    <t>Supplier1</t>
  </si>
  <si>
    <t>Supplier2</t>
  </si>
  <si>
    <t>Data</t>
  </si>
  <si>
    <t>DAX Index and returns 1/86-12/96</t>
  </si>
  <si>
    <t>date</t>
  </si>
  <si>
    <t>index</t>
  </si>
  <si>
    <t>return</t>
  </si>
  <si>
    <t>*</t>
  </si>
  <si>
    <t>category
(until)</t>
  </si>
  <si>
    <t>absolute
frequency</t>
  </si>
  <si>
    <t>relative
frequency</t>
  </si>
  <si>
    <t>normal
(cumulative)</t>
  </si>
  <si>
    <t>normal</t>
  </si>
  <si>
    <t>and greater</t>
  </si>
  <si>
    <t>cum.abs.
freq.</t>
  </si>
  <si>
    <t>cum.rel.
freq.</t>
  </si>
  <si>
    <t>empirical</t>
  </si>
  <si>
    <t>summary measures of return</t>
  </si>
  <si>
    <t>mean</t>
  </si>
  <si>
    <t>standard deviation</t>
  </si>
  <si>
    <t>skewness</t>
  </si>
  <si>
    <t>kurtosis</t>
  </si>
  <si>
    <t>rules of tumb</t>
  </si>
  <si>
    <t>from</t>
  </si>
  <si>
    <t>to</t>
  </si>
  <si>
    <t>more than 3 std.dev's below mean</t>
  </si>
  <si>
    <r>
      <t>−</t>
    </r>
    <r>
      <rPr>
        <sz val="10"/>
        <rFont val="Arial"/>
        <family val="2"/>
      </rPr>
      <t>∞</t>
    </r>
  </si>
  <si>
    <t>between 2 and 3 std.dev's below mean</t>
  </si>
  <si>
    <t>between 1 and 2 std.dev's below mean</t>
  </si>
  <si>
    <t>between mean and 1 std.dev below mean</t>
  </si>
  <si>
    <t>between mean and 1 std.dev above mean</t>
  </si>
  <si>
    <t>between 1 and 2 std.dev's above mean</t>
  </si>
  <si>
    <t>between 2 and 3 std.dev's above mean</t>
  </si>
  <si>
    <t>more than 3 std.dev's above mean</t>
  </si>
  <si>
    <t>+∞</t>
  </si>
  <si>
    <t>rule of thumb</t>
  </si>
  <si>
    <t>exact</t>
  </si>
  <si>
    <t>actual</t>
  </si>
  <si>
    <t>1. within one std.dev around the mean</t>
  </si>
  <si>
    <t>2. within two std.dev's around the mean</t>
  </si>
  <si>
    <t>3. within three std.dev's around the mean</t>
  </si>
  <si>
    <t>~100%</t>
  </si>
  <si>
    <t>interval</t>
  </si>
  <si>
    <r>
      <t>a</t>
    </r>
    <r>
      <rPr>
        <sz val="10"/>
        <rFont val="Arial"/>
        <family val="2"/>
      </rPr>
      <t>/2-quantile</t>
    </r>
  </si>
  <si>
    <t>lower bound</t>
  </si>
  <si>
    <t>upper bound</t>
  </si>
  <si>
    <t>Times between arrivals at a bank</t>
  </si>
  <si>
    <t>Interarrival
Time (minutes)</t>
  </si>
  <si>
    <t>summary measures</t>
  </si>
  <si>
    <t>median</t>
  </si>
  <si>
    <t>Source:</t>
  </si>
  <si>
    <t>http://www.peri.umass.edu/fileadmin/pdf/working_papers/working_papers_301-350/HAP-RR-GITD-code.zip</t>
  </si>
  <si>
    <t>Country</t>
  </si>
  <si>
    <t>Year</t>
  </si>
  <si>
    <t>DEBT</t>
  </si>
  <si>
    <t>GROWTH</t>
  </si>
  <si>
    <t>CAT</t>
  </si>
  <si>
    <t>Australia</t>
  </si>
  <si>
    <t>60-90%</t>
  </si>
  <si>
    <t>country weighted</t>
  </si>
  <si>
    <t>0-30%</t>
  </si>
  <si>
    <t>30-60%</t>
  </si>
  <si>
    <t>&gt; 90%</t>
  </si>
  <si>
    <t>n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</si>
  <si>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</si>
  <si>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</si>
  <si>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</si>
  <si>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</si>
  <si>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</si>
  <si>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</si>
  <si>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</si>
  <si>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</si>
  <si>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Ireland</t>
  </si>
  <si>
    <t>Italy</t>
  </si>
  <si>
    <t>Japan</t>
  </si>
  <si>
    <t>Netherlands</t>
  </si>
  <si>
    <t>New Zealand</t>
  </si>
  <si>
    <t>Norway</t>
  </si>
  <si>
    <t>Portugal</t>
  </si>
  <si>
    <t>Spain</t>
  </si>
  <si>
    <t>Sweden</t>
  </si>
  <si>
    <t>UK</t>
  </si>
  <si>
    <t>US</t>
  </si>
  <si>
    <t>avg</t>
  </si>
  <si>
    <t>difference</t>
  </si>
  <si>
    <t>sum</t>
  </si>
  <si>
    <t>unweighted</t>
  </si>
  <si>
    <t>std.dev.</t>
  </si>
  <si>
    <r>
      <t>a-</t>
    </r>
    <r>
      <rPr>
        <sz val="10"/>
        <rFont val="Arial"/>
        <family val="2"/>
      </rPr>
      <t>quantile</t>
    </r>
  </si>
  <si>
    <r>
      <t xml:space="preserve">f(at </t>
    </r>
    <r>
      <rPr>
        <sz val="10"/>
        <rFont val="Symbol"/>
        <family val="1"/>
        <charset val="2"/>
      </rPr>
      <t>a</t>
    </r>
    <r>
      <rPr>
        <sz val="10"/>
        <rFont val="Arial"/>
        <family val="2"/>
      </rPr>
      <t>-quantile)</t>
    </r>
  </si>
  <si>
    <t>Personnel Accept/Reject Example</t>
  </si>
  <si>
    <t>Mean of test scores</t>
  </si>
  <si>
    <t>Stdev of test scores</t>
  </si>
  <si>
    <t>Current Policy</t>
  </si>
  <si>
    <t>Automatic reject point</t>
  </si>
  <si>
    <t>Automatic accept point</t>
  </si>
  <si>
    <t>Percent rejected</t>
  </si>
  <si>
    <t>Percent accepted</t>
  </si>
  <si>
    <t>New Policy</t>
  </si>
  <si>
    <t>x</t>
  </si>
  <si>
    <t>P(≤x)</t>
  </si>
  <si>
    <t>Quantiles</t>
  </si>
  <si>
    <t>normal random variable with</t>
  </si>
  <si>
    <t xml:space="preserve">standard normal </t>
  </si>
  <si>
    <t>std.dev</t>
  </si>
  <si>
    <t>quantile</t>
  </si>
  <si>
    <t>Intervals</t>
  </si>
  <si>
    <t>lower limit</t>
  </si>
  <si>
    <t>upper limit</t>
  </si>
  <si>
    <t>Probabilities</t>
  </si>
  <si>
    <t>standard-ized
value (z)</t>
  </si>
  <si>
    <t>probability
for a value less than z</t>
  </si>
  <si>
    <t>probability
for a value greater than z</t>
  </si>
  <si>
    <t>probability P for a value less than y*</t>
  </si>
  <si>
    <t>y*</t>
  </si>
  <si>
    <t>P (%)</t>
  </si>
  <si>
    <t>z*</t>
  </si>
  <si>
    <t>probability P for values within an interval around the mean</t>
  </si>
  <si>
    <t>P</t>
  </si>
  <si>
    <t>times the std. dev.</t>
  </si>
  <si>
    <t>Project duration</t>
  </si>
  <si>
    <t>historical data on the duration of single tasks (in weeks)</t>
  </si>
  <si>
    <r>
      <t xml:space="preserve">input data for </t>
    </r>
    <r>
      <rPr>
        <b/>
        <sz val="10"/>
        <rFont val="Arial"/>
        <family val="2"/>
      </rPr>
      <t>normal</t>
    </r>
    <r>
      <rPr>
        <sz val="10"/>
        <rFont val="Arial"/>
        <family val="2"/>
      </rPr>
      <t xml:space="preserve"> distribution</t>
    </r>
  </si>
  <si>
    <r>
      <t xml:space="preserve">input data for </t>
    </r>
    <r>
      <rPr>
        <b/>
        <sz val="10"/>
        <rFont val="Arial"/>
        <family val="2"/>
      </rPr>
      <t>beta</t>
    </r>
    <r>
      <rPr>
        <sz val="10"/>
        <rFont val="Arial"/>
        <family val="2"/>
      </rPr>
      <t xml:space="preserve"> distribution</t>
    </r>
  </si>
  <si>
    <t>derived properties</t>
  </si>
  <si>
    <t>variance</t>
  </si>
  <si>
    <t>minimum</t>
  </si>
  <si>
    <t>mode</t>
  </si>
  <si>
    <t>maximum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</si>
  <si>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</si>
  <si>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</si>
  <si>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</si>
  <si>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</si>
  <si>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</si>
  <si>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</si>
  <si>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</si>
  <si>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</si>
  <si>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</si>
  <si>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</si>
  <si>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alpha</t>
  </si>
  <si>
    <r>
      <t xml:space="preserve">probability for the duration of the </t>
    </r>
    <r>
      <rPr>
        <b/>
        <sz val="10"/>
        <rFont val="Arial"/>
        <family val="2"/>
      </rPr>
      <t>entire</t>
    </r>
    <r>
      <rPr>
        <sz val="10"/>
        <rFont val="Arial"/>
        <family val="2"/>
      </rPr>
      <t xml:space="preserve"> project x</t>
    </r>
  </si>
  <si>
    <t>beta</t>
  </si>
  <si>
    <t>P[D&lt;x]</t>
  </si>
  <si>
    <t>correlations</t>
  </si>
  <si>
    <t>covariances</t>
  </si>
  <si>
    <t>auxiliary vector</t>
  </si>
  <si>
    <t>log of Salary</t>
  </si>
  <si>
    <t>lognormal
(cumulative)</t>
  </si>
  <si>
    <t>lognormal</t>
  </si>
  <si>
    <t>Airline Overbooking Problem</t>
  </si>
  <si>
    <t>Number of seats</t>
  </si>
  <si>
    <t>Probability of no-show</t>
  </si>
  <si>
    <t>Number of tickets issued</t>
  </si>
  <si>
    <t>More than 205 show up</t>
  </si>
  <si>
    <t>More than 200 show up</t>
  </si>
  <si>
    <t>At least 195 seats filled</t>
  </si>
  <si>
    <t>At least 190 seats filled</t>
  </si>
  <si>
    <t>Data table showing sensitivity of probabilities to number of tickets issued</t>
  </si>
  <si>
    <t xml:space="preserve">probability </t>
  </si>
  <si>
    <t>number of passengers (y)
showing up</t>
  </si>
  <si>
    <t>number = y</t>
  </si>
  <si>
    <t>number ≤ y
(cumulative)</t>
  </si>
  <si>
    <t>Average salary</t>
  </si>
  <si>
    <t>number of observations</t>
  </si>
  <si>
    <t>standard error</t>
  </si>
  <si>
    <r>
      <t>1</t>
    </r>
    <r>
      <rPr>
        <b/>
        <sz val="10"/>
        <rFont val="Times New Roman"/>
        <family val="1"/>
      </rPr>
      <t>–</t>
    </r>
    <r>
      <rPr>
        <b/>
        <sz val="10"/>
        <rFont val="Symbol"/>
        <family val="1"/>
        <charset val="2"/>
      </rPr>
      <t>a</t>
    </r>
    <r>
      <rPr>
        <b/>
        <sz val="10"/>
        <rFont val="Arial"/>
        <family val="2"/>
      </rPr>
      <t xml:space="preserve"> confidence interval for the mean of the population</t>
    </r>
  </si>
  <si>
    <t>lower
bound</t>
  </si>
  <si>
    <t>upper
bound</t>
  </si>
  <si>
    <t>standard.</t>
  </si>
  <si>
    <t>two-sided test</t>
  </si>
  <si>
    <t>lower</t>
  </si>
  <si>
    <t>upper</t>
  </si>
  <si>
    <t>test</t>
  </si>
  <si>
    <t>critical</t>
  </si>
  <si>
    <t>µ0</t>
  </si>
  <si>
    <t>bound</t>
  </si>
  <si>
    <t>statistic</t>
  </si>
  <si>
    <t>value</t>
  </si>
  <si>
    <t>p-value</t>
  </si>
  <si>
    <t>H0</t>
  </si>
  <si>
    <t>Comparing average salaries of females and males (independent samples)</t>
  </si>
  <si>
    <t>male</t>
  </si>
  <si>
    <t>female</t>
  </si>
  <si>
    <t>std.error</t>
  </si>
  <si>
    <t>test statistic</t>
  </si>
  <si>
    <t>Random sampling</t>
  </si>
  <si>
    <t>size of the population N=</t>
  </si>
  <si>
    <t>pages</t>
  </si>
  <si>
    <t>random #</t>
  </si>
  <si>
    <t>sample size n=</t>
  </si>
  <si>
    <t>mean popul.</t>
  </si>
  <si>
    <t>cases</t>
  </si>
  <si>
    <t>confidence interval</t>
  </si>
  <si>
    <t>Stratified sampling</t>
  </si>
  <si>
    <t>type</t>
  </si>
  <si>
    <t>total</t>
  </si>
  <si>
    <t>population means</t>
  </si>
  <si>
    <t>population cases</t>
  </si>
  <si>
    <t>population proportions</t>
  </si>
  <si>
    <t>sample proportions</t>
  </si>
  <si>
    <t>total sample size=</t>
  </si>
  <si>
    <t>population</t>
  </si>
  <si>
    <t>sample</t>
  </si>
  <si>
    <t>random</t>
  </si>
  <si>
    <t>stratified k=2</t>
  </si>
  <si>
    <t>random numbers</t>
  </si>
  <si>
    <t>cells to compute</t>
  </si>
  <si>
    <t>type 1</t>
  </si>
  <si>
    <t>type 2</t>
  </si>
  <si>
    <t xml:space="preserve">type 2 </t>
  </si>
  <si>
    <t>for sampling</t>
  </si>
  <si>
    <t>proportion 1 in H16</t>
  </si>
  <si>
    <t>proportion 1</t>
  </si>
  <si>
    <r>
      <t>n</t>
    </r>
    <r>
      <rPr>
        <vertAlign val="subscript"/>
        <sz val="10"/>
        <rFont val="Arial"/>
        <family val="2"/>
      </rPr>
      <t>j</t>
    </r>
    <r>
      <rPr>
        <sz val="10"/>
        <rFont val="Arial"/>
        <family val="2"/>
      </rPr>
      <t>·w</t>
    </r>
    <r>
      <rPr>
        <vertAlign val="subscript"/>
        <sz val="10"/>
        <rFont val="Arial"/>
        <family val="2"/>
      </rPr>
      <t>j</t>
    </r>
  </si>
  <si>
    <t>stratified mean</t>
  </si>
  <si>
    <t>stratified std.error</t>
  </si>
  <si>
    <t>95%-CI (lower bound)</t>
  </si>
  <si>
    <t>95%-CI (upper bound)</t>
  </si>
  <si>
    <t>Clustered sampling</t>
  </si>
  <si>
    <t>Number of theses in the sample</t>
  </si>
  <si>
    <t>Number of supervisors in the sample</t>
  </si>
  <si>
    <t>Total number of supervisors (population)</t>
  </si>
  <si>
    <t>supervisor</t>
  </si>
  <si>
    <t>number of
theses</t>
  </si>
  <si>
    <t>mean page
number</t>
  </si>
  <si>
    <t>weighted sq. mean dev.</t>
  </si>
  <si>
    <t>exact
formula</t>
  </si>
  <si>
    <t>coeff.of.var.</t>
  </si>
  <si>
    <t>Correlation</t>
  </si>
  <si>
    <t>y</t>
  </si>
  <si>
    <t>y-mean(y)</t>
  </si>
  <si>
    <t>x-mean(x)</t>
  </si>
  <si>
    <t>product</t>
  </si>
  <si>
    <t>rank y</t>
  </si>
  <si>
    <t>rank x</t>
  </si>
  <si>
    <t>covariance</t>
  </si>
  <si>
    <t>correlation</t>
  </si>
  <si>
    <t>rank correlation</t>
  </si>
  <si>
    <t>correlation coefficient</t>
  </si>
  <si>
    <t>Simple regression: age and salary</t>
  </si>
  <si>
    <t>expected
salary (y^)</t>
  </si>
  <si>
    <t>error
(residual)</t>
  </si>
  <si>
    <t>Regression Statistics</t>
  </si>
  <si>
    <t>Multiple R</t>
  </si>
  <si>
    <t>R Square</t>
  </si>
  <si>
    <t>Adjusted R Sq.</t>
  </si>
  <si>
    <t>Observations</t>
  </si>
  <si>
    <t>Coefficients</t>
  </si>
  <si>
    <t>t Stat</t>
  </si>
  <si>
    <t>P-value</t>
  </si>
  <si>
    <t>Lower 95%</t>
  </si>
  <si>
    <t>Upper 95%</t>
  </si>
  <si>
    <t>Intercept</t>
  </si>
  <si>
    <t>standard
deviation</t>
  </si>
  <si>
    <t>correlation Salary Age</t>
  </si>
  <si>
    <t>Multiple regression: age, schooling and salary</t>
  </si>
  <si>
    <t>School</t>
  </si>
  <si>
    <t>correlations:</t>
  </si>
  <si>
    <t>counts</t>
  </si>
  <si>
    <t>School 6-10</t>
  </si>
  <si>
    <t>School 10-14</t>
  </si>
  <si>
    <t>School 14-18</t>
  </si>
  <si>
    <t>Age 25-40</t>
  </si>
  <si>
    <t>Age 40-55</t>
  </si>
  <si>
    <t>Age 55-70</t>
  </si>
  <si>
    <t>avg.salary</t>
  </si>
  <si>
    <t>Multiple regression: age, schooling, gender and salary</t>
  </si>
  <si>
    <t>G01</t>
  </si>
  <si>
    <t>investment 1</t>
  </si>
  <si>
    <t>investment 2</t>
  </si>
  <si>
    <t>computing
covariance
&amp;correlation</t>
  </si>
  <si>
    <t>properties of the sum
of both investments</t>
  </si>
  <si>
    <t>state of
'the world'</t>
  </si>
  <si>
    <r>
      <t>p</t>
    </r>
    <r>
      <rPr>
        <vertAlign val="subscript"/>
        <sz val="10"/>
        <rFont val="Arial"/>
        <family val="2"/>
      </rPr>
      <t>i</t>
    </r>
  </si>
  <si>
    <t>profit/loss</t>
  </si>
  <si>
    <t>deviation
from µ</t>
  </si>
  <si>
    <t>squared deviation
from µ</t>
  </si>
  <si>
    <t>product of 
deviations
from µ</t>
  </si>
  <si>
    <t>profit/loss
inv1+inv2</t>
  </si>
  <si>
    <t>bad</t>
  </si>
  <si>
    <t>medium</t>
  </si>
  <si>
    <t>good</t>
  </si>
  <si>
    <t>exp.value µ</t>
  </si>
  <si>
    <t>µ</t>
  </si>
  <si>
    <t>&lt;=variance of the sum</t>
  </si>
  <si>
    <r>
      <t xml:space="preserve">variance 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²</t>
    </r>
  </si>
  <si>
    <t>&lt;=sum of the variances</t>
  </si>
  <si>
    <t>&lt;=sum of the variances+2xcovariance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</si>
</sst>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&quot;$&quot;#,##0"/>
    <numFmt numFmtId="166" formatCode="&quot;$&quot;#,##0;\-&quot;$&quot;#,##0"/>
    <numFmt numFmtId="167" formatCode="0.000000"/>
    <numFmt numFmtId="168" formatCode="0.00000000"/>
    <numFmt numFmtId="169" formatCode="0.000000%"/>
    <numFmt numFmtId="170" formatCode="0.0000"/>
    <numFmt numFmtId="171" formatCode="0.000"/>
    <numFmt numFmtId="172" formatCode="0.0%"/>
    <numFmt numFmtId="173" formatCode="#,##0.0"/>
    <numFmt numFmtId="174" formatCode="0.0"/>
    <numFmt numFmtId="175" formatCode="0_ ;\-0\ "/>
  </numFmts>
  <fonts count="15" x14ac:knownFonts="1">
    <font>
      <sz val="10"/>
      <name val="Arial"/>
    </font>
    <font>
      <b/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name val="Symbol"/>
      <family val="1"/>
      <charset val="2"/>
    </font>
    <font>
      <sz val="8"/>
      <color indexed="81"/>
      <name val="Tahoma"/>
      <family val="2"/>
    </font>
    <font>
      <vertAlign val="subscript"/>
      <sz val="10"/>
      <name val="Arial"/>
      <family val="2"/>
    </font>
    <font>
      <b/>
      <sz val="9"/>
      <color indexed="81"/>
      <name val="Tahoma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sz val="10"/>
      <color indexed="81"/>
      <name val="Tahoma"/>
      <family val="2"/>
    </font>
    <font>
      <sz val="10"/>
      <color indexed="9"/>
      <name val="Arial"/>
      <family val="2"/>
    </font>
    <font>
      <b/>
      <sz val="10"/>
      <name val="Symbol"/>
      <family val="1"/>
      <charset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17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65" fontId="3" fillId="0" borderId="0" xfId="1" applyNumberFormat="1"/>
    <xf numFmtId="0" fontId="4" fillId="0" borderId="1" xfId="0" applyFont="1" applyFill="1" applyBorder="1" applyAlignment="1">
      <alignment horizontal="centerContinuous"/>
    </xf>
    <xf numFmtId="166" fontId="0" fillId="0" borderId="0" xfId="0" applyNumberFormat="1" applyBorder="1"/>
    <xf numFmtId="0" fontId="0" fillId="0" borderId="0" xfId="0" applyFill="1" applyBorder="1" applyAlignment="1"/>
    <xf numFmtId="3" fontId="0" fillId="0" borderId="0" xfId="0" applyNumberFormat="1" applyFill="1" applyBorder="1" applyAlignment="1"/>
    <xf numFmtId="166" fontId="0" fillId="0" borderId="0" xfId="0" applyNumberFormat="1" applyAlignment="1">
      <alignment horizontal="left"/>
    </xf>
    <xf numFmtId="4" fontId="0" fillId="0" borderId="0" xfId="0" applyNumberFormat="1" applyFill="1" applyBorder="1" applyAlignment="1"/>
    <xf numFmtId="0" fontId="0" fillId="0" borderId="2" xfId="0" applyFill="1" applyBorder="1" applyAlignment="1"/>
    <xf numFmtId="3" fontId="0" fillId="0" borderId="2" xfId="0" applyNumberFormat="1" applyFill="1" applyBorder="1" applyAlignment="1"/>
    <xf numFmtId="1" fontId="0" fillId="0" borderId="0" xfId="0" applyNumberFormat="1"/>
    <xf numFmtId="2" fontId="0" fillId="0" borderId="0" xfId="0" applyNumberFormat="1"/>
    <xf numFmtId="0" fontId="5" fillId="0" borderId="0" xfId="0" applyFont="1" applyAlignment="1">
      <alignment horizontal="right"/>
    </xf>
    <xf numFmtId="9" fontId="3" fillId="0" borderId="0" xfId="2"/>
    <xf numFmtId="166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7" fontId="0" fillId="0" borderId="0" xfId="0" applyNumberFormat="1"/>
    <xf numFmtId="168" fontId="0" fillId="0" borderId="0" xfId="0" applyNumberFormat="1"/>
    <xf numFmtId="0" fontId="0" fillId="0" borderId="0" xfId="0" applyAlignment="1">
      <alignment horizontal="right" wrapText="1"/>
    </xf>
    <xf numFmtId="0" fontId="0" fillId="0" borderId="0" xfId="0" quotePrefix="1"/>
    <xf numFmtId="169" fontId="3" fillId="0" borderId="0" xfId="2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3" fillId="0" borderId="0" xfId="0" applyFont="1" applyAlignment="1">
      <alignment horizontal="right"/>
    </xf>
    <xf numFmtId="170" fontId="0" fillId="0" borderId="0" xfId="0" applyNumberFormat="1" applyFill="1" applyBorder="1" applyAlignment="1"/>
    <xf numFmtId="171" fontId="0" fillId="0" borderId="0" xfId="0" applyNumberFormat="1"/>
    <xf numFmtId="0" fontId="0" fillId="0" borderId="2" xfId="0" applyBorder="1"/>
    <xf numFmtId="0" fontId="4" fillId="0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horizontal="right"/>
    </xf>
    <xf numFmtId="2" fontId="0" fillId="0" borderId="0" xfId="0" applyNumberFormat="1" applyBorder="1"/>
    <xf numFmtId="0" fontId="0" fillId="0" borderId="0" xfId="0" applyNumberFormat="1" applyFill="1" applyBorder="1" applyAlignment="1"/>
    <xf numFmtId="172" fontId="0" fillId="0" borderId="0" xfId="0" applyNumberFormat="1"/>
    <xf numFmtId="172" fontId="0" fillId="0" borderId="2" xfId="0" applyNumberFormat="1" applyBorder="1"/>
    <xf numFmtId="0" fontId="0" fillId="0" borderId="0" xfId="0" applyAlignment="1">
      <alignment horizontal="center" vertical="center"/>
    </xf>
    <xf numFmtId="9" fontId="0" fillId="0" borderId="0" xfId="2" applyFont="1"/>
    <xf numFmtId="173" fontId="0" fillId="0" borderId="0" xfId="0" applyNumberFormat="1" applyFill="1" applyBorder="1" applyAlignment="1"/>
    <xf numFmtId="174" fontId="0" fillId="0" borderId="0" xfId="0" applyNumberFormat="1"/>
    <xf numFmtId="0" fontId="4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7" fontId="0" fillId="0" borderId="0" xfId="0" applyNumberFormat="1" applyAlignment="1">
      <alignment horizontal="right"/>
    </xf>
    <xf numFmtId="0" fontId="2" fillId="0" borderId="0" xfId="0" applyFont="1" applyFill="1" applyBorder="1" applyAlignment="1"/>
    <xf numFmtId="0" fontId="3" fillId="0" borderId="0" xfId="0" quotePrefix="1" applyFont="1" applyAlignment="1">
      <alignment horizontal="right"/>
    </xf>
    <xf numFmtId="172" fontId="3" fillId="0" borderId="0" xfId="2" applyNumberFormat="1"/>
    <xf numFmtId="0" fontId="0" fillId="0" borderId="0" xfId="0" quotePrefix="1" applyAlignment="1">
      <alignment horizontal="right"/>
    </xf>
    <xf numFmtId="172" fontId="0" fillId="0" borderId="0" xfId="2" applyNumberFormat="1" applyFont="1" applyAlignment="1">
      <alignment horizontal="right"/>
    </xf>
    <xf numFmtId="172" fontId="0" fillId="0" borderId="0" xfId="0" applyNumberFormat="1" applyAlignment="1">
      <alignment horizontal="right"/>
    </xf>
    <xf numFmtId="9" fontId="0" fillId="0" borderId="0" xfId="2" applyFont="1" applyAlignment="1">
      <alignment horizontal="right"/>
    </xf>
    <xf numFmtId="0" fontId="5" fillId="0" borderId="0" xfId="0" applyFont="1"/>
    <xf numFmtId="0" fontId="0" fillId="0" borderId="0" xfId="0" applyBorder="1" applyAlignment="1">
      <alignment horizontal="right" wrapText="1"/>
    </xf>
    <xf numFmtId="172" fontId="0" fillId="0" borderId="0" xfId="2" applyNumberFormat="1" applyFont="1"/>
    <xf numFmtId="0" fontId="0" fillId="0" borderId="0" xfId="0" applyBorder="1" applyAlignment="1">
      <alignment horizontal="center" wrapText="1"/>
    </xf>
    <xf numFmtId="172" fontId="0" fillId="0" borderId="2" xfId="2" applyNumberFormat="1" applyFont="1" applyBorder="1"/>
    <xf numFmtId="172" fontId="0" fillId="0" borderId="0" xfId="2" applyNumberFormat="1" applyFont="1" applyBorder="1"/>
    <xf numFmtId="0" fontId="9" fillId="0" borderId="0" xfId="3" applyAlignment="1">
      <alignment horizontal="right"/>
    </xf>
    <xf numFmtId="0" fontId="10" fillId="0" borderId="0" xfId="4" applyAlignment="1" applyProtection="1"/>
    <xf numFmtId="0" fontId="9" fillId="0" borderId="0" xfId="3"/>
    <xf numFmtId="0" fontId="9" fillId="0" borderId="0" xfId="3" applyAlignment="1">
      <alignment horizontal="left"/>
    </xf>
    <xf numFmtId="0" fontId="9" fillId="0" borderId="0" xfId="3" applyAlignment="1">
      <alignment horizontal="left" wrapText="1"/>
    </xf>
    <xf numFmtId="174" fontId="9" fillId="0" borderId="0" xfId="3" applyNumberFormat="1"/>
    <xf numFmtId="0" fontId="11" fillId="0" borderId="0" xfId="3" applyFont="1" applyAlignment="1">
      <alignment horizontal="right"/>
    </xf>
    <xf numFmtId="2" fontId="9" fillId="0" borderId="0" xfId="3" applyNumberFormat="1"/>
    <xf numFmtId="1" fontId="9" fillId="0" borderId="0" xfId="3" applyNumberFormat="1"/>
    <xf numFmtId="2" fontId="9" fillId="2" borderId="0" xfId="3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3" fillId="6" borderId="0" xfId="0" applyFont="1" applyFill="1"/>
    <xf numFmtId="0" fontId="3" fillId="0" borderId="0" xfId="0" applyFont="1"/>
    <xf numFmtId="0" fontId="0" fillId="0" borderId="0" xfId="0" applyFill="1" applyBorder="1"/>
    <xf numFmtId="172" fontId="3" fillId="0" borderId="0" xfId="2" applyNumberFormat="1" applyFill="1" applyBorder="1"/>
    <xf numFmtId="9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Alignment="1">
      <alignment horizontal="center"/>
    </xf>
    <xf numFmtId="17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174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3" fillId="0" borderId="0" xfId="2" applyNumberFormat="1" applyAlignment="1">
      <alignment horizontal="right"/>
    </xf>
    <xf numFmtId="171" fontId="0" fillId="0" borderId="0" xfId="0" applyNumberFormat="1" applyAlignment="1">
      <alignment horizontal="right"/>
    </xf>
    <xf numFmtId="0" fontId="0" fillId="0" borderId="0" xfId="0" applyAlignment="1"/>
    <xf numFmtId="0" fontId="0" fillId="0" borderId="3" xfId="0" applyBorder="1"/>
    <xf numFmtId="2" fontId="0" fillId="0" borderId="3" xfId="0" applyNumberFormat="1" applyBorder="1"/>
    <xf numFmtId="170" fontId="0" fillId="0" borderId="0" xfId="0" applyNumberFormat="1"/>
    <xf numFmtId="0" fontId="3" fillId="0" borderId="0" xfId="5"/>
    <xf numFmtId="0" fontId="3" fillId="0" borderId="3" xfId="5" applyBorder="1"/>
    <xf numFmtId="0" fontId="3" fillId="0" borderId="0" xfId="5" applyFont="1" applyFill="1" applyBorder="1" applyAlignment="1">
      <alignment horizontal="right"/>
    </xf>
    <xf numFmtId="0" fontId="3" fillId="0" borderId="0" xfId="5" applyFont="1"/>
    <xf numFmtId="174" fontId="3" fillId="0" borderId="0" xfId="5" applyNumberFormat="1"/>
    <xf numFmtId="0" fontId="3" fillId="0" borderId="0" xfId="5" applyAlignment="1">
      <alignment horizontal="right"/>
    </xf>
    <xf numFmtId="170" fontId="3" fillId="0" borderId="0" xfId="5" applyNumberFormat="1"/>
    <xf numFmtId="0" fontId="4" fillId="0" borderId="4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right" wrapText="1"/>
    </xf>
    <xf numFmtId="0" fontId="0" fillId="0" borderId="4" xfId="0" applyBorder="1" applyAlignment="1">
      <alignment horizontal="right"/>
    </xf>
    <xf numFmtId="0" fontId="0" fillId="0" borderId="3" xfId="0" applyNumberFormat="1" applyFill="1" applyBorder="1" applyAlignment="1"/>
    <xf numFmtId="0" fontId="0" fillId="0" borderId="3" xfId="0" applyFill="1" applyBorder="1" applyAlignment="1"/>
    <xf numFmtId="172" fontId="0" fillId="0" borderId="3" xfId="0" applyNumberFormat="1" applyBorder="1"/>
    <xf numFmtId="165" fontId="0" fillId="0" borderId="0" xfId="0" applyNumberFormat="1"/>
    <xf numFmtId="0" fontId="2" fillId="0" borderId="0" xfId="0" applyFont="1" applyBorder="1"/>
    <xf numFmtId="0" fontId="2" fillId="0" borderId="0" xfId="0" quotePrefix="1" applyFont="1" applyAlignment="1">
      <alignment horizontal="left"/>
    </xf>
    <xf numFmtId="171" fontId="0" fillId="0" borderId="0" xfId="0" applyNumberFormat="1" applyFill="1"/>
    <xf numFmtId="0" fontId="0" fillId="7" borderId="0" xfId="0" applyFill="1" applyAlignment="1">
      <alignment horizontal="right"/>
    </xf>
    <xf numFmtId="0" fontId="0" fillId="7" borderId="0" xfId="0" applyFill="1"/>
    <xf numFmtId="175" fontId="3" fillId="7" borderId="0" xfId="6" applyNumberFormat="1" applyFill="1"/>
    <xf numFmtId="171" fontId="0" fillId="7" borderId="0" xfId="0" applyNumberFormat="1" applyFill="1"/>
    <xf numFmtId="0" fontId="2" fillId="0" borderId="0" xfId="7" applyFont="1"/>
    <xf numFmtId="0" fontId="3" fillId="0" borderId="0" xfId="7"/>
    <xf numFmtId="0" fontId="3" fillId="0" borderId="0" xfId="7" applyAlignment="1">
      <alignment horizontal="right"/>
    </xf>
    <xf numFmtId="0" fontId="3" fillId="0" borderId="0" xfId="7" applyAlignment="1">
      <alignment horizontal="left"/>
    </xf>
    <xf numFmtId="1" fontId="3" fillId="0" borderId="0" xfId="7" applyNumberFormat="1"/>
    <xf numFmtId="174" fontId="3" fillId="0" borderId="0" xfId="7" applyNumberFormat="1"/>
    <xf numFmtId="9" fontId="0" fillId="0" borderId="0" xfId="8" applyFont="1"/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1" fontId="0" fillId="0" borderId="7" xfId="0" applyNumberFormat="1" applyBorder="1"/>
    <xf numFmtId="1" fontId="0" fillId="0" borderId="8" xfId="0" applyNumberFormat="1" applyBorder="1"/>
    <xf numFmtId="1" fontId="0" fillId="0" borderId="9" xfId="0" applyNumberFormat="1" applyBorder="1"/>
    <xf numFmtId="1" fontId="0" fillId="0" borderId="10" xfId="0" applyNumberFormat="1" applyBorder="1"/>
    <xf numFmtId="0" fontId="0" fillId="0" borderId="9" xfId="0" applyBorder="1"/>
    <xf numFmtId="0" fontId="0" fillId="0" borderId="10" xfId="0" applyBorder="1"/>
    <xf numFmtId="174" fontId="0" fillId="0" borderId="9" xfId="0" applyNumberFormat="1" applyBorder="1"/>
    <xf numFmtId="174" fontId="0" fillId="0" borderId="10" xfId="0" applyNumberFormat="1" applyBorder="1"/>
    <xf numFmtId="0" fontId="0" fillId="0" borderId="11" xfId="0" applyBorder="1"/>
    <xf numFmtId="0" fontId="0" fillId="0" borderId="12" xfId="0" applyBorder="1"/>
    <xf numFmtId="165" fontId="3" fillId="0" borderId="0" xfId="9" applyNumberFormat="1"/>
    <xf numFmtId="174" fontId="0" fillId="0" borderId="0" xfId="0" applyNumberFormat="1" applyAlignment="1">
      <alignment horizontal="right"/>
    </xf>
    <xf numFmtId="2" fontId="0" fillId="0" borderId="0" xfId="0" applyNumberFormat="1" applyAlignment="1">
      <alignment horizontal="left"/>
    </xf>
    <xf numFmtId="0" fontId="0" fillId="0" borderId="0" xfId="0" applyFill="1" applyBorder="1" applyAlignment="1">
      <alignment wrapText="1"/>
    </xf>
    <xf numFmtId="2" fontId="0" fillId="0" borderId="0" xfId="0" applyNumberFormat="1" applyFill="1" applyBorder="1" applyAlignment="1"/>
    <xf numFmtId="1" fontId="0" fillId="0" borderId="0" xfId="0" applyNumberFormat="1" applyFill="1" applyBorder="1" applyAlignme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right"/>
    </xf>
    <xf numFmtId="171" fontId="0" fillId="0" borderId="0" xfId="0" applyNumberFormat="1" applyFill="1" applyBorder="1" applyAlignment="1"/>
    <xf numFmtId="1" fontId="0" fillId="0" borderId="2" xfId="0" applyNumberFormat="1" applyFill="1" applyBorder="1" applyAlignment="1"/>
    <xf numFmtId="2" fontId="0" fillId="0" borderId="2" xfId="0" applyNumberFormat="1" applyFill="1" applyBorder="1" applyAlignment="1"/>
    <xf numFmtId="171" fontId="0" fillId="0" borderId="2" xfId="0" applyNumberFormat="1" applyFill="1" applyBorder="1" applyAlignment="1"/>
    <xf numFmtId="171" fontId="0" fillId="0" borderId="0" xfId="0" applyNumberFormat="1" applyAlignment="1">
      <alignment horizontal="righ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4" fontId="0" fillId="0" borderId="11" xfId="0" applyNumberFormat="1" applyBorder="1" applyAlignment="1">
      <alignment horizontal="center"/>
    </xf>
    <xf numFmtId="174" fontId="0" fillId="0" borderId="12" xfId="0" applyNumberFormat="1" applyBorder="1" applyAlignment="1">
      <alignment horizontal="center"/>
    </xf>
    <xf numFmtId="174" fontId="0" fillId="0" borderId="7" xfId="0" applyNumberFormat="1" applyBorder="1" applyAlignment="1">
      <alignment horizontal="center"/>
    </xf>
    <xf numFmtId="174" fontId="0" fillId="0" borderId="8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0" xfId="0" applyFill="1"/>
    <xf numFmtId="174" fontId="0" fillId="0" borderId="0" xfId="0" applyNumberFormat="1" applyFill="1" applyAlignment="1">
      <alignment horizontal="center"/>
    </xf>
    <xf numFmtId="174" fontId="0" fillId="0" borderId="0" xfId="0" applyNumberFormat="1" applyFill="1" applyAlignment="1">
      <alignment horizontal="center"/>
    </xf>
    <xf numFmtId="171" fontId="0" fillId="0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7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 wrapText="1"/>
    </xf>
    <xf numFmtId="0" fontId="0" fillId="7" borderId="0" xfId="0" applyFill="1" applyAlignment="1">
      <alignment horizontal="right" wrapText="1"/>
    </xf>
    <xf numFmtId="1" fontId="0" fillId="0" borderId="0" xfId="0" applyNumberFormat="1" applyFill="1" applyAlignment="1"/>
    <xf numFmtId="174" fontId="0" fillId="0" borderId="0" xfId="0" applyNumberFormat="1" applyFill="1" applyAlignment="1"/>
    <xf numFmtId="171" fontId="0" fillId="0" borderId="0" xfId="0" applyNumberFormat="1" applyFill="1" applyAlignment="1">
      <alignment horizontal="right"/>
    </xf>
    <xf numFmtId="174" fontId="0" fillId="0" borderId="0" xfId="0" applyNumberFormat="1" applyFill="1" applyAlignment="1">
      <alignment horizontal="right"/>
    </xf>
    <xf numFmtId="174" fontId="0" fillId="7" borderId="0" xfId="0" applyNumberFormat="1" applyFill="1" applyAlignment="1"/>
    <xf numFmtId="1" fontId="0" fillId="0" borderId="0" xfId="0" applyNumberFormat="1" applyFill="1" applyAlignment="1">
      <alignment horizontal="right"/>
    </xf>
  </cellXfs>
  <cellStyles count="10">
    <cellStyle name="Currency 2" xfId="1"/>
    <cellStyle name="Dezimal_Grundlagen der Statistik" xfId="6"/>
    <cellStyle name="Hyperlink 2" xfId="4"/>
    <cellStyle name="Normal" xfId="0" builtinId="0"/>
    <cellStyle name="Normal 2" xfId="3"/>
    <cellStyle name="Normal 3" xfId="5"/>
    <cellStyle name="Percent 2" xfId="2"/>
    <cellStyle name="Prozent 2" xfId="8"/>
    <cellStyle name="Standard 2" xfId="7"/>
    <cellStyle name="Währung_coding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NORMDIST(x) </a:t>
            </a:r>
          </a:p>
        </c:rich>
      </c:tx>
      <c:layout>
        <c:manualLayout>
          <c:xMode val="edge"/>
          <c:yMode val="edge"/>
          <c:x val="0.32954545454545481"/>
          <c:y val="3.832752613240417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63636363636389"/>
          <c:y val="0.10801393728223013"/>
          <c:w val="0.80454545454545556"/>
          <c:h val="0.6724738675958200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personnel!$D$22:$D$36</c:f>
              <c:numCache>
                <c:formatCode>General</c:formatCode>
                <c:ptCount val="15"/>
                <c:pt idx="0">
                  <c:v>350</c:v>
                </c:pt>
                <c:pt idx="1">
                  <c:v>375</c:v>
                </c:pt>
                <c:pt idx="2">
                  <c:v>400</c:v>
                </c:pt>
                <c:pt idx="3">
                  <c:v>425</c:v>
                </c:pt>
                <c:pt idx="4">
                  <c:v>450</c:v>
                </c:pt>
                <c:pt idx="5">
                  <c:v>475</c:v>
                </c:pt>
                <c:pt idx="6">
                  <c:v>500</c:v>
                </c:pt>
                <c:pt idx="7">
                  <c:v>525</c:v>
                </c:pt>
                <c:pt idx="8">
                  <c:v>550</c:v>
                </c:pt>
                <c:pt idx="9">
                  <c:v>575</c:v>
                </c:pt>
                <c:pt idx="10">
                  <c:v>600</c:v>
                </c:pt>
                <c:pt idx="11">
                  <c:v>625</c:v>
                </c:pt>
                <c:pt idx="12">
                  <c:v>650</c:v>
                </c:pt>
                <c:pt idx="13">
                  <c:v>675</c:v>
                </c:pt>
                <c:pt idx="14">
                  <c:v>700</c:v>
                </c:pt>
              </c:numCache>
            </c:numRef>
          </c:xVal>
          <c:yVal>
            <c:numRef>
              <c:f>personnel!$E$22:$E$36</c:f>
              <c:numCache>
                <c:formatCode>General</c:formatCode>
                <c:ptCount val="15"/>
                <c:pt idx="0">
                  <c:v>7.3176832239259097E-4</c:v>
                </c:pt>
                <c:pt idx="1">
                  <c:v>3.1930116413535284E-3</c:v>
                </c:pt>
                <c:pt idx="2">
                  <c:v>1.152131004388092E-2</c:v>
                </c:pt>
                <c:pt idx="3">
                  <c:v>3.4518173997207628E-2</c:v>
                </c:pt>
                <c:pt idx="4">
                  <c:v>8.634102070937423E-2</c:v>
                </c:pt>
                <c:pt idx="5">
                  <c:v>0.18165107044344894</c:v>
                </c:pt>
                <c:pt idx="6">
                  <c:v>0.32471814186337733</c:v>
                </c:pt>
                <c:pt idx="7">
                  <c:v>0.5</c:v>
                </c:pt>
                <c:pt idx="8">
                  <c:v>0.67528185813662267</c:v>
                </c:pt>
                <c:pt idx="9">
                  <c:v>0.81834892955655103</c:v>
                </c:pt>
                <c:pt idx="10">
                  <c:v>0.91365897929062578</c:v>
                </c:pt>
                <c:pt idx="11">
                  <c:v>0.96548182600279242</c:v>
                </c:pt>
                <c:pt idx="12">
                  <c:v>0.98847868995611909</c:v>
                </c:pt>
                <c:pt idx="13">
                  <c:v>0.99680698835864645</c:v>
                </c:pt>
                <c:pt idx="14">
                  <c:v>0.99926823167760737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FE-4880-83FA-90EE542C092F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600</c:v>
              </c:pt>
              <c:pt idx="1">
                <c:v>600</c:v>
              </c:pt>
              <c:pt idx="2">
                <c:v>350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0.91366000000000003</c:v>
              </c:pt>
              <c:pt idx="2">
                <c:v>0.91366000000000003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DFE-4880-83FA-90EE542C09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79328"/>
        <c:axId val="158181248"/>
      </c:scatterChart>
      <c:valAx>
        <c:axId val="158179328"/>
        <c:scaling>
          <c:orientation val="minMax"/>
          <c:max val="700"/>
          <c:min val="350"/>
        </c:scaling>
        <c:delete val="0"/>
        <c:axPos val="b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x</a:t>
                </a:r>
              </a:p>
            </c:rich>
          </c:tx>
          <c:layout>
            <c:manualLayout>
              <c:xMode val="edge"/>
              <c:yMode val="edge"/>
              <c:x val="0.52954545454545465"/>
              <c:y val="0.87456445993031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58181248"/>
        <c:crosses val="autoZero"/>
        <c:crossBetween val="midCat"/>
      </c:valAx>
      <c:valAx>
        <c:axId val="158181248"/>
        <c:scaling>
          <c:orientation val="minMax"/>
          <c:max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Probability</a:t>
                </a:r>
              </a:p>
            </c:rich>
          </c:tx>
          <c:layout>
            <c:manualLayout>
              <c:xMode val="edge"/>
              <c:yMode val="edge"/>
              <c:x val="3.4090909090909088E-2"/>
              <c:y val="0.351916376306620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5817932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899999956" l="0.78740157499999996" r="0.78740157499999996" t="0.98425196899999956" header="0.49212598450000045" footer="0.4921259845000004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11622276029078"/>
          <c:y val="8.7248465106676734E-2"/>
          <c:w val="0.82324455205811298"/>
          <c:h val="0.74832337379957281"/>
        </c:manualLayout>
      </c:layout>
      <c:lineChart>
        <c:grouping val="standard"/>
        <c:varyColors val="0"/>
        <c:ser>
          <c:idx val="0"/>
          <c:order val="0"/>
          <c:tx>
            <c:strRef>
              <c:f>'project duration'!$B$29</c:f>
              <c:strCache>
                <c:ptCount val="1"/>
                <c:pt idx="0">
                  <c:v>normal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'project duration'!$A$30:$A$75</c:f>
              <c:numCache>
                <c:formatCode>General</c:formatCode>
                <c:ptCount val="4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  <c:pt idx="16">
                  <c:v>42</c:v>
                </c:pt>
                <c:pt idx="17">
                  <c:v>44</c:v>
                </c:pt>
                <c:pt idx="18">
                  <c:v>46</c:v>
                </c:pt>
                <c:pt idx="19">
                  <c:v>48</c:v>
                </c:pt>
                <c:pt idx="20">
                  <c:v>50</c:v>
                </c:pt>
                <c:pt idx="21">
                  <c:v>52</c:v>
                </c:pt>
                <c:pt idx="22">
                  <c:v>54</c:v>
                </c:pt>
                <c:pt idx="23">
                  <c:v>56</c:v>
                </c:pt>
                <c:pt idx="24">
                  <c:v>58</c:v>
                </c:pt>
                <c:pt idx="25">
                  <c:v>60</c:v>
                </c:pt>
                <c:pt idx="26">
                  <c:v>62</c:v>
                </c:pt>
                <c:pt idx="27">
                  <c:v>64</c:v>
                </c:pt>
                <c:pt idx="28">
                  <c:v>66</c:v>
                </c:pt>
                <c:pt idx="29">
                  <c:v>68</c:v>
                </c:pt>
                <c:pt idx="30">
                  <c:v>70</c:v>
                </c:pt>
                <c:pt idx="31">
                  <c:v>72</c:v>
                </c:pt>
                <c:pt idx="32">
                  <c:v>74</c:v>
                </c:pt>
                <c:pt idx="33">
                  <c:v>76</c:v>
                </c:pt>
                <c:pt idx="34">
                  <c:v>78</c:v>
                </c:pt>
                <c:pt idx="35">
                  <c:v>80</c:v>
                </c:pt>
                <c:pt idx="36">
                  <c:v>82</c:v>
                </c:pt>
                <c:pt idx="37">
                  <c:v>84</c:v>
                </c:pt>
                <c:pt idx="38">
                  <c:v>86</c:v>
                </c:pt>
                <c:pt idx="39">
                  <c:v>88</c:v>
                </c:pt>
                <c:pt idx="40">
                  <c:v>90</c:v>
                </c:pt>
                <c:pt idx="41">
                  <c:v>92</c:v>
                </c:pt>
                <c:pt idx="42">
                  <c:v>94</c:v>
                </c:pt>
                <c:pt idx="43">
                  <c:v>96</c:v>
                </c:pt>
                <c:pt idx="44">
                  <c:v>98</c:v>
                </c:pt>
                <c:pt idx="45">
                  <c:v>100</c:v>
                </c:pt>
              </c:numCache>
            </c:numRef>
          </c:cat>
          <c:val>
            <c:numRef>
              <c:f>'project duration'!$B$30:$B$75</c:f>
              <c:numCache>
                <c:formatCode>General</c:formatCode>
                <c:ptCount val="46"/>
                <c:pt idx="0">
                  <c:v>1.903549499797579E-18</c:v>
                </c:pt>
                <c:pt idx="1">
                  <c:v>5.2744930103054454E-17</c:v>
                </c:pt>
                <c:pt idx="2">
                  <c:v>1.2617258063571043E-15</c:v>
                </c:pt>
                <c:pt idx="3">
                  <c:v>2.6061327997954748E-14</c:v>
                </c:pt>
                <c:pt idx="4">
                  <c:v>4.6490701367767182E-13</c:v>
                </c:pt>
                <c:pt idx="5">
                  <c:v>7.1643633687901325E-12</c:v>
                </c:pt>
                <c:pt idx="6">
                  <c:v>9.5400547749323298E-11</c:v>
                </c:pt>
                <c:pt idx="7">
                  <c:v>1.0980568198499119E-9</c:v>
                </c:pt>
                <c:pt idx="8">
                  <c:v>1.0928526086589491E-8</c:v>
                </c:pt>
                <c:pt idx="9">
                  <c:v>9.4091806238858412E-8</c:v>
                </c:pt>
                <c:pt idx="10">
                  <c:v>7.0116653510457681E-7</c:v>
                </c:pt>
                <c:pt idx="11">
                  <c:v>4.5252150256096978E-6</c:v>
                </c:pt>
                <c:pt idx="12">
                  <c:v>2.5312234161752791E-5</c:v>
                </c:pt>
                <c:pt idx="13">
                  <c:v>1.2282574407153734E-4</c:v>
                </c:pt>
                <c:pt idx="14">
                  <c:v>5.1760688911193457E-4</c:v>
                </c:pt>
                <c:pt idx="15">
                  <c:v>1.8969787356127971E-3</c:v>
                </c:pt>
                <c:pt idx="16">
                  <c:v>6.0565909051588825E-3</c:v>
                </c:pt>
                <c:pt idx="17">
                  <c:v>1.6882959319215532E-2</c:v>
                </c:pt>
                <c:pt idx="18">
                  <c:v>4.120398296092341E-2</c:v>
                </c:pt>
                <c:pt idx="19">
                  <c:v>8.8362392105196502E-2</c:v>
                </c:pt>
                <c:pt idx="20">
                  <c:v>0.16728879607332794</c:v>
                </c:pt>
                <c:pt idx="21">
                  <c:v>0.28130783434962381</c:v>
                </c:pt>
                <c:pt idx="22">
                  <c:v>0.42348460941218619</c:v>
                </c:pt>
                <c:pt idx="23">
                  <c:v>0.57651539058781376</c:v>
                </c:pt>
                <c:pt idx="24">
                  <c:v>0.71869216565037619</c:v>
                </c:pt>
                <c:pt idx="25">
                  <c:v>0.83271120392667208</c:v>
                </c:pt>
                <c:pt idx="26">
                  <c:v>0.91163760789480353</c:v>
                </c:pt>
                <c:pt idx="27">
                  <c:v>0.95879601703907658</c:v>
                </c:pt>
                <c:pt idx="28">
                  <c:v>0.98311704068078443</c:v>
                </c:pt>
                <c:pt idx="29">
                  <c:v>0.99394340909484113</c:v>
                </c:pt>
                <c:pt idx="30">
                  <c:v>0.99810302126438721</c:v>
                </c:pt>
                <c:pt idx="31">
                  <c:v>0.99948239311088805</c:v>
                </c:pt>
                <c:pt idx="32">
                  <c:v>0.99987717425592848</c:v>
                </c:pt>
                <c:pt idx="33">
                  <c:v>0.9999746877658382</c:v>
                </c:pt>
                <c:pt idx="34">
                  <c:v>0.99999547478497441</c:v>
                </c:pt>
                <c:pt idx="35">
                  <c:v>0.99999929883346494</c:v>
                </c:pt>
                <c:pt idx="36">
                  <c:v>0.99999990590819376</c:v>
                </c:pt>
                <c:pt idx="37">
                  <c:v>0.99999998907147392</c:v>
                </c:pt>
                <c:pt idx="38">
                  <c:v>0.99999999890194313</c:v>
                </c:pt>
                <c:pt idx="39">
                  <c:v>0.99999999990459942</c:v>
                </c:pt>
                <c:pt idx="40">
                  <c:v>0.99999999999283562</c:v>
                </c:pt>
                <c:pt idx="41">
                  <c:v>0.99999999999953504</c:v>
                </c:pt>
                <c:pt idx="42">
                  <c:v>0.99999999999997391</c:v>
                </c:pt>
                <c:pt idx="43">
                  <c:v>0.99999999999999878</c:v>
                </c:pt>
                <c:pt idx="44">
                  <c:v>1</c:v>
                </c:pt>
                <c:pt idx="4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62-42F0-BF2D-2B34AE4188C6}"/>
            </c:ext>
          </c:extLst>
        </c:ser>
        <c:ser>
          <c:idx val="1"/>
          <c:order val="1"/>
          <c:tx>
            <c:strRef>
              <c:f>'project duration'!$C$29</c:f>
              <c:strCache>
                <c:ptCount val="1"/>
                <c:pt idx="0">
                  <c:v>beta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'project duration'!$A$30:$A$75</c:f>
              <c:numCache>
                <c:formatCode>General</c:formatCode>
                <c:ptCount val="4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  <c:pt idx="16">
                  <c:v>42</c:v>
                </c:pt>
                <c:pt idx="17">
                  <c:v>44</c:v>
                </c:pt>
                <c:pt idx="18">
                  <c:v>46</c:v>
                </c:pt>
                <c:pt idx="19">
                  <c:v>48</c:v>
                </c:pt>
                <c:pt idx="20">
                  <c:v>50</c:v>
                </c:pt>
                <c:pt idx="21">
                  <c:v>52</c:v>
                </c:pt>
                <c:pt idx="22">
                  <c:v>54</c:v>
                </c:pt>
                <c:pt idx="23">
                  <c:v>56</c:v>
                </c:pt>
                <c:pt idx="24">
                  <c:v>58</c:v>
                </c:pt>
                <c:pt idx="25">
                  <c:v>60</c:v>
                </c:pt>
                <c:pt idx="26">
                  <c:v>62</c:v>
                </c:pt>
                <c:pt idx="27">
                  <c:v>64</c:v>
                </c:pt>
                <c:pt idx="28">
                  <c:v>66</c:v>
                </c:pt>
                <c:pt idx="29">
                  <c:v>68</c:v>
                </c:pt>
                <c:pt idx="30">
                  <c:v>70</c:v>
                </c:pt>
                <c:pt idx="31">
                  <c:v>72</c:v>
                </c:pt>
                <c:pt idx="32">
                  <c:v>74</c:v>
                </c:pt>
                <c:pt idx="33">
                  <c:v>76</c:v>
                </c:pt>
                <c:pt idx="34">
                  <c:v>78</c:v>
                </c:pt>
                <c:pt idx="35">
                  <c:v>80</c:v>
                </c:pt>
                <c:pt idx="36">
                  <c:v>82</c:v>
                </c:pt>
                <c:pt idx="37">
                  <c:v>84</c:v>
                </c:pt>
                <c:pt idx="38">
                  <c:v>86</c:v>
                </c:pt>
                <c:pt idx="39">
                  <c:v>88</c:v>
                </c:pt>
                <c:pt idx="40">
                  <c:v>90</c:v>
                </c:pt>
                <c:pt idx="41">
                  <c:v>92</c:v>
                </c:pt>
                <c:pt idx="42">
                  <c:v>94</c:v>
                </c:pt>
                <c:pt idx="43">
                  <c:v>96</c:v>
                </c:pt>
                <c:pt idx="44">
                  <c:v>98</c:v>
                </c:pt>
                <c:pt idx="45">
                  <c:v>100</c:v>
                </c:pt>
              </c:numCache>
            </c:numRef>
          </c:cat>
          <c:val>
            <c:numRef>
              <c:f>'project duration'!$C$30:$C$75</c:f>
              <c:numCache>
                <c:formatCode>General</c:formatCode>
                <c:ptCount val="46"/>
                <c:pt idx="5">
                  <c:v>1.6084399594929074E-39</c:v>
                </c:pt>
                <c:pt idx="6">
                  <c:v>1.0611559801301856E-25</c:v>
                </c:pt>
                <c:pt idx="7">
                  <c:v>1.799912538729063E-19</c:v>
                </c:pt>
                <c:pt idx="8">
                  <c:v>1.6848933104256611E-15</c:v>
                </c:pt>
                <c:pt idx="9">
                  <c:v>1.2293243022422543E-12</c:v>
                </c:pt>
                <c:pt idx="10">
                  <c:v>1.9462005952181811E-10</c:v>
                </c:pt>
                <c:pt idx="11">
                  <c:v>1.107213296373138E-8</c:v>
                </c:pt>
                <c:pt idx="12">
                  <c:v>3.0123081905324111E-7</c:v>
                </c:pt>
                <c:pt idx="13">
                  <c:v>4.6798340965251431E-6</c:v>
                </c:pt>
                <c:pt idx="14">
                  <c:v>4.6694140957076276E-5</c:v>
                </c:pt>
                <c:pt idx="15">
                  <c:v>3.2471221466039385E-4</c:v>
                </c:pt>
                <c:pt idx="16">
                  <c:v>1.6695656084315879E-3</c:v>
                </c:pt>
                <c:pt idx="17">
                  <c:v>6.6333504742700656E-3</c:v>
                </c:pt>
                <c:pt idx="18">
                  <c:v>2.106721021605756E-2</c:v>
                </c:pt>
                <c:pt idx="19">
                  <c:v>5.4938768859196761E-2</c:v>
                </c:pt>
                <c:pt idx="20">
                  <c:v>0.12025430389717198</c:v>
                </c:pt>
                <c:pt idx="21">
                  <c:v>0.22514292492281163</c:v>
                </c:pt>
                <c:pt idx="22">
                  <c:v>0.3667580644489401</c:v>
                </c:pt>
                <c:pt idx="23">
                  <c:v>0.52852488785509133</c:v>
                </c:pt>
                <c:pt idx="24">
                  <c:v>0.68539737995115546</c:v>
                </c:pt>
                <c:pt idx="25">
                  <c:v>0.81463737960366733</c:v>
                </c:pt>
                <c:pt idx="26">
                  <c:v>0.90492200932810718</c:v>
                </c:pt>
                <c:pt idx="27">
                  <c:v>0.95815632947802554</c:v>
                </c:pt>
                <c:pt idx="28">
                  <c:v>0.98444945557212638</c:v>
                </c:pt>
                <c:pt idx="29">
                  <c:v>0.99520951664154578</c:v>
                </c:pt>
                <c:pt idx="30">
                  <c:v>0.99880385405009786</c:v>
                </c:pt>
                <c:pt idx="31">
                  <c:v>0.99976460879250262</c:v>
                </c:pt>
                <c:pt idx="32">
                  <c:v>0.99996477765455061</c:v>
                </c:pt>
                <c:pt idx="33">
                  <c:v>0.99999617662182494</c:v>
                </c:pt>
                <c:pt idx="34">
                  <c:v>0.99999971737083837</c:v>
                </c:pt>
                <c:pt idx="35">
                  <c:v>0.99999998696613923</c:v>
                </c:pt>
                <c:pt idx="36">
                  <c:v>0.99999999966942488</c:v>
                </c:pt>
                <c:pt idx="37">
                  <c:v>0.99999999999618794</c:v>
                </c:pt>
                <c:pt idx="38">
                  <c:v>0.99999999999998535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62-42F0-BF2D-2B34AE418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753152"/>
        <c:axId val="158754688"/>
      </c:lineChart>
      <c:catAx>
        <c:axId val="158753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58754688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58754688"/>
        <c:scaling>
          <c:orientation val="minMax"/>
          <c:max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5875315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9854721549636847"/>
          <c:y val="0.13758424492240509"/>
          <c:w val="0.1622276029055687"/>
          <c:h val="0.130872835526431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899999956" l="0.78740157499999996" r="0.78740157499999996" t="0.98425196899999956" header="0.49212598450000045" footer="0.4921259845000004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11622276029081"/>
          <c:y val="9.3959885499498089E-2"/>
          <c:w val="0.8232445520581132"/>
          <c:h val="0.74161195340675168"/>
        </c:manualLayout>
      </c:layout>
      <c:lineChart>
        <c:grouping val="standard"/>
        <c:varyColors val="0"/>
        <c:ser>
          <c:idx val="0"/>
          <c:order val="0"/>
          <c:tx>
            <c:strRef>
              <c:f>'project duration+correlations'!$B$29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'project duration+correlations'!$A$30:$A$75</c:f>
              <c:numCache>
                <c:formatCode>General</c:formatCode>
                <c:ptCount val="4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  <c:pt idx="16">
                  <c:v>42</c:v>
                </c:pt>
                <c:pt idx="17">
                  <c:v>44</c:v>
                </c:pt>
                <c:pt idx="18">
                  <c:v>46</c:v>
                </c:pt>
                <c:pt idx="19">
                  <c:v>48</c:v>
                </c:pt>
                <c:pt idx="20">
                  <c:v>50</c:v>
                </c:pt>
                <c:pt idx="21">
                  <c:v>52</c:v>
                </c:pt>
                <c:pt idx="22">
                  <c:v>54</c:v>
                </c:pt>
                <c:pt idx="23">
                  <c:v>56</c:v>
                </c:pt>
                <c:pt idx="24">
                  <c:v>58</c:v>
                </c:pt>
                <c:pt idx="25">
                  <c:v>60</c:v>
                </c:pt>
                <c:pt idx="26">
                  <c:v>62</c:v>
                </c:pt>
                <c:pt idx="27">
                  <c:v>64</c:v>
                </c:pt>
                <c:pt idx="28">
                  <c:v>66</c:v>
                </c:pt>
                <c:pt idx="29">
                  <c:v>68</c:v>
                </c:pt>
                <c:pt idx="30">
                  <c:v>70</c:v>
                </c:pt>
                <c:pt idx="31">
                  <c:v>72</c:v>
                </c:pt>
                <c:pt idx="32">
                  <c:v>74</c:v>
                </c:pt>
                <c:pt idx="33">
                  <c:v>76</c:v>
                </c:pt>
                <c:pt idx="34">
                  <c:v>78</c:v>
                </c:pt>
                <c:pt idx="35">
                  <c:v>80</c:v>
                </c:pt>
                <c:pt idx="36">
                  <c:v>82</c:v>
                </c:pt>
                <c:pt idx="37">
                  <c:v>84</c:v>
                </c:pt>
                <c:pt idx="38">
                  <c:v>86</c:v>
                </c:pt>
                <c:pt idx="39">
                  <c:v>88</c:v>
                </c:pt>
                <c:pt idx="40">
                  <c:v>90</c:v>
                </c:pt>
                <c:pt idx="41">
                  <c:v>92</c:v>
                </c:pt>
                <c:pt idx="42">
                  <c:v>94</c:v>
                </c:pt>
                <c:pt idx="43">
                  <c:v>96</c:v>
                </c:pt>
                <c:pt idx="44">
                  <c:v>98</c:v>
                </c:pt>
                <c:pt idx="45">
                  <c:v>100</c:v>
                </c:pt>
              </c:numCache>
            </c:numRef>
          </c:cat>
          <c:val>
            <c:numRef>
              <c:f>'project duration+correlations'!$B$30:$B$75</c:f>
              <c:numCache>
                <c:formatCode>General</c:formatCode>
                <c:ptCount val="46"/>
                <c:pt idx="0">
                  <c:v>8.2634627062404155E-8</c:v>
                </c:pt>
                <c:pt idx="1">
                  <c:v>2.8364974283106272E-7</c:v>
                </c:pt>
                <c:pt idx="2">
                  <c:v>9.2398345745088071E-7</c:v>
                </c:pt>
                <c:pt idx="3">
                  <c:v>2.8567359158571262E-6</c:v>
                </c:pt>
                <c:pt idx="4">
                  <c:v>8.3843649422540064E-6</c:v>
                </c:pt>
                <c:pt idx="5">
                  <c:v>2.3363781020500792E-5</c:v>
                </c:pt>
                <c:pt idx="6">
                  <c:v>6.182692223481346E-5</c:v>
                </c:pt>
                <c:pt idx="7">
                  <c:v>1.5540820378976691E-4</c:v>
                </c:pt>
                <c:pt idx="8">
                  <c:v>3.7114691505951881E-4</c:v>
                </c:pt>
                <c:pt idx="9">
                  <c:v>8.4240897562457484E-4</c:v>
                </c:pt>
                <c:pt idx="10">
                  <c:v>1.8178311145575323E-3</c:v>
                </c:pt>
                <c:pt idx="11">
                  <c:v>3.7308483019258105E-3</c:v>
                </c:pt>
                <c:pt idx="12">
                  <c:v>7.2858649664851224E-3</c:v>
                </c:pt>
                <c:pt idx="13">
                  <c:v>1.3545676528953065E-2</c:v>
                </c:pt>
                <c:pt idx="14">
                  <c:v>2.3989945446367626E-2</c:v>
                </c:pt>
                <c:pt idx="15">
                  <c:v>4.0501664284715161E-2</c:v>
                </c:pt>
                <c:pt idx="16">
                  <c:v>6.523622697765756E-2</c:v>
                </c:pt>
                <c:pt idx="17">
                  <c:v>0.10034487687469969</c:v>
                </c:pt>
                <c:pt idx="18">
                  <c:v>0.14756446138824636</c:v>
                </c:pt>
                <c:pt idx="19">
                  <c:v>0.20774118000973613</c:v>
                </c:pt>
                <c:pt idx="20">
                  <c:v>0.28040752065267049</c:v>
                </c:pt>
                <c:pt idx="21">
                  <c:v>0.36355261553150653</c:v>
                </c:pt>
                <c:pt idx="22">
                  <c:v>0.4536969855667719</c:v>
                </c:pt>
                <c:pt idx="23">
                  <c:v>0.54630301443322815</c:v>
                </c:pt>
                <c:pt idx="24">
                  <c:v>0.63644738446849347</c:v>
                </c:pt>
                <c:pt idx="25">
                  <c:v>0.71959247934732951</c:v>
                </c:pt>
                <c:pt idx="26">
                  <c:v>0.79225881999026382</c:v>
                </c:pt>
                <c:pt idx="27">
                  <c:v>0.8524355386117537</c:v>
                </c:pt>
                <c:pt idx="28">
                  <c:v>0.89965512312530027</c:v>
                </c:pt>
                <c:pt idx="29">
                  <c:v>0.93476377302234248</c:v>
                </c:pt>
                <c:pt idx="30">
                  <c:v>0.95949833571528487</c:v>
                </c:pt>
                <c:pt idx="31">
                  <c:v>0.97601005455363232</c:v>
                </c:pt>
                <c:pt idx="32">
                  <c:v>0.98645432347104689</c:v>
                </c:pt>
                <c:pt idx="33">
                  <c:v>0.99271413503351491</c:v>
                </c:pt>
                <c:pt idx="34">
                  <c:v>0.99626915169807417</c:v>
                </c:pt>
                <c:pt idx="35">
                  <c:v>0.99818216888544242</c:v>
                </c:pt>
                <c:pt idx="36">
                  <c:v>0.9991575910243754</c:v>
                </c:pt>
                <c:pt idx="37">
                  <c:v>0.99962885308494043</c:v>
                </c:pt>
                <c:pt idx="38">
                  <c:v>0.99984459179621021</c:v>
                </c:pt>
                <c:pt idx="39">
                  <c:v>0.99993817307776522</c:v>
                </c:pt>
                <c:pt idx="40">
                  <c:v>0.99997663621897948</c:v>
                </c:pt>
                <c:pt idx="41">
                  <c:v>0.99999161563505778</c:v>
                </c:pt>
                <c:pt idx="42">
                  <c:v>0.99999714326408418</c:v>
                </c:pt>
                <c:pt idx="43">
                  <c:v>0.99999907601654259</c:v>
                </c:pt>
                <c:pt idx="44">
                  <c:v>0.9999997163502572</c:v>
                </c:pt>
                <c:pt idx="45">
                  <c:v>0.99999991736537297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17-41E9-BF92-45F67779E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940224"/>
        <c:axId val="143950208"/>
      </c:lineChart>
      <c:catAx>
        <c:axId val="143940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43950208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43950208"/>
        <c:scaling>
          <c:orientation val="minMax"/>
          <c:max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4394022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899999956" l="0.78740157499999996" r="0.78740157499999996" t="0.98425196899999956" header="0.4921259845000005" footer="0.492125984500000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210526315789527E-2"/>
          <c:y val="9.2592927491780566E-2"/>
          <c:w val="0.86578947368421233"/>
          <c:h val="0.79259545932964171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correlation!$A$4:$A$33</c:f>
              <c:numCache>
                <c:formatCode>General</c:formatCode>
                <c:ptCount val="30"/>
                <c:pt idx="0">
                  <c:v>58</c:v>
                </c:pt>
                <c:pt idx="1">
                  <c:v>48</c:v>
                </c:pt>
                <c:pt idx="2">
                  <c:v>58</c:v>
                </c:pt>
                <c:pt idx="3">
                  <c:v>56</c:v>
                </c:pt>
                <c:pt idx="4">
                  <c:v>68</c:v>
                </c:pt>
                <c:pt idx="5">
                  <c:v>60</c:v>
                </c:pt>
                <c:pt idx="6">
                  <c:v>28</c:v>
                </c:pt>
                <c:pt idx="7">
                  <c:v>48</c:v>
                </c:pt>
                <c:pt idx="8">
                  <c:v>53</c:v>
                </c:pt>
                <c:pt idx="9">
                  <c:v>61</c:v>
                </c:pt>
                <c:pt idx="10">
                  <c:v>36</c:v>
                </c:pt>
                <c:pt idx="11">
                  <c:v>55</c:v>
                </c:pt>
                <c:pt idx="12">
                  <c:v>48</c:v>
                </c:pt>
                <c:pt idx="13">
                  <c:v>51</c:v>
                </c:pt>
                <c:pt idx="14">
                  <c:v>39</c:v>
                </c:pt>
                <c:pt idx="15">
                  <c:v>45</c:v>
                </c:pt>
                <c:pt idx="16">
                  <c:v>43</c:v>
                </c:pt>
                <c:pt idx="17">
                  <c:v>36</c:v>
                </c:pt>
                <c:pt idx="18">
                  <c:v>49</c:v>
                </c:pt>
                <c:pt idx="19">
                  <c:v>53</c:v>
                </c:pt>
                <c:pt idx="20">
                  <c:v>61</c:v>
                </c:pt>
                <c:pt idx="21">
                  <c:v>62</c:v>
                </c:pt>
                <c:pt idx="22">
                  <c:v>59</c:v>
                </c:pt>
                <c:pt idx="23">
                  <c:v>44</c:v>
                </c:pt>
                <c:pt idx="24">
                  <c:v>53</c:v>
                </c:pt>
                <c:pt idx="25">
                  <c:v>55</c:v>
                </c:pt>
                <c:pt idx="26">
                  <c:v>66</c:v>
                </c:pt>
                <c:pt idx="27">
                  <c:v>36</c:v>
                </c:pt>
                <c:pt idx="28">
                  <c:v>41</c:v>
                </c:pt>
                <c:pt idx="29">
                  <c:v>28</c:v>
                </c:pt>
              </c:numCache>
            </c:numRef>
          </c:xVal>
          <c:yVal>
            <c:numRef>
              <c:f>correlation!$B$4:$B$33</c:f>
              <c:numCache>
                <c:formatCode>General</c:formatCode>
                <c:ptCount val="30"/>
                <c:pt idx="0">
                  <c:v>65400</c:v>
                </c:pt>
                <c:pt idx="1">
                  <c:v>62000</c:v>
                </c:pt>
                <c:pt idx="2">
                  <c:v>63200</c:v>
                </c:pt>
                <c:pt idx="3">
                  <c:v>52000</c:v>
                </c:pt>
                <c:pt idx="4">
                  <c:v>81400</c:v>
                </c:pt>
                <c:pt idx="5">
                  <c:v>46300</c:v>
                </c:pt>
                <c:pt idx="6">
                  <c:v>49600</c:v>
                </c:pt>
                <c:pt idx="7">
                  <c:v>45900</c:v>
                </c:pt>
                <c:pt idx="8">
                  <c:v>47700</c:v>
                </c:pt>
                <c:pt idx="9">
                  <c:v>59900</c:v>
                </c:pt>
                <c:pt idx="10">
                  <c:v>48100</c:v>
                </c:pt>
                <c:pt idx="11">
                  <c:v>58100</c:v>
                </c:pt>
                <c:pt idx="12">
                  <c:v>56000</c:v>
                </c:pt>
                <c:pt idx="13">
                  <c:v>53400</c:v>
                </c:pt>
                <c:pt idx="14">
                  <c:v>39000</c:v>
                </c:pt>
                <c:pt idx="15">
                  <c:v>61500</c:v>
                </c:pt>
                <c:pt idx="16">
                  <c:v>37700</c:v>
                </c:pt>
                <c:pt idx="17">
                  <c:v>36700</c:v>
                </c:pt>
                <c:pt idx="18">
                  <c:v>45200</c:v>
                </c:pt>
                <c:pt idx="19">
                  <c:v>59000</c:v>
                </c:pt>
                <c:pt idx="20">
                  <c:v>54300</c:v>
                </c:pt>
                <c:pt idx="21">
                  <c:v>62100</c:v>
                </c:pt>
                <c:pt idx="22">
                  <c:v>78000</c:v>
                </c:pt>
                <c:pt idx="23">
                  <c:v>43200</c:v>
                </c:pt>
                <c:pt idx="24">
                  <c:v>44500</c:v>
                </c:pt>
                <c:pt idx="25">
                  <c:v>43300</c:v>
                </c:pt>
                <c:pt idx="26">
                  <c:v>45400</c:v>
                </c:pt>
                <c:pt idx="27">
                  <c:v>53900</c:v>
                </c:pt>
                <c:pt idx="28">
                  <c:v>44100</c:v>
                </c:pt>
                <c:pt idx="29">
                  <c:v>31000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3D-4BA5-8E11-AA04B222A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42016"/>
        <c:axId val="164586240"/>
      </c:scatterChart>
      <c:valAx>
        <c:axId val="164342016"/>
        <c:scaling>
          <c:orientation val="minMax"/>
          <c:max val="70"/>
          <c:min val="25"/>
        </c:scaling>
        <c:delete val="0"/>
        <c:axPos val="b"/>
        <c:title>
          <c:tx>
            <c:rich>
              <a:bodyPr/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(x)</a:t>
                </a:r>
              </a:p>
            </c:rich>
          </c:tx>
          <c:layout>
            <c:manualLayout>
              <c:xMode val="edge"/>
              <c:yMode val="edge"/>
              <c:x val="0.45526315789473676"/>
              <c:y val="0.90000311072227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64586240"/>
        <c:crossesAt val="52263.33"/>
        <c:crossBetween val="midCat"/>
        <c:majorUnit val="5"/>
      </c:valAx>
      <c:valAx>
        <c:axId val="164586240"/>
        <c:scaling>
          <c:orientation val="minMax"/>
          <c:max val="90000"/>
          <c:min val="30000"/>
        </c:scaling>
        <c:delete val="0"/>
        <c:axPos val="l"/>
        <c:title>
          <c:tx>
            <c:rich>
              <a:bodyPr/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Salary (y)</a:t>
                </a:r>
              </a:p>
            </c:rich>
          </c:tx>
          <c:layout>
            <c:manualLayout>
              <c:xMode val="edge"/>
              <c:yMode val="edge"/>
              <c:x val="1.3157894736842111E-2"/>
              <c:y val="0.3777793331389133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64342016"/>
        <c:crossesAt val="49.933330000000012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899999956" l="0.78740157499999996" r="0.78740157499999996" t="0.98425196899999956" header="0.49212598450000045" footer="0.49212598450000045"/>
    <c:pageSetup paperSize="9" orientation="landscape" horizontalDpi="300" verticalDpi="30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458151480420019"/>
          <c:y val="8.680584990047864E-2"/>
          <c:w val="0.7512324305731799"/>
          <c:h val="0.6875023312117892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-0.26584087047461591"/>
                  <c:y val="-0.19880936033695348"/>
                </c:manualLayout>
              </c:layout>
              <c:tx>
                <c:rich>
                  <a:bodyPr/>
                  <a:lstStyle/>
                  <a:p>
                    <a:pPr>
                      <a:defRPr sz="1075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1075" b="0" i="0" u="none" strike="noStrike" baseline="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y^ = 634x + 20610</a:t>
                    </a:r>
                  </a:p>
                  <a:p>
                    <a:pPr>
                      <a:defRPr sz="1075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1075" b="0" i="0" u="none" strike="noStrike" baseline="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R</a:t>
                    </a:r>
                    <a:r>
                      <a:rPr lang="en-US" sz="1075" b="0" i="0" u="none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2</a:t>
                    </a:r>
                    <a:r>
                      <a:rPr lang="en-US" sz="1075" b="0" i="0" u="none" strike="noStrike" baseline="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= 0.34</a:t>
                    </a:r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'simple regression'!$A$4:$A$33</c:f>
              <c:numCache>
                <c:formatCode>General</c:formatCode>
                <c:ptCount val="30"/>
                <c:pt idx="0">
                  <c:v>58</c:v>
                </c:pt>
                <c:pt idx="1">
                  <c:v>48</c:v>
                </c:pt>
                <c:pt idx="2">
                  <c:v>58</c:v>
                </c:pt>
                <c:pt idx="3">
                  <c:v>56</c:v>
                </c:pt>
                <c:pt idx="4">
                  <c:v>68</c:v>
                </c:pt>
                <c:pt idx="5">
                  <c:v>60</c:v>
                </c:pt>
                <c:pt idx="6">
                  <c:v>28</c:v>
                </c:pt>
                <c:pt idx="7">
                  <c:v>48</c:v>
                </c:pt>
                <c:pt idx="8">
                  <c:v>53</c:v>
                </c:pt>
                <c:pt idx="9">
                  <c:v>61</c:v>
                </c:pt>
                <c:pt idx="10">
                  <c:v>36</c:v>
                </c:pt>
                <c:pt idx="11">
                  <c:v>55</c:v>
                </c:pt>
                <c:pt idx="12">
                  <c:v>48</c:v>
                </c:pt>
                <c:pt idx="13">
                  <c:v>51</c:v>
                </c:pt>
                <c:pt idx="14">
                  <c:v>39</c:v>
                </c:pt>
                <c:pt idx="15">
                  <c:v>45</c:v>
                </c:pt>
                <c:pt idx="16">
                  <c:v>43</c:v>
                </c:pt>
                <c:pt idx="17">
                  <c:v>36</c:v>
                </c:pt>
                <c:pt idx="18">
                  <c:v>49</c:v>
                </c:pt>
                <c:pt idx="19">
                  <c:v>53</c:v>
                </c:pt>
                <c:pt idx="20">
                  <c:v>61</c:v>
                </c:pt>
                <c:pt idx="21">
                  <c:v>62</c:v>
                </c:pt>
                <c:pt idx="22">
                  <c:v>59</c:v>
                </c:pt>
                <c:pt idx="23">
                  <c:v>44</c:v>
                </c:pt>
                <c:pt idx="24">
                  <c:v>53</c:v>
                </c:pt>
                <c:pt idx="25">
                  <c:v>55</c:v>
                </c:pt>
                <c:pt idx="26">
                  <c:v>66</c:v>
                </c:pt>
                <c:pt idx="27">
                  <c:v>36</c:v>
                </c:pt>
                <c:pt idx="28">
                  <c:v>41</c:v>
                </c:pt>
                <c:pt idx="29">
                  <c:v>28</c:v>
                </c:pt>
              </c:numCache>
            </c:numRef>
          </c:xVal>
          <c:yVal>
            <c:numRef>
              <c:f>'simple regression'!$B$4:$B$33</c:f>
              <c:numCache>
                <c:formatCode>General</c:formatCode>
                <c:ptCount val="30"/>
                <c:pt idx="0">
                  <c:v>65400</c:v>
                </c:pt>
                <c:pt idx="1">
                  <c:v>62000</c:v>
                </c:pt>
                <c:pt idx="2">
                  <c:v>63200</c:v>
                </c:pt>
                <c:pt idx="3">
                  <c:v>52000</c:v>
                </c:pt>
                <c:pt idx="4">
                  <c:v>81400</c:v>
                </c:pt>
                <c:pt idx="5">
                  <c:v>46300</c:v>
                </c:pt>
                <c:pt idx="6">
                  <c:v>49600</c:v>
                </c:pt>
                <c:pt idx="7">
                  <c:v>45900</c:v>
                </c:pt>
                <c:pt idx="8">
                  <c:v>47700</c:v>
                </c:pt>
                <c:pt idx="9">
                  <c:v>59900</c:v>
                </c:pt>
                <c:pt idx="10">
                  <c:v>48100</c:v>
                </c:pt>
                <c:pt idx="11">
                  <c:v>58100</c:v>
                </c:pt>
                <c:pt idx="12">
                  <c:v>56000</c:v>
                </c:pt>
                <c:pt idx="13">
                  <c:v>53400</c:v>
                </c:pt>
                <c:pt idx="14">
                  <c:v>39000</c:v>
                </c:pt>
                <c:pt idx="15">
                  <c:v>61500</c:v>
                </c:pt>
                <c:pt idx="16">
                  <c:v>37700</c:v>
                </c:pt>
                <c:pt idx="17">
                  <c:v>36700</c:v>
                </c:pt>
                <c:pt idx="18">
                  <c:v>45200</c:v>
                </c:pt>
                <c:pt idx="19">
                  <c:v>59000</c:v>
                </c:pt>
                <c:pt idx="20">
                  <c:v>54300</c:v>
                </c:pt>
                <c:pt idx="21">
                  <c:v>62100</c:v>
                </c:pt>
                <c:pt idx="22">
                  <c:v>78000</c:v>
                </c:pt>
                <c:pt idx="23">
                  <c:v>43200</c:v>
                </c:pt>
                <c:pt idx="24">
                  <c:v>44500</c:v>
                </c:pt>
                <c:pt idx="25">
                  <c:v>43300</c:v>
                </c:pt>
                <c:pt idx="26">
                  <c:v>45400</c:v>
                </c:pt>
                <c:pt idx="27">
                  <c:v>53900</c:v>
                </c:pt>
                <c:pt idx="28">
                  <c:v>44100</c:v>
                </c:pt>
                <c:pt idx="29">
                  <c:v>31000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FB-4787-B561-B418CF347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52160"/>
        <c:axId val="164654080"/>
      </c:scatterChart>
      <c:valAx>
        <c:axId val="164652160"/>
        <c:scaling>
          <c:orientation val="minMax"/>
          <c:max val="70"/>
          <c:min val="25"/>
        </c:scaling>
        <c:delete val="0"/>
        <c:axPos val="b"/>
        <c:title>
          <c:tx>
            <c:rich>
              <a:bodyPr/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(x)</a:t>
                </a:r>
              </a:p>
            </c:rich>
          </c:tx>
          <c:layout>
            <c:manualLayout>
              <c:xMode val="edge"/>
              <c:yMode val="edge"/>
              <c:x val="0.51477884229988691"/>
              <c:y val="0.868058471857684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64654080"/>
        <c:crosses val="autoZero"/>
        <c:crossBetween val="midCat"/>
        <c:majorUnit val="5"/>
      </c:valAx>
      <c:valAx>
        <c:axId val="164654080"/>
        <c:scaling>
          <c:orientation val="minMax"/>
          <c:max val="90000"/>
          <c:min val="3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salary (y)</a:t>
                </a:r>
              </a:p>
            </c:rich>
          </c:tx>
          <c:layout>
            <c:manualLayout>
              <c:xMode val="edge"/>
              <c:yMode val="edge"/>
              <c:x val="3.9408866995073892E-2"/>
              <c:y val="0.32986220472441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646521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899999956" l="0.78740157499999996" r="0.78740157499999996" t="0.98425196899999956" header="0.49212598450000045" footer="0.49212598450000045"/>
    <c:pageSetup paperSize="9" orientation="landscape" horizontalDpi="1200" verticalDpi="120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164619164619195"/>
          <c:y val="8.6505336466899299E-2"/>
          <c:w val="0.72727272727272729"/>
          <c:h val="0.70934375902857316"/>
        </c:manualLayout>
      </c:layout>
      <c:scatterChart>
        <c:scatterStyle val="lineMarker"/>
        <c:varyColors val="0"/>
        <c:ser>
          <c:idx val="0"/>
          <c:order val="0"/>
          <c:tx>
            <c:strRef>
              <c:f>'multiple regression (2)'!$Q$4</c:f>
              <c:strCache>
                <c:ptCount val="1"/>
                <c:pt idx="0">
                  <c:v>Male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'multiple regression (2)'!$A$4:$A$33</c:f>
              <c:numCache>
                <c:formatCode>General</c:formatCode>
                <c:ptCount val="30"/>
                <c:pt idx="0">
                  <c:v>58</c:v>
                </c:pt>
                <c:pt idx="1">
                  <c:v>48</c:v>
                </c:pt>
                <c:pt idx="2">
                  <c:v>58</c:v>
                </c:pt>
                <c:pt idx="3">
                  <c:v>56</c:v>
                </c:pt>
                <c:pt idx="4">
                  <c:v>68</c:v>
                </c:pt>
                <c:pt idx="5">
                  <c:v>60</c:v>
                </c:pt>
                <c:pt idx="6">
                  <c:v>28</c:v>
                </c:pt>
                <c:pt idx="7">
                  <c:v>48</c:v>
                </c:pt>
                <c:pt idx="8">
                  <c:v>53</c:v>
                </c:pt>
                <c:pt idx="9">
                  <c:v>61</c:v>
                </c:pt>
                <c:pt idx="10">
                  <c:v>36</c:v>
                </c:pt>
                <c:pt idx="11">
                  <c:v>55</c:v>
                </c:pt>
                <c:pt idx="12">
                  <c:v>48</c:v>
                </c:pt>
                <c:pt idx="13">
                  <c:v>51</c:v>
                </c:pt>
                <c:pt idx="14">
                  <c:v>39</c:v>
                </c:pt>
                <c:pt idx="15">
                  <c:v>45</c:v>
                </c:pt>
                <c:pt idx="16">
                  <c:v>43</c:v>
                </c:pt>
                <c:pt idx="17">
                  <c:v>36</c:v>
                </c:pt>
                <c:pt idx="18">
                  <c:v>49</c:v>
                </c:pt>
                <c:pt idx="19">
                  <c:v>53</c:v>
                </c:pt>
                <c:pt idx="20">
                  <c:v>61</c:v>
                </c:pt>
                <c:pt idx="21">
                  <c:v>62</c:v>
                </c:pt>
                <c:pt idx="22">
                  <c:v>59</c:v>
                </c:pt>
                <c:pt idx="23">
                  <c:v>44</c:v>
                </c:pt>
                <c:pt idx="24">
                  <c:v>53</c:v>
                </c:pt>
                <c:pt idx="25">
                  <c:v>55</c:v>
                </c:pt>
                <c:pt idx="26">
                  <c:v>66</c:v>
                </c:pt>
                <c:pt idx="27">
                  <c:v>36</c:v>
                </c:pt>
                <c:pt idx="28">
                  <c:v>41</c:v>
                </c:pt>
                <c:pt idx="29">
                  <c:v>28</c:v>
                </c:pt>
              </c:numCache>
            </c:numRef>
          </c:xVal>
          <c:yVal>
            <c:numRef>
              <c:f>'multiple regression (2)'!$Q$5:$Q$34</c:f>
              <c:numCache>
                <c:formatCode>General</c:formatCode>
                <c:ptCount val="30"/>
                <c:pt idx="0">
                  <c:v>65400</c:v>
                </c:pt>
                <c:pt idx="1">
                  <c:v>62000</c:v>
                </c:pt>
                <c:pt idx="2">
                  <c:v>0</c:v>
                </c:pt>
                <c:pt idx="3">
                  <c:v>52000</c:v>
                </c:pt>
                <c:pt idx="4">
                  <c:v>81400</c:v>
                </c:pt>
                <c:pt idx="5">
                  <c:v>0</c:v>
                </c:pt>
                <c:pt idx="6">
                  <c:v>49600</c:v>
                </c:pt>
                <c:pt idx="7">
                  <c:v>45900</c:v>
                </c:pt>
                <c:pt idx="8">
                  <c:v>47700</c:v>
                </c:pt>
                <c:pt idx="9">
                  <c:v>0</c:v>
                </c:pt>
                <c:pt idx="10">
                  <c:v>0</c:v>
                </c:pt>
                <c:pt idx="11">
                  <c:v>58100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61500</c:v>
                </c:pt>
                <c:pt idx="16">
                  <c:v>37700</c:v>
                </c:pt>
                <c:pt idx="17">
                  <c:v>0</c:v>
                </c:pt>
                <c:pt idx="18">
                  <c:v>0</c:v>
                </c:pt>
                <c:pt idx="19">
                  <c:v>59000</c:v>
                </c:pt>
                <c:pt idx="20">
                  <c:v>0</c:v>
                </c:pt>
                <c:pt idx="21">
                  <c:v>62100</c:v>
                </c:pt>
                <c:pt idx="22">
                  <c:v>78000</c:v>
                </c:pt>
                <c:pt idx="23">
                  <c:v>43200</c:v>
                </c:pt>
                <c:pt idx="24">
                  <c:v>44500</c:v>
                </c:pt>
                <c:pt idx="25">
                  <c:v>0</c:v>
                </c:pt>
                <c:pt idx="26">
                  <c:v>45400</c:v>
                </c:pt>
                <c:pt idx="27">
                  <c:v>53900</c:v>
                </c:pt>
                <c:pt idx="28">
                  <c:v>44100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3-4466-AD80-30A0A65CA4EE}"/>
            </c:ext>
          </c:extLst>
        </c:ser>
        <c:ser>
          <c:idx val="1"/>
          <c:order val="1"/>
          <c:tx>
            <c:strRef>
              <c:f>'multiple regression (2)'!$R$4</c:f>
              <c:strCache>
                <c:ptCount val="1"/>
                <c:pt idx="0">
                  <c:v>Female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'multiple regression (2)'!$A$4:$A$33</c:f>
              <c:numCache>
                <c:formatCode>General</c:formatCode>
                <c:ptCount val="30"/>
                <c:pt idx="0">
                  <c:v>58</c:v>
                </c:pt>
                <c:pt idx="1">
                  <c:v>48</c:v>
                </c:pt>
                <c:pt idx="2">
                  <c:v>58</c:v>
                </c:pt>
                <c:pt idx="3">
                  <c:v>56</c:v>
                </c:pt>
                <c:pt idx="4">
                  <c:v>68</c:v>
                </c:pt>
                <c:pt idx="5">
                  <c:v>60</c:v>
                </c:pt>
                <c:pt idx="6">
                  <c:v>28</c:v>
                </c:pt>
                <c:pt idx="7">
                  <c:v>48</c:v>
                </c:pt>
                <c:pt idx="8">
                  <c:v>53</c:v>
                </c:pt>
                <c:pt idx="9">
                  <c:v>61</c:v>
                </c:pt>
                <c:pt idx="10">
                  <c:v>36</c:v>
                </c:pt>
                <c:pt idx="11">
                  <c:v>55</c:v>
                </c:pt>
                <c:pt idx="12">
                  <c:v>48</c:v>
                </c:pt>
                <c:pt idx="13">
                  <c:v>51</c:v>
                </c:pt>
                <c:pt idx="14">
                  <c:v>39</c:v>
                </c:pt>
                <c:pt idx="15">
                  <c:v>45</c:v>
                </c:pt>
                <c:pt idx="16">
                  <c:v>43</c:v>
                </c:pt>
                <c:pt idx="17">
                  <c:v>36</c:v>
                </c:pt>
                <c:pt idx="18">
                  <c:v>49</c:v>
                </c:pt>
                <c:pt idx="19">
                  <c:v>53</c:v>
                </c:pt>
                <c:pt idx="20">
                  <c:v>61</c:v>
                </c:pt>
                <c:pt idx="21">
                  <c:v>62</c:v>
                </c:pt>
                <c:pt idx="22">
                  <c:v>59</c:v>
                </c:pt>
                <c:pt idx="23">
                  <c:v>44</c:v>
                </c:pt>
                <c:pt idx="24">
                  <c:v>53</c:v>
                </c:pt>
                <c:pt idx="25">
                  <c:v>55</c:v>
                </c:pt>
                <c:pt idx="26">
                  <c:v>66</c:v>
                </c:pt>
                <c:pt idx="27">
                  <c:v>36</c:v>
                </c:pt>
                <c:pt idx="28">
                  <c:v>41</c:v>
                </c:pt>
                <c:pt idx="29">
                  <c:v>28</c:v>
                </c:pt>
              </c:numCache>
            </c:numRef>
          </c:xVal>
          <c:yVal>
            <c:numRef>
              <c:f>'multiple regression (2)'!$R$5:$R$34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63200</c:v>
                </c:pt>
                <c:pt idx="3">
                  <c:v>0</c:v>
                </c:pt>
                <c:pt idx="4">
                  <c:v>0</c:v>
                </c:pt>
                <c:pt idx="5">
                  <c:v>46300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59900</c:v>
                </c:pt>
                <c:pt idx="10">
                  <c:v>48100</c:v>
                </c:pt>
                <c:pt idx="11">
                  <c:v>0</c:v>
                </c:pt>
                <c:pt idx="12">
                  <c:v>56000</c:v>
                </c:pt>
                <c:pt idx="13">
                  <c:v>53400</c:v>
                </c:pt>
                <c:pt idx="14">
                  <c:v>39000</c:v>
                </c:pt>
                <c:pt idx="15">
                  <c:v>0</c:v>
                </c:pt>
                <c:pt idx="16">
                  <c:v>0</c:v>
                </c:pt>
                <c:pt idx="17">
                  <c:v>36700</c:v>
                </c:pt>
                <c:pt idx="18">
                  <c:v>45200</c:v>
                </c:pt>
                <c:pt idx="19">
                  <c:v>0</c:v>
                </c:pt>
                <c:pt idx="20">
                  <c:v>54300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43300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63-4466-AD80-30A0A65CA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902400"/>
        <c:axId val="164917248"/>
      </c:scatterChart>
      <c:valAx>
        <c:axId val="164902400"/>
        <c:scaling>
          <c:orientation val="minMax"/>
          <c:max val="70"/>
          <c:min val="25"/>
        </c:scaling>
        <c:delete val="0"/>
        <c:axPos val="b"/>
        <c:title>
          <c:tx>
            <c:rich>
              <a:bodyPr/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(x)</a:t>
                </a:r>
              </a:p>
            </c:rich>
          </c:tx>
          <c:layout>
            <c:manualLayout>
              <c:xMode val="edge"/>
              <c:yMode val="edge"/>
              <c:x val="0.5012285012285016"/>
              <c:y val="0.889274809506942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64917248"/>
        <c:crosses val="autoZero"/>
        <c:crossBetween val="midCat"/>
        <c:majorUnit val="5"/>
      </c:valAx>
      <c:valAx>
        <c:axId val="164917248"/>
        <c:scaling>
          <c:orientation val="minMax"/>
          <c:max val="90000"/>
          <c:min val="3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salary (y)</a:t>
                </a:r>
              </a:p>
            </c:rich>
          </c:tx>
          <c:layout>
            <c:manualLayout>
              <c:xMode val="edge"/>
              <c:yMode val="edge"/>
              <c:x val="3.6855036855036855E-2"/>
              <c:y val="0.3391010725735408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649024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5552825552825581"/>
          <c:y val="0.13494846016220355"/>
          <c:w val="0.15479115479115527"/>
          <c:h val="0.1487892906120293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899999956" l="0.78740157499999996" r="0.78740157499999996" t="0.98425196899999956" header="0.49212598450000045" footer="0.49212598450000045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152400</xdr:rowOff>
    </xdr:from>
    <xdr:to>
      <xdr:col>0</xdr:col>
      <xdr:colOff>0</xdr:colOff>
      <xdr:row>19</xdr:row>
      <xdr:rowOff>0</xdr:rowOff>
    </xdr:to>
    <xdr:sp macro="" textlink="">
      <xdr:nvSpPr>
        <xdr:cNvPr id="2" name="Text 1"/>
        <xdr:cNvSpPr txBox="1">
          <a:spLocks noChangeArrowheads="1"/>
        </xdr:cNvSpPr>
      </xdr:nvSpPr>
      <xdr:spPr bwMode="auto">
        <a:xfrm flipV="1">
          <a:off x="0" y="2600325"/>
          <a:ext cx="0" cy="495300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Range names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Supplier1: A4:A14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Supplier2: B4:B14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19</xdr:row>
      <xdr:rowOff>142875</xdr:rowOff>
    </xdr:from>
    <xdr:to>
      <xdr:col>12</xdr:col>
      <xdr:colOff>152400</xdr:colOff>
      <xdr:row>36</xdr:row>
      <xdr:rowOff>123825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28</xdr:row>
      <xdr:rowOff>47625</xdr:rowOff>
    </xdr:from>
    <xdr:to>
      <xdr:col>8</xdr:col>
      <xdr:colOff>514350</xdr:colOff>
      <xdr:row>45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28</xdr:row>
      <xdr:rowOff>47625</xdr:rowOff>
    </xdr:from>
    <xdr:to>
      <xdr:col>8</xdr:col>
      <xdr:colOff>514350</xdr:colOff>
      <xdr:row>45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1</xdr:row>
      <xdr:rowOff>66675</xdr:rowOff>
    </xdr:from>
    <xdr:to>
      <xdr:col>8</xdr:col>
      <xdr:colOff>485775</xdr:colOff>
      <xdr:row>17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20</xdr:row>
      <xdr:rowOff>152400</xdr:rowOff>
    </xdr:from>
    <xdr:to>
      <xdr:col>10</xdr:col>
      <xdr:colOff>123825</xdr:colOff>
      <xdr:row>37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16</xdr:row>
      <xdr:rowOff>9525</xdr:rowOff>
    </xdr:from>
    <xdr:to>
      <xdr:col>13</xdr:col>
      <xdr:colOff>142875</xdr:colOff>
      <xdr:row>32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://www.peri.umass.edu/fileadmin/pdf/working_papers/working_papers_301-350/HAP-RR-GITD-code.zi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ColWidth="11.453125" defaultRowHeight="12.5" x14ac:dyDescent="0.25"/>
  <sheetData>
    <row r="1" spans="1:1" ht="13" x14ac:dyDescent="0.3">
      <c r="A1" s="1" t="s">
        <v>0</v>
      </c>
    </row>
    <row r="2" spans="1:1" ht="13" x14ac:dyDescent="0.3">
      <c r="A2" s="1" t="s">
        <v>1</v>
      </c>
    </row>
    <row r="3" spans="1:1" ht="13" x14ac:dyDescent="0.3">
      <c r="A3" s="1" t="s">
        <v>2</v>
      </c>
    </row>
    <row r="4" spans="1:1" ht="13" x14ac:dyDescent="0.3">
      <c r="A4" s="1" t="s">
        <v>3</v>
      </c>
    </row>
    <row r="5" spans="1:1" ht="13" x14ac:dyDescent="0.3">
      <c r="A5" s="1" t="s">
        <v>4</v>
      </c>
    </row>
    <row r="6" spans="1:1" ht="13" x14ac:dyDescent="0.3">
      <c r="A6" s="1" t="s">
        <v>5</v>
      </c>
    </row>
  </sheetData>
  <pageMargins left="0.78740157499999996" right="0.78740157499999996" top="0.984251969" bottom="0.984251969" header="0.4921259845" footer="0.492125984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52"/>
  <sheetViews>
    <sheetView workbookViewId="0"/>
  </sheetViews>
  <sheetFormatPr defaultColWidth="9.1796875" defaultRowHeight="12.5" x14ac:dyDescent="0.25"/>
  <cols>
    <col min="1" max="1" width="6.26953125" customWidth="1"/>
    <col min="2" max="2" width="9.7265625" style="3" customWidth="1"/>
    <col min="3" max="3" width="11.81640625" style="3" customWidth="1"/>
    <col min="4" max="4" width="8.7265625" style="3" customWidth="1"/>
    <col min="5" max="5" width="10.7265625" customWidth="1"/>
    <col min="6" max="6" width="7.7265625" customWidth="1"/>
    <col min="7" max="7" width="6.1796875" customWidth="1"/>
    <col min="8" max="8" width="20.81640625" customWidth="1"/>
    <col min="9" max="9" width="12.7265625" customWidth="1"/>
    <col min="10" max="10" width="5.7265625" customWidth="1"/>
    <col min="11" max="11" width="12.1796875" customWidth="1"/>
  </cols>
  <sheetData>
    <row r="1" spans="1:15" ht="13" x14ac:dyDescent="0.3">
      <c r="A1" s="2" t="s">
        <v>6</v>
      </c>
    </row>
    <row r="2" spans="1:15" ht="13" x14ac:dyDescent="0.3">
      <c r="H2" s="2" t="s">
        <v>7</v>
      </c>
    </row>
    <row r="3" spans="1:15" s="3" customFormat="1" ht="13" thickBot="1" x14ac:dyDescent="0.3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H3"/>
      <c r="I3"/>
      <c r="J3"/>
      <c r="K3"/>
      <c r="L3"/>
      <c r="M3" s="3" t="s">
        <v>14</v>
      </c>
    </row>
    <row r="4" spans="1:15" ht="13" x14ac:dyDescent="0.3">
      <c r="A4">
        <v>58</v>
      </c>
      <c r="B4" s="3" t="s">
        <v>15</v>
      </c>
      <c r="C4" s="3" t="s">
        <v>16</v>
      </c>
      <c r="D4" s="3">
        <v>1</v>
      </c>
      <c r="E4" s="4">
        <v>65400</v>
      </c>
      <c r="F4">
        <v>5</v>
      </c>
      <c r="H4" s="5" t="s">
        <v>12</v>
      </c>
      <c r="I4" s="5"/>
      <c r="J4" s="3"/>
      <c r="K4" s="3"/>
      <c r="L4" s="3"/>
      <c r="M4" s="6">
        <f t="shared" ref="M4:M33" si="0">ROUND(E4,-3)</f>
        <v>65000</v>
      </c>
    </row>
    <row r="5" spans="1:15" x14ac:dyDescent="0.25">
      <c r="A5">
        <v>48</v>
      </c>
      <c r="B5" s="3" t="s">
        <v>15</v>
      </c>
      <c r="C5" s="3" t="s">
        <v>17</v>
      </c>
      <c r="D5" s="3">
        <v>2</v>
      </c>
      <c r="E5" s="4">
        <v>62000</v>
      </c>
      <c r="F5">
        <v>1</v>
      </c>
      <c r="H5" s="7"/>
      <c r="I5" s="7"/>
      <c r="M5" s="6">
        <f t="shared" si="0"/>
        <v>62000</v>
      </c>
    </row>
    <row r="6" spans="1:15" x14ac:dyDescent="0.25">
      <c r="A6">
        <v>58</v>
      </c>
      <c r="B6" s="3" t="s">
        <v>18</v>
      </c>
      <c r="C6" s="3" t="s">
        <v>19</v>
      </c>
      <c r="D6" s="3">
        <v>0</v>
      </c>
      <c r="E6" s="4">
        <v>63200</v>
      </c>
      <c r="F6">
        <v>3</v>
      </c>
      <c r="H6" s="7" t="s">
        <v>20</v>
      </c>
      <c r="I6" s="8">
        <v>52263.333333333336</v>
      </c>
      <c r="K6" s="8">
        <f>AVERAGE($E$4:$E$33)</f>
        <v>52263.333333333336</v>
      </c>
      <c r="M6" s="6">
        <f t="shared" si="0"/>
        <v>63000</v>
      </c>
    </row>
    <row r="7" spans="1:15" x14ac:dyDescent="0.25">
      <c r="A7">
        <v>56</v>
      </c>
      <c r="B7" s="3" t="s">
        <v>15</v>
      </c>
      <c r="C7" s="3" t="s">
        <v>21</v>
      </c>
      <c r="D7" s="3">
        <v>2</v>
      </c>
      <c r="E7" s="4">
        <v>52000</v>
      </c>
      <c r="F7">
        <v>5</v>
      </c>
      <c r="H7" s="7" t="s">
        <v>22</v>
      </c>
      <c r="I7" s="8">
        <v>2098.2613674858362</v>
      </c>
      <c r="K7" s="8">
        <f>K10/SQRT(K18)</f>
        <v>2098.2613674858362</v>
      </c>
      <c r="M7" s="6">
        <f t="shared" si="0"/>
        <v>52000</v>
      </c>
    </row>
    <row r="8" spans="1:15" x14ac:dyDescent="0.25">
      <c r="A8">
        <v>68</v>
      </c>
      <c r="B8" s="3" t="s">
        <v>15</v>
      </c>
      <c r="C8" s="3" t="s">
        <v>23</v>
      </c>
      <c r="D8" s="3">
        <v>3</v>
      </c>
      <c r="E8" s="4">
        <v>81400</v>
      </c>
      <c r="F8">
        <v>1</v>
      </c>
      <c r="H8" s="7" t="s">
        <v>24</v>
      </c>
      <c r="I8" s="8">
        <v>50800</v>
      </c>
      <c r="K8" s="8">
        <f>MEDIAN($E$4:$E$33)</f>
        <v>50800</v>
      </c>
      <c r="M8" s="6">
        <f t="shared" si="0"/>
        <v>81000</v>
      </c>
    </row>
    <row r="9" spans="1:15" x14ac:dyDescent="0.25">
      <c r="A9">
        <v>60</v>
      </c>
      <c r="B9" s="3" t="s">
        <v>18</v>
      </c>
      <c r="C9" s="3" t="s">
        <v>25</v>
      </c>
      <c r="D9" s="3">
        <v>3</v>
      </c>
      <c r="E9" s="4">
        <v>46300</v>
      </c>
      <c r="F9">
        <v>5</v>
      </c>
      <c r="H9" s="7" t="s">
        <v>26</v>
      </c>
      <c r="I9" s="8">
        <f>O9</f>
        <v>62000</v>
      </c>
      <c r="K9" s="8" t="e">
        <f>MODE($E$4:$E$33)</f>
        <v>#N/A</v>
      </c>
      <c r="M9" s="6">
        <f t="shared" si="0"/>
        <v>46000</v>
      </c>
      <c r="N9" s="3" t="s">
        <v>27</v>
      </c>
      <c r="O9" s="9">
        <f>MODE(M4:M33)</f>
        <v>62000</v>
      </c>
    </row>
    <row r="10" spans="1:15" x14ac:dyDescent="0.25">
      <c r="A10">
        <v>28</v>
      </c>
      <c r="B10" s="3" t="s">
        <v>15</v>
      </c>
      <c r="C10" s="3" t="s">
        <v>16</v>
      </c>
      <c r="D10" s="3">
        <v>2</v>
      </c>
      <c r="E10" s="4">
        <v>49600</v>
      </c>
      <c r="F10">
        <v>1</v>
      </c>
      <c r="H10" s="7" t="s">
        <v>28</v>
      </c>
      <c r="I10" s="8">
        <v>11492.650825136294</v>
      </c>
      <c r="K10" s="8">
        <f>STDEV($E$4:$E$33)</f>
        <v>11492.650825136294</v>
      </c>
      <c r="M10" s="6">
        <f t="shared" si="0"/>
        <v>50000</v>
      </c>
    </row>
    <row r="11" spans="1:15" x14ac:dyDescent="0.25">
      <c r="A11">
        <v>48</v>
      </c>
      <c r="B11" s="3" t="s">
        <v>15</v>
      </c>
      <c r="C11" s="3" t="s">
        <v>25</v>
      </c>
      <c r="D11" s="3">
        <v>1</v>
      </c>
      <c r="E11" s="4">
        <v>45900</v>
      </c>
      <c r="F11">
        <v>5</v>
      </c>
      <c r="H11" s="7" t="s">
        <v>29</v>
      </c>
      <c r="I11" s="8">
        <v>132081022.98850593</v>
      </c>
      <c r="K11" s="8">
        <f>VAR($E$4:$E$33)</f>
        <v>132081022.98850593</v>
      </c>
      <c r="M11" s="6">
        <f t="shared" si="0"/>
        <v>46000</v>
      </c>
    </row>
    <row r="12" spans="1:15" x14ac:dyDescent="0.25">
      <c r="A12">
        <v>53</v>
      </c>
      <c r="B12" s="3" t="s">
        <v>15</v>
      </c>
      <c r="C12" s="3" t="s">
        <v>17</v>
      </c>
      <c r="D12" s="3">
        <v>3</v>
      </c>
      <c r="E12" s="4">
        <v>47700</v>
      </c>
      <c r="F12">
        <v>4</v>
      </c>
      <c r="H12" s="7" t="s">
        <v>30</v>
      </c>
      <c r="I12" s="10">
        <f>3+0.564599637512805</f>
        <v>3.5645996375128051</v>
      </c>
      <c r="K12" s="10">
        <f>KURT($E$4:$E$33)+3</f>
        <v>3.5645996375128046</v>
      </c>
      <c r="M12" s="6">
        <f t="shared" si="0"/>
        <v>48000</v>
      </c>
    </row>
    <row r="13" spans="1:15" x14ac:dyDescent="0.25">
      <c r="A13">
        <v>61</v>
      </c>
      <c r="B13" s="3" t="s">
        <v>18</v>
      </c>
      <c r="C13" s="3" t="s">
        <v>17</v>
      </c>
      <c r="D13" s="3">
        <v>1</v>
      </c>
      <c r="E13" s="4">
        <v>59900</v>
      </c>
      <c r="F13">
        <v>4</v>
      </c>
      <c r="H13" s="7" t="s">
        <v>31</v>
      </c>
      <c r="I13" s="10">
        <v>0.64312998878865568</v>
      </c>
      <c r="K13" s="10">
        <f>SKEW($E$4:$E$33)</f>
        <v>0.64312998878865568</v>
      </c>
      <c r="M13" s="6">
        <f t="shared" si="0"/>
        <v>60000</v>
      </c>
    </row>
    <row r="14" spans="1:15" x14ac:dyDescent="0.25">
      <c r="A14">
        <v>36</v>
      </c>
      <c r="B14" s="3" t="s">
        <v>18</v>
      </c>
      <c r="C14" s="3" t="s">
        <v>25</v>
      </c>
      <c r="D14" s="3">
        <v>1</v>
      </c>
      <c r="E14" s="4">
        <v>48100</v>
      </c>
      <c r="F14">
        <v>4</v>
      </c>
      <c r="H14" s="7" t="s">
        <v>32</v>
      </c>
      <c r="I14" s="8">
        <v>50400</v>
      </c>
      <c r="K14" s="8">
        <f>K16-K15</f>
        <v>50400</v>
      </c>
      <c r="M14" s="6">
        <f t="shared" si="0"/>
        <v>48000</v>
      </c>
    </row>
    <row r="15" spans="1:15" x14ac:dyDescent="0.25">
      <c r="A15">
        <v>55</v>
      </c>
      <c r="B15" s="3" t="s">
        <v>15</v>
      </c>
      <c r="C15" s="3" t="s">
        <v>33</v>
      </c>
      <c r="D15" s="3">
        <v>0</v>
      </c>
      <c r="E15" s="4">
        <v>58100</v>
      </c>
      <c r="F15">
        <v>3</v>
      </c>
      <c r="H15" s="7" t="s">
        <v>34</v>
      </c>
      <c r="I15" s="8">
        <v>31000</v>
      </c>
      <c r="K15" s="8">
        <f>MIN($E$4:$E$33)</f>
        <v>31000</v>
      </c>
      <c r="M15" s="6">
        <f t="shared" si="0"/>
        <v>58000</v>
      </c>
    </row>
    <row r="16" spans="1:15" x14ac:dyDescent="0.25">
      <c r="A16">
        <v>48</v>
      </c>
      <c r="B16" s="3" t="s">
        <v>18</v>
      </c>
      <c r="C16" s="3" t="s">
        <v>35</v>
      </c>
      <c r="D16" s="3">
        <v>2</v>
      </c>
      <c r="E16" s="4">
        <v>56000</v>
      </c>
      <c r="F16">
        <v>1</v>
      </c>
      <c r="H16" s="7" t="s">
        <v>36</v>
      </c>
      <c r="I16" s="8">
        <v>81400</v>
      </c>
      <c r="K16" s="8">
        <f>MAX($E$4:$E$33)</f>
        <v>81400</v>
      </c>
      <c r="M16" s="6">
        <f t="shared" si="0"/>
        <v>56000</v>
      </c>
    </row>
    <row r="17" spans="1:13" x14ac:dyDescent="0.25">
      <c r="A17">
        <v>51</v>
      </c>
      <c r="B17" s="3" t="s">
        <v>18</v>
      </c>
      <c r="C17" s="3" t="s">
        <v>33</v>
      </c>
      <c r="D17" s="3">
        <v>2</v>
      </c>
      <c r="E17" s="4">
        <v>53400</v>
      </c>
      <c r="F17">
        <v>1</v>
      </c>
      <c r="H17" s="7" t="s">
        <v>37</v>
      </c>
      <c r="I17" s="8">
        <v>1567900</v>
      </c>
      <c r="K17" s="8">
        <f>SUM($E$4:$E$33)</f>
        <v>1567900</v>
      </c>
      <c r="M17" s="6">
        <f t="shared" si="0"/>
        <v>53000</v>
      </c>
    </row>
    <row r="18" spans="1:13" ht="13" thickBot="1" x14ac:dyDescent="0.3">
      <c r="A18">
        <v>39</v>
      </c>
      <c r="B18" s="3" t="s">
        <v>18</v>
      </c>
      <c r="C18" s="3" t="s">
        <v>25</v>
      </c>
      <c r="D18" s="3">
        <v>2</v>
      </c>
      <c r="E18" s="4">
        <v>39000</v>
      </c>
      <c r="F18">
        <v>2</v>
      </c>
      <c r="H18" s="11" t="s">
        <v>38</v>
      </c>
      <c r="I18" s="12">
        <v>30</v>
      </c>
      <c r="K18" s="8">
        <f>COUNT($E$4:$E$33)</f>
        <v>30</v>
      </c>
      <c r="M18" s="6">
        <f t="shared" si="0"/>
        <v>39000</v>
      </c>
    </row>
    <row r="19" spans="1:13" x14ac:dyDescent="0.25">
      <c r="A19">
        <v>45</v>
      </c>
      <c r="B19" s="3" t="s">
        <v>15</v>
      </c>
      <c r="C19" s="3" t="s">
        <v>39</v>
      </c>
      <c r="D19" s="3">
        <v>1</v>
      </c>
      <c r="E19" s="4">
        <v>61500</v>
      </c>
      <c r="F19">
        <v>2</v>
      </c>
      <c r="M19" s="6">
        <f t="shared" si="0"/>
        <v>62000</v>
      </c>
    </row>
    <row r="20" spans="1:13" x14ac:dyDescent="0.25">
      <c r="A20">
        <v>43</v>
      </c>
      <c r="B20" s="3" t="s">
        <v>15</v>
      </c>
      <c r="C20" s="3" t="s">
        <v>19</v>
      </c>
      <c r="D20" s="3">
        <v>0</v>
      </c>
      <c r="E20" s="4">
        <v>37700</v>
      </c>
      <c r="F20">
        <v>1</v>
      </c>
      <c r="I20" s="13"/>
      <c r="M20" s="6">
        <f t="shared" si="0"/>
        <v>38000</v>
      </c>
    </row>
    <row r="21" spans="1:13" x14ac:dyDescent="0.25">
      <c r="A21">
        <v>36</v>
      </c>
      <c r="B21" s="3" t="s">
        <v>18</v>
      </c>
      <c r="C21" s="3" t="s">
        <v>39</v>
      </c>
      <c r="D21" s="3">
        <v>2</v>
      </c>
      <c r="E21" s="4">
        <v>36700</v>
      </c>
      <c r="F21">
        <v>4</v>
      </c>
      <c r="H21" s="3" t="s">
        <v>40</v>
      </c>
      <c r="I21" s="14">
        <f>I10/I6</f>
        <v>0.2198989251572733</v>
      </c>
      <c r="M21" s="6">
        <f t="shared" si="0"/>
        <v>37000</v>
      </c>
    </row>
    <row r="22" spans="1:13" x14ac:dyDescent="0.25">
      <c r="A22">
        <v>49</v>
      </c>
      <c r="B22" s="3" t="s">
        <v>18</v>
      </c>
      <c r="C22" s="3" t="s">
        <v>21</v>
      </c>
      <c r="D22" s="3">
        <v>2</v>
      </c>
      <c r="E22" s="4">
        <v>45200</v>
      </c>
      <c r="F22">
        <v>3</v>
      </c>
      <c r="I22" s="13"/>
      <c r="M22" s="6">
        <f t="shared" si="0"/>
        <v>45000</v>
      </c>
    </row>
    <row r="23" spans="1:13" x14ac:dyDescent="0.25">
      <c r="A23">
        <v>53</v>
      </c>
      <c r="B23" s="3" t="s">
        <v>15</v>
      </c>
      <c r="C23" s="3" t="s">
        <v>39</v>
      </c>
      <c r="D23" s="3">
        <v>0</v>
      </c>
      <c r="E23" s="4">
        <v>59000</v>
      </c>
      <c r="F23">
        <v>4</v>
      </c>
      <c r="H23" s="15" t="s">
        <v>41</v>
      </c>
      <c r="I23" s="16">
        <v>0.25</v>
      </c>
      <c r="K23" s="16">
        <v>0.75</v>
      </c>
      <c r="M23" s="6">
        <f t="shared" si="0"/>
        <v>59000</v>
      </c>
    </row>
    <row r="24" spans="1:13" x14ac:dyDescent="0.25">
      <c r="A24">
        <v>61</v>
      </c>
      <c r="B24" s="3" t="s">
        <v>18</v>
      </c>
      <c r="C24" s="3" t="s">
        <v>16</v>
      </c>
      <c r="D24" s="3">
        <v>2</v>
      </c>
      <c r="E24" s="4">
        <v>54300</v>
      </c>
      <c r="F24">
        <v>2</v>
      </c>
      <c r="H24" s="3" t="s">
        <v>42</v>
      </c>
      <c r="I24" s="8">
        <f>PERCENTILE($E$4:$E$33,I23)</f>
        <v>44675</v>
      </c>
      <c r="K24" s="8">
        <f>PERCENTILE($E$4:$E$33,K23)</f>
        <v>59675</v>
      </c>
      <c r="M24" s="6">
        <f t="shared" si="0"/>
        <v>54000</v>
      </c>
    </row>
    <row r="25" spans="1:13" x14ac:dyDescent="0.25">
      <c r="A25">
        <v>62</v>
      </c>
      <c r="B25" s="3" t="s">
        <v>15</v>
      </c>
      <c r="C25" s="3" t="s">
        <v>25</v>
      </c>
      <c r="D25" s="3">
        <v>1</v>
      </c>
      <c r="E25" s="4">
        <v>62100</v>
      </c>
      <c r="F25">
        <v>4</v>
      </c>
      <c r="H25" s="3" t="s">
        <v>43</v>
      </c>
      <c r="I25" s="8">
        <f>NORMINV(I23,$I$6,$I$10)</f>
        <v>44511.658149196359</v>
      </c>
      <c r="K25" s="8">
        <f>NORMINV(K23,$I$6,$I$10)</f>
        <v>60015.008517470313</v>
      </c>
      <c r="M25" s="6">
        <f t="shared" si="0"/>
        <v>62000</v>
      </c>
    </row>
    <row r="26" spans="1:13" x14ac:dyDescent="0.25">
      <c r="A26">
        <v>59</v>
      </c>
      <c r="B26" s="3" t="s">
        <v>15</v>
      </c>
      <c r="C26" s="3" t="s">
        <v>25</v>
      </c>
      <c r="D26" s="3">
        <v>0</v>
      </c>
      <c r="E26" s="4">
        <v>78000</v>
      </c>
      <c r="F26">
        <v>3</v>
      </c>
      <c r="I26" s="8"/>
      <c r="M26" s="6">
        <f t="shared" si="0"/>
        <v>78000</v>
      </c>
    </row>
    <row r="27" spans="1:13" x14ac:dyDescent="0.25">
      <c r="A27">
        <v>44</v>
      </c>
      <c r="B27" s="3" t="s">
        <v>15</v>
      </c>
      <c r="C27" s="3" t="s">
        <v>44</v>
      </c>
      <c r="D27" s="3">
        <v>0</v>
      </c>
      <c r="E27" s="4">
        <v>43200</v>
      </c>
      <c r="F27">
        <v>5</v>
      </c>
      <c r="I27" s="8"/>
      <c r="M27" s="6">
        <f t="shared" si="0"/>
        <v>43000</v>
      </c>
    </row>
    <row r="28" spans="1:13" x14ac:dyDescent="0.25">
      <c r="A28">
        <v>53</v>
      </c>
      <c r="B28" s="3" t="s">
        <v>15</v>
      </c>
      <c r="C28" s="3" t="s">
        <v>44</v>
      </c>
      <c r="D28" s="3">
        <v>1</v>
      </c>
      <c r="E28" s="4">
        <v>44500</v>
      </c>
      <c r="F28">
        <v>3</v>
      </c>
      <c r="I28" s="8"/>
      <c r="M28" s="6">
        <f t="shared" si="0"/>
        <v>45000</v>
      </c>
    </row>
    <row r="29" spans="1:13" x14ac:dyDescent="0.25">
      <c r="A29">
        <v>55</v>
      </c>
      <c r="B29" s="3" t="s">
        <v>18</v>
      </c>
      <c r="C29" s="3" t="s">
        <v>19</v>
      </c>
      <c r="D29" s="3">
        <v>1</v>
      </c>
      <c r="E29" s="4">
        <v>43300</v>
      </c>
      <c r="F29">
        <v>1</v>
      </c>
      <c r="I29" s="8"/>
      <c r="M29" s="6">
        <f t="shared" si="0"/>
        <v>43000</v>
      </c>
    </row>
    <row r="30" spans="1:13" x14ac:dyDescent="0.25">
      <c r="A30">
        <v>66</v>
      </c>
      <c r="B30" s="3" t="s">
        <v>15</v>
      </c>
      <c r="C30" s="3" t="s">
        <v>35</v>
      </c>
      <c r="D30" s="3">
        <v>3</v>
      </c>
      <c r="E30" s="4">
        <v>45400</v>
      </c>
      <c r="F30">
        <v>2</v>
      </c>
      <c r="I30" s="8"/>
      <c r="M30" s="6">
        <f t="shared" si="0"/>
        <v>45000</v>
      </c>
    </row>
    <row r="31" spans="1:13" x14ac:dyDescent="0.25">
      <c r="A31">
        <v>36</v>
      </c>
      <c r="B31" s="3" t="s">
        <v>15</v>
      </c>
      <c r="C31" s="3" t="s">
        <v>39</v>
      </c>
      <c r="D31" s="3">
        <v>2</v>
      </c>
      <c r="E31" s="4">
        <v>53900</v>
      </c>
      <c r="F31">
        <v>1</v>
      </c>
      <c r="I31" s="8"/>
      <c r="M31" s="6">
        <f t="shared" si="0"/>
        <v>54000</v>
      </c>
    </row>
    <row r="32" spans="1:13" x14ac:dyDescent="0.25">
      <c r="A32">
        <v>41</v>
      </c>
      <c r="B32" s="3" t="s">
        <v>15</v>
      </c>
      <c r="C32" s="3" t="s">
        <v>23</v>
      </c>
      <c r="D32" s="3">
        <v>1</v>
      </c>
      <c r="E32" s="4">
        <v>44100</v>
      </c>
      <c r="F32">
        <v>3</v>
      </c>
      <c r="I32" s="8"/>
      <c r="M32" s="6">
        <f t="shared" si="0"/>
        <v>44000</v>
      </c>
    </row>
    <row r="33" spans="1:13" x14ac:dyDescent="0.25">
      <c r="A33">
        <v>28</v>
      </c>
      <c r="B33" s="3" t="s">
        <v>18</v>
      </c>
      <c r="C33" s="3" t="s">
        <v>25</v>
      </c>
      <c r="D33" s="3">
        <v>2</v>
      </c>
      <c r="E33" s="4">
        <v>31000</v>
      </c>
      <c r="F33">
        <v>4</v>
      </c>
      <c r="I33" s="8"/>
      <c r="M33" s="6">
        <f t="shared" si="0"/>
        <v>31000</v>
      </c>
    </row>
    <row r="34" spans="1:13" x14ac:dyDescent="0.25">
      <c r="I34" s="8"/>
    </row>
    <row r="35" spans="1:13" ht="13" x14ac:dyDescent="0.3">
      <c r="A35" s="2" t="s">
        <v>45</v>
      </c>
      <c r="I35" s="8"/>
      <c r="M35" s="17"/>
    </row>
    <row r="36" spans="1:13" x14ac:dyDescent="0.25">
      <c r="B36" s="3" t="s">
        <v>15</v>
      </c>
      <c r="E36">
        <f>COUNTIF($B$4:$B$33,B36)</f>
        <v>18</v>
      </c>
      <c r="F36" s="144" t="s">
        <v>46</v>
      </c>
      <c r="G36" s="144"/>
      <c r="I36" s="8"/>
    </row>
    <row r="37" spans="1:13" x14ac:dyDescent="0.25">
      <c r="B37" s="3" t="s">
        <v>18</v>
      </c>
      <c r="E37">
        <f>COUNTIF($B$4:$B$33,B37)</f>
        <v>12</v>
      </c>
      <c r="F37" s="144"/>
      <c r="G37" s="144"/>
    </row>
    <row r="38" spans="1:13" x14ac:dyDescent="0.25">
      <c r="F38" s="18"/>
    </row>
    <row r="39" spans="1:13" x14ac:dyDescent="0.25">
      <c r="B39" s="3" t="s">
        <v>15</v>
      </c>
      <c r="E39">
        <f>SUMIF(B4:B33,B39,E4:E33)/E36</f>
        <v>55083.333333333336</v>
      </c>
      <c r="F39" s="18" t="s">
        <v>47</v>
      </c>
    </row>
    <row r="40" spans="1:13" x14ac:dyDescent="0.25">
      <c r="B40" s="3" t="s">
        <v>18</v>
      </c>
      <c r="E40">
        <f>SUMIF(B5:B33,B40,E5:E33)/E37</f>
        <v>48033.333333333336</v>
      </c>
      <c r="F40" s="18" t="s">
        <v>48</v>
      </c>
    </row>
    <row r="41" spans="1:13" x14ac:dyDescent="0.25">
      <c r="F41" s="18"/>
    </row>
    <row r="42" spans="1:13" x14ac:dyDescent="0.25">
      <c r="B42" s="3" t="s">
        <v>15</v>
      </c>
      <c r="E42">
        <f t="array" ref="E42">SUM(($E$4:$E$33)*($B$4:$B$33=B42))/E36</f>
        <v>55083.333333333336</v>
      </c>
      <c r="F42" s="18" t="s">
        <v>47</v>
      </c>
    </row>
    <row r="43" spans="1:13" x14ac:dyDescent="0.25">
      <c r="B43" s="3" t="s">
        <v>18</v>
      </c>
      <c r="E43">
        <f t="array" ref="E43">SUM(($E$4:$E$33)*($B$4:$B$33=B43))/E37</f>
        <v>48033.333333333336</v>
      </c>
      <c r="F43" s="18" t="s">
        <v>49</v>
      </c>
    </row>
    <row r="44" spans="1:13" x14ac:dyDescent="0.25">
      <c r="F44" s="18"/>
    </row>
    <row r="45" spans="1:13" x14ac:dyDescent="0.25">
      <c r="B45" s="3" t="s">
        <v>15</v>
      </c>
      <c r="E45">
        <f t="array" ref="E45">SQRT(SUMSQ(($E$4:$E$33-$E$42)*($B$4:$B$33=B45))/(E36-1))</f>
        <v>11971.74369333154</v>
      </c>
      <c r="F45" s="18" t="s">
        <v>50</v>
      </c>
    </row>
    <row r="46" spans="1:13" x14ac:dyDescent="0.25">
      <c r="B46" s="3" t="s">
        <v>18</v>
      </c>
      <c r="E46">
        <f t="array" ref="E46">SQRT(SUMSQ(($E$4:$E$33-$E$42)*($B$4:$B$33=B46))/(E37-1))</f>
        <v>12182.090679901105</v>
      </c>
      <c r="F46" s="18" t="s">
        <v>51</v>
      </c>
    </row>
    <row r="47" spans="1:13" x14ac:dyDescent="0.25">
      <c r="F47" s="18"/>
    </row>
    <row r="48" spans="1:13" x14ac:dyDescent="0.25">
      <c r="B48" s="3" t="s">
        <v>15</v>
      </c>
      <c r="E48">
        <f t="array" ref="E48">SQRT(SUM(($E$4:$E$33-$E$42)^2*($B$4:$B$33=B48))/(E36-1))</f>
        <v>11971.74369333154</v>
      </c>
      <c r="F48" s="18" t="s">
        <v>52</v>
      </c>
    </row>
    <row r="49" spans="2:6" x14ac:dyDescent="0.25">
      <c r="B49" s="3" t="s">
        <v>18</v>
      </c>
      <c r="E49">
        <f t="array" ref="E49">SQRT(SUM(($E$4:$E$33-$E$42)^2*($B$4:$B$33=B49))/(E37-1))</f>
        <v>12182.090679901105</v>
      </c>
      <c r="F49" s="18" t="s">
        <v>49</v>
      </c>
    </row>
    <row r="51" spans="2:6" x14ac:dyDescent="0.25">
      <c r="B51" s="3" t="s">
        <v>15</v>
      </c>
      <c r="E51">
        <f t="array" ref="E51">(SUM(($E$4:$E$33-$E$42)^3*($B$4:$B$33=B51))/(E36-1))/E48^3</f>
        <v>0.70846788718214171</v>
      </c>
      <c r="F51" s="18" t="s">
        <v>53</v>
      </c>
    </row>
    <row r="52" spans="2:6" x14ac:dyDescent="0.25">
      <c r="B52" s="3" t="s">
        <v>18</v>
      </c>
      <c r="E52">
        <f t="array" ref="E52">(SUM(($E$4:$E$33-$E$42)^3*($B$4:$B$33=B52))/(E37-1))/E49^3</f>
        <v>-1.3737505988744745</v>
      </c>
      <c r="F52" s="18" t="s">
        <v>49</v>
      </c>
    </row>
  </sheetData>
  <mergeCells count="1">
    <mergeCell ref="F36:G37"/>
  </mergeCells>
  <printOptions headings="1" gridLines="1"/>
  <pageMargins left="0.78740157480314965" right="0.78740157480314965" top="0.98425196850393704" bottom="0.98425196850393704" header="0.51181102362204722" footer="0.51181102362204722"/>
  <pageSetup scale="57"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defaultColWidth="11.453125" defaultRowHeight="12.5" x14ac:dyDescent="0.25"/>
  <sheetData>
    <row r="1" spans="1:4" ht="13" x14ac:dyDescent="0.3">
      <c r="A1" s="19" t="s">
        <v>54</v>
      </c>
      <c r="C1" s="20"/>
    </row>
    <row r="2" spans="1:4" ht="15.5" x14ac:dyDescent="0.4">
      <c r="A2" t="s">
        <v>55</v>
      </c>
      <c r="C2">
        <v>100</v>
      </c>
    </row>
    <row r="3" spans="1:4" ht="15.5" x14ac:dyDescent="0.4">
      <c r="A3" t="s">
        <v>56</v>
      </c>
      <c r="C3">
        <v>105</v>
      </c>
    </row>
    <row r="4" spans="1:4" x14ac:dyDescent="0.25">
      <c r="A4" s="18" t="s">
        <v>57</v>
      </c>
      <c r="C4">
        <f>C3/C2-1</f>
        <v>5.0000000000000044E-2</v>
      </c>
    </row>
    <row r="5" spans="1:4" x14ac:dyDescent="0.25">
      <c r="B5" s="3"/>
    </row>
    <row r="6" spans="1:4" ht="13" x14ac:dyDescent="0.3">
      <c r="A6" s="2" t="s">
        <v>58</v>
      </c>
    </row>
    <row r="7" spans="1:4" x14ac:dyDescent="0.25">
      <c r="B7" s="3" t="s">
        <v>59</v>
      </c>
      <c r="C7" s="3" t="s">
        <v>60</v>
      </c>
      <c r="D7" t="s">
        <v>61</v>
      </c>
    </row>
    <row r="8" spans="1:4" x14ac:dyDescent="0.25">
      <c r="B8">
        <v>2</v>
      </c>
      <c r="C8" s="20">
        <f t="shared" ref="C8:C13" si="0">B8*(($C$3/$C$2)^(1/B8)-1)</f>
        <v>4.9390153191919861E-2</v>
      </c>
      <c r="D8">
        <f t="shared" ref="D8:D13" si="1">$C$2*(1+C8/B8)^B8</f>
        <v>105.00000000000003</v>
      </c>
    </row>
    <row r="9" spans="1:4" x14ac:dyDescent="0.25">
      <c r="A9" s="3"/>
      <c r="B9">
        <v>3</v>
      </c>
      <c r="C9">
        <f t="shared" si="0"/>
        <v>4.9189070444560556E-2</v>
      </c>
      <c r="D9">
        <f t="shared" si="1"/>
        <v>105.00000000000004</v>
      </c>
    </row>
    <row r="10" spans="1:4" x14ac:dyDescent="0.25">
      <c r="A10" s="3"/>
      <c r="B10">
        <v>6</v>
      </c>
      <c r="C10">
        <f t="shared" si="0"/>
        <v>4.8989076311406254E-2</v>
      </c>
      <c r="D10">
        <f t="shared" si="1"/>
        <v>104.99999999999996</v>
      </c>
    </row>
    <row r="11" spans="1:4" x14ac:dyDescent="0.25">
      <c r="A11" s="3"/>
      <c r="B11">
        <v>12</v>
      </c>
      <c r="C11">
        <f t="shared" si="0"/>
        <v>4.8889485403780242E-2</v>
      </c>
      <c r="D11">
        <f t="shared" si="1"/>
        <v>105.00000000000011</v>
      </c>
    </row>
    <row r="12" spans="1:4" x14ac:dyDescent="0.25">
      <c r="A12" s="3"/>
      <c r="B12">
        <v>100</v>
      </c>
      <c r="C12">
        <f t="shared" si="0"/>
        <v>4.8802068505993113E-2</v>
      </c>
      <c r="D12">
        <f t="shared" si="1"/>
        <v>104.99999999999916</v>
      </c>
    </row>
    <row r="13" spans="1:4" x14ac:dyDescent="0.25">
      <c r="A13" s="3"/>
      <c r="B13">
        <v>1000</v>
      </c>
      <c r="C13">
        <f t="shared" si="0"/>
        <v>4.8791354428923128E-2</v>
      </c>
      <c r="D13">
        <f t="shared" si="1"/>
        <v>104.99999999999987</v>
      </c>
    </row>
    <row r="14" spans="1:4" x14ac:dyDescent="0.25">
      <c r="A14" s="3"/>
      <c r="B14" s="3" t="s">
        <v>62</v>
      </c>
      <c r="C14" s="3" t="s">
        <v>62</v>
      </c>
    </row>
    <row r="15" spans="1:4" x14ac:dyDescent="0.25">
      <c r="B15" s="3" t="s">
        <v>63</v>
      </c>
      <c r="C15" s="21">
        <f>LN(C3/C2)</f>
        <v>4.8790164169432049E-2</v>
      </c>
      <c r="D15">
        <f>C2*EXP(C15)</f>
        <v>105</v>
      </c>
    </row>
    <row r="16" spans="1:4" x14ac:dyDescent="0.25">
      <c r="A16" s="18"/>
      <c r="C16" s="20"/>
    </row>
    <row r="17" spans="1:10" ht="13" x14ac:dyDescent="0.3">
      <c r="A17" s="19" t="s">
        <v>64</v>
      </c>
      <c r="C17" s="20"/>
    </row>
    <row r="18" spans="1:10" x14ac:dyDescent="0.25">
      <c r="A18" t="s">
        <v>65</v>
      </c>
      <c r="B18" s="3" t="s">
        <v>66</v>
      </c>
      <c r="C18" s="3" t="s">
        <v>67</v>
      </c>
      <c r="D18" s="3" t="s">
        <v>68</v>
      </c>
      <c r="E18" s="3" t="s">
        <v>69</v>
      </c>
      <c r="F18" s="3" t="s">
        <v>70</v>
      </c>
      <c r="G18" s="3"/>
    </row>
    <row r="19" spans="1:10" x14ac:dyDescent="0.25">
      <c r="A19" t="s">
        <v>71</v>
      </c>
      <c r="B19">
        <v>500</v>
      </c>
      <c r="C19">
        <v>50</v>
      </c>
      <c r="D19">
        <f>B19+C19</f>
        <v>550</v>
      </c>
      <c r="E19">
        <f>B19/$D19</f>
        <v>0.90909090909090906</v>
      </c>
      <c r="F19">
        <f>C19/$D19</f>
        <v>9.0909090909090912E-2</v>
      </c>
    </row>
    <row r="20" spans="1:10" x14ac:dyDescent="0.25">
      <c r="A20" t="s">
        <v>72</v>
      </c>
      <c r="B20">
        <v>510</v>
      </c>
      <c r="C20">
        <v>55</v>
      </c>
      <c r="D20">
        <f>B20+C20</f>
        <v>565</v>
      </c>
      <c r="E20">
        <f>B20/$D20</f>
        <v>0.90265486725663713</v>
      </c>
      <c r="F20">
        <f>C20/$D20</f>
        <v>9.7345132743362831E-2</v>
      </c>
    </row>
    <row r="22" spans="1:10" ht="25" x14ac:dyDescent="0.25">
      <c r="B22" s="3" t="s">
        <v>73</v>
      </c>
      <c r="C22" s="3" t="s">
        <v>74</v>
      </c>
      <c r="D22" s="3" t="s">
        <v>75</v>
      </c>
      <c r="E22" s="22" t="s">
        <v>76</v>
      </c>
    </row>
    <row r="23" spans="1:10" x14ac:dyDescent="0.25">
      <c r="A23" t="s">
        <v>77</v>
      </c>
      <c r="B23">
        <f>LN(B20/B19)</f>
        <v>1.980262729617973E-2</v>
      </c>
      <c r="C23">
        <f>LN(C20/C19)</f>
        <v>9.5310179804324935E-2</v>
      </c>
      <c r="D23">
        <f>LN(D20/D19)</f>
        <v>2.6907452919924402E-2</v>
      </c>
      <c r="E23">
        <f>B23*E$19+C23*F$19</f>
        <v>2.6666950251465659E-2</v>
      </c>
      <c r="F23" s="23" t="s">
        <v>78</v>
      </c>
    </row>
    <row r="24" spans="1:10" x14ac:dyDescent="0.25">
      <c r="A24" t="s">
        <v>79</v>
      </c>
      <c r="B24">
        <f>B20/B19-1</f>
        <v>2.0000000000000018E-2</v>
      </c>
      <c r="C24">
        <f>C20/C19-1</f>
        <v>0.10000000000000009</v>
      </c>
      <c r="D24">
        <f>D20/D19-1</f>
        <v>2.7272727272727337E-2</v>
      </c>
      <c r="E24">
        <f>B24*E$19+C24*F$19</f>
        <v>2.7272727272727296E-2</v>
      </c>
      <c r="F24" s="23" t="s">
        <v>80</v>
      </c>
    </row>
    <row r="25" spans="1:10" x14ac:dyDescent="0.25">
      <c r="F25" s="23"/>
    </row>
    <row r="26" spans="1:10" ht="13" x14ac:dyDescent="0.3">
      <c r="A26" s="2" t="s">
        <v>81</v>
      </c>
      <c r="H26" s="3" t="s">
        <v>82</v>
      </c>
      <c r="I26" s="3" t="s">
        <v>83</v>
      </c>
      <c r="J26" s="3" t="s">
        <v>84</v>
      </c>
    </row>
    <row r="27" spans="1:10" ht="15.5" x14ac:dyDescent="0.4">
      <c r="A27" s="3" t="s">
        <v>85</v>
      </c>
      <c r="B27" s="3" t="s">
        <v>86</v>
      </c>
      <c r="C27" s="3" t="s">
        <v>87</v>
      </c>
      <c r="D27" s="3" t="s">
        <v>88</v>
      </c>
      <c r="E27" s="3" t="s">
        <v>89</v>
      </c>
      <c r="F27" s="3" t="s">
        <v>90</v>
      </c>
      <c r="H27">
        <v>4</v>
      </c>
      <c r="I27">
        <v>21</v>
      </c>
      <c r="J27">
        <f>21*24</f>
        <v>504</v>
      </c>
    </row>
    <row r="28" spans="1:10" x14ac:dyDescent="0.25">
      <c r="A28">
        <v>1994.12</v>
      </c>
      <c r="B28" s="14">
        <v>2106.58</v>
      </c>
      <c r="C28" s="20">
        <f t="shared" ref="C28:C40" si="2">LN(B28)</f>
        <v>7.6528210583860456</v>
      </c>
      <c r="D28" t="s">
        <v>91</v>
      </c>
      <c r="E28" t="s">
        <v>91</v>
      </c>
      <c r="F28" t="s">
        <v>91</v>
      </c>
    </row>
    <row r="29" spans="1:10" x14ac:dyDescent="0.25">
      <c r="A29">
        <v>1995.01</v>
      </c>
      <c r="B29" s="14">
        <v>2021.27</v>
      </c>
      <c r="C29" s="20">
        <f t="shared" si="2"/>
        <v>7.6114813057094004</v>
      </c>
      <c r="D29" s="14">
        <f t="shared" ref="D29:E40" si="3">B29-B28</f>
        <v>-85.309999999999945</v>
      </c>
      <c r="E29" s="24">
        <f t="shared" si="3"/>
        <v>-4.1339752676645247E-2</v>
      </c>
      <c r="F29" s="24">
        <f t="shared" ref="F29:F40" si="4">D29/B28</f>
        <v>-4.0496919177054724E-2</v>
      </c>
      <c r="H29" s="24">
        <f t="shared" ref="H29:J40" si="5">H$27*(($B29/$B28)^(1/H$27)-1)</f>
        <v>-4.1126864808239461E-2</v>
      </c>
      <c r="I29" s="24">
        <f t="shared" si="5"/>
        <v>-4.1299089479107431E-2</v>
      </c>
      <c r="J29" s="24">
        <f t="shared" si="5"/>
        <v>-4.1338057311165244E-2</v>
      </c>
    </row>
    <row r="30" spans="1:10" x14ac:dyDescent="0.25">
      <c r="A30">
        <v>1995.02</v>
      </c>
      <c r="B30" s="14">
        <v>2102.1799999999998</v>
      </c>
      <c r="C30" s="20">
        <f t="shared" si="2"/>
        <v>7.6507301805013563</v>
      </c>
      <c r="D30" s="14">
        <f t="shared" si="3"/>
        <v>80.909999999999854</v>
      </c>
      <c r="E30" s="24">
        <f t="shared" si="3"/>
        <v>3.9248874791955934E-2</v>
      </c>
      <c r="F30" s="24">
        <f t="shared" si="4"/>
        <v>4.0029288516625613E-2</v>
      </c>
      <c r="H30" s="24">
        <f t="shared" si="5"/>
        <v>3.9442065422736761E-2</v>
      </c>
      <c r="I30" s="24">
        <f t="shared" si="5"/>
        <v>3.9285575609415702E-2</v>
      </c>
      <c r="J30" s="24">
        <f t="shared" si="5"/>
        <v>3.9250403079838847E-2</v>
      </c>
    </row>
    <row r="31" spans="1:10" x14ac:dyDescent="0.25">
      <c r="A31">
        <v>1995.03</v>
      </c>
      <c r="B31" s="14">
        <v>1922.59</v>
      </c>
      <c r="C31" s="20">
        <f t="shared" si="2"/>
        <v>7.5614285143282691</v>
      </c>
      <c r="D31" s="14">
        <f t="shared" si="3"/>
        <v>-179.58999999999992</v>
      </c>
      <c r="E31" s="24">
        <f t="shared" si="3"/>
        <v>-8.9301666173087213E-2</v>
      </c>
      <c r="F31" s="24">
        <f t="shared" si="4"/>
        <v>-8.5430362766271167E-2</v>
      </c>
      <c r="H31" s="24">
        <f t="shared" si="5"/>
        <v>-8.8312194857437909E-2</v>
      </c>
      <c r="I31" s="24">
        <f t="shared" si="5"/>
        <v>-8.9112059138972244E-2</v>
      </c>
      <c r="J31" s="24">
        <f t="shared" si="5"/>
        <v>-8.9293755144728593E-2</v>
      </c>
    </row>
    <row r="32" spans="1:10" x14ac:dyDescent="0.25">
      <c r="A32">
        <v>1995.04</v>
      </c>
      <c r="B32" s="14">
        <v>2015.94</v>
      </c>
      <c r="C32" s="20">
        <f t="shared" si="2"/>
        <v>7.6088408668436029</v>
      </c>
      <c r="D32" s="14">
        <f t="shared" si="3"/>
        <v>93.350000000000136</v>
      </c>
      <c r="E32" s="24">
        <f t="shared" si="3"/>
        <v>4.7412352515333822E-2</v>
      </c>
      <c r="F32" s="24">
        <f t="shared" si="4"/>
        <v>4.855429394722751E-2</v>
      </c>
      <c r="H32" s="24">
        <f t="shared" si="5"/>
        <v>4.7694457414629632E-2</v>
      </c>
      <c r="I32" s="24">
        <f t="shared" si="5"/>
        <v>4.7465914988373603E-2</v>
      </c>
      <c r="J32" s="24">
        <f t="shared" si="5"/>
        <v>4.7414582675729733E-2</v>
      </c>
    </row>
    <row r="33" spans="1:10" x14ac:dyDescent="0.25">
      <c r="A33">
        <v>1995.05</v>
      </c>
      <c r="B33" s="14">
        <v>2092.17</v>
      </c>
      <c r="C33" s="20">
        <f t="shared" si="2"/>
        <v>7.6459570838335269</v>
      </c>
      <c r="D33" s="14">
        <f t="shared" si="3"/>
        <v>76.230000000000018</v>
      </c>
      <c r="E33" s="24">
        <f t="shared" si="3"/>
        <v>3.7116216989923956E-2</v>
      </c>
      <c r="F33" s="24">
        <f t="shared" si="4"/>
        <v>3.7813625405518032E-2</v>
      </c>
      <c r="H33" s="24">
        <f t="shared" si="5"/>
        <v>3.7288952546193244E-2</v>
      </c>
      <c r="I33" s="24">
        <f t="shared" si="5"/>
        <v>3.7149036645597988E-2</v>
      </c>
      <c r="J33" s="24">
        <f t="shared" si="5"/>
        <v>3.7117583703624391E-2</v>
      </c>
    </row>
    <row r="34" spans="1:10" x14ac:dyDescent="0.25">
      <c r="A34">
        <v>1995.06</v>
      </c>
      <c r="B34" s="14">
        <v>2083.9299999999998</v>
      </c>
      <c r="C34" s="20">
        <f t="shared" si="2"/>
        <v>7.642010813057686</v>
      </c>
      <c r="D34" s="14">
        <f t="shared" si="3"/>
        <v>-8.2400000000002365</v>
      </c>
      <c r="E34" s="24">
        <f t="shared" si="3"/>
        <v>-3.9462707758408655E-3</v>
      </c>
      <c r="F34" s="24">
        <f t="shared" si="4"/>
        <v>-3.9384944818060845E-3</v>
      </c>
      <c r="H34" s="24">
        <f t="shared" si="5"/>
        <v>-3.9443247842143592E-3</v>
      </c>
      <c r="I34" s="24">
        <f t="shared" si="5"/>
        <v>-3.9459000120890542E-3</v>
      </c>
      <c r="J34" s="24">
        <f t="shared" si="5"/>
        <v>-3.9462553264506539E-3</v>
      </c>
    </row>
    <row r="35" spans="1:10" x14ac:dyDescent="0.25">
      <c r="A35">
        <v>1995.07</v>
      </c>
      <c r="B35" s="14">
        <v>2218.7399999999998</v>
      </c>
      <c r="C35" s="20">
        <f t="shared" si="2"/>
        <v>7.7046947461713158</v>
      </c>
      <c r="D35" s="14">
        <f t="shared" si="3"/>
        <v>134.80999999999995</v>
      </c>
      <c r="E35" s="24">
        <f t="shared" si="3"/>
        <v>6.2683933113629742E-2</v>
      </c>
      <c r="F35" s="24">
        <f t="shared" si="4"/>
        <v>6.4690272705897015E-2</v>
      </c>
      <c r="H35" s="24">
        <f t="shared" si="5"/>
        <v>6.3177668281030996E-2</v>
      </c>
      <c r="I35" s="24">
        <f t="shared" si="5"/>
        <v>6.2777580445828596E-2</v>
      </c>
      <c r="J35" s="24">
        <f t="shared" si="5"/>
        <v>6.2687831366030622E-2</v>
      </c>
    </row>
    <row r="36" spans="1:10" x14ac:dyDescent="0.25">
      <c r="A36">
        <v>1995.08</v>
      </c>
      <c r="B36" s="14">
        <v>2238.31</v>
      </c>
      <c r="C36" s="20">
        <f t="shared" si="2"/>
        <v>7.7134763958119601</v>
      </c>
      <c r="D36" s="14">
        <f t="shared" si="3"/>
        <v>19.570000000000164</v>
      </c>
      <c r="E36" s="24">
        <f t="shared" si="3"/>
        <v>8.7816496406443179E-3</v>
      </c>
      <c r="F36" s="24">
        <f t="shared" si="4"/>
        <v>8.8203214437023569E-3</v>
      </c>
      <c r="H36" s="24">
        <f t="shared" si="5"/>
        <v>8.7912963701706204E-3</v>
      </c>
      <c r="I36" s="24">
        <f t="shared" si="5"/>
        <v>8.7834860244793145E-3</v>
      </c>
      <c r="J36" s="24">
        <f t="shared" si="5"/>
        <v>8.7817261464113727E-3</v>
      </c>
    </row>
    <row r="37" spans="1:10" x14ac:dyDescent="0.25">
      <c r="A37">
        <v>1995.09</v>
      </c>
      <c r="B37" s="14">
        <v>2187.04</v>
      </c>
      <c r="C37" s="20">
        <f t="shared" si="2"/>
        <v>7.6903043104043425</v>
      </c>
      <c r="D37" s="14">
        <f t="shared" si="3"/>
        <v>-51.269999999999982</v>
      </c>
      <c r="E37" s="24">
        <f t="shared" si="3"/>
        <v>-2.3172085407617615E-2</v>
      </c>
      <c r="F37" s="24">
        <f t="shared" si="4"/>
        <v>-2.2905674370395514E-2</v>
      </c>
      <c r="H37" s="24">
        <f t="shared" si="5"/>
        <v>-2.3105096633072808E-2</v>
      </c>
      <c r="I37" s="24">
        <f t="shared" si="5"/>
        <v>-2.3159305690898635E-2</v>
      </c>
      <c r="J37" s="24">
        <f t="shared" si="5"/>
        <v>-2.3171552731691136E-2</v>
      </c>
    </row>
    <row r="38" spans="1:10" x14ac:dyDescent="0.25">
      <c r="A38" s="14">
        <v>1995.1</v>
      </c>
      <c r="B38" s="14">
        <v>2167.91</v>
      </c>
      <c r="C38" s="20">
        <f t="shared" si="2"/>
        <v>7.6815188487827228</v>
      </c>
      <c r="D38" s="14">
        <f t="shared" si="3"/>
        <v>-19.130000000000109</v>
      </c>
      <c r="E38" s="24">
        <f t="shared" si="3"/>
        <v>-8.7854616216196391E-3</v>
      </c>
      <c r="F38" s="24">
        <f t="shared" si="4"/>
        <v>-8.7469822225474201E-3</v>
      </c>
      <c r="H38" s="24">
        <f t="shared" si="5"/>
        <v>-8.7758206392969385E-3</v>
      </c>
      <c r="I38" s="24">
        <f t="shared" si="5"/>
        <v>-8.7836241555835359E-3</v>
      </c>
      <c r="J38" s="24">
        <f t="shared" si="5"/>
        <v>-8.7853850502952469E-3</v>
      </c>
    </row>
    <row r="39" spans="1:10" x14ac:dyDescent="0.25">
      <c r="A39">
        <v>1995.11</v>
      </c>
      <c r="B39" s="14">
        <v>2242.83</v>
      </c>
      <c r="C39" s="20">
        <f t="shared" si="2"/>
        <v>7.7154937402970294</v>
      </c>
      <c r="D39" s="14">
        <f t="shared" si="3"/>
        <v>74.920000000000073</v>
      </c>
      <c r="E39" s="24">
        <f t="shared" si="3"/>
        <v>3.3974891514306549E-2</v>
      </c>
      <c r="F39" s="24">
        <f t="shared" si="4"/>
        <v>3.455863020143829E-2</v>
      </c>
      <c r="H39" s="24">
        <f t="shared" si="5"/>
        <v>3.4119587550193842E-2</v>
      </c>
      <c r="I39" s="24">
        <f t="shared" si="5"/>
        <v>3.4002389514238729E-2</v>
      </c>
      <c r="J39" s="24">
        <f t="shared" si="5"/>
        <v>3.3976036672228815E-2</v>
      </c>
    </row>
    <row r="40" spans="1:10" x14ac:dyDescent="0.25">
      <c r="A40">
        <v>1995.12</v>
      </c>
      <c r="B40" s="14">
        <v>2253.88</v>
      </c>
      <c r="C40" s="20">
        <f t="shared" si="2"/>
        <v>7.720408454495713</v>
      </c>
      <c r="D40" s="14">
        <f t="shared" si="3"/>
        <v>11.050000000000182</v>
      </c>
      <c r="E40" s="24">
        <f t="shared" si="3"/>
        <v>4.9147141986836118E-3</v>
      </c>
      <c r="F40" s="24">
        <f t="shared" si="4"/>
        <v>4.9268112161867739E-3</v>
      </c>
      <c r="H40" s="24">
        <f t="shared" si="5"/>
        <v>4.9177347376048175E-3</v>
      </c>
      <c r="I40" s="24">
        <f t="shared" si="5"/>
        <v>4.9152893486852367E-3</v>
      </c>
      <c r="J40" s="24">
        <f t="shared" si="5"/>
        <v>4.9147381614353947E-3</v>
      </c>
    </row>
    <row r="41" spans="1:10" x14ac:dyDescent="0.25">
      <c r="D41" s="3" t="s">
        <v>92</v>
      </c>
      <c r="E41" s="24">
        <f>AVERAGE(E29:E40)</f>
        <v>5.6322830091389458E-3</v>
      </c>
      <c r="F41" s="24">
        <f>AVERAGE(F29:F40)</f>
        <v>6.4895675348767244E-3</v>
      </c>
    </row>
    <row r="42" spans="1:10" x14ac:dyDescent="0.25">
      <c r="D42" s="3" t="s">
        <v>93</v>
      </c>
      <c r="F42" s="24">
        <f t="array" ref="F42">GEOMEAN(1+F29:F40)-1</f>
        <v>5.6481741355187687E-3</v>
      </c>
    </row>
    <row r="43" spans="1:10" x14ac:dyDescent="0.25">
      <c r="D43" s="3" t="s">
        <v>94</v>
      </c>
      <c r="E43" s="24">
        <f>(C40-C28)/12</f>
        <v>5.6322830091389458E-3</v>
      </c>
      <c r="F43" s="24">
        <f>(B40/B28)^(1/12)-1</f>
        <v>5.6481741355185466E-3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workbookViewId="0"/>
  </sheetViews>
  <sheetFormatPr defaultColWidth="9.1796875" defaultRowHeight="12.5" x14ac:dyDescent="0.25"/>
  <sheetData>
    <row r="1" spans="1:4" ht="13" x14ac:dyDescent="0.3">
      <c r="A1" s="2" t="s">
        <v>95</v>
      </c>
    </row>
    <row r="3" spans="1:4" x14ac:dyDescent="0.25">
      <c r="A3" s="25" t="s">
        <v>96</v>
      </c>
    </row>
    <row r="4" spans="1:4" x14ac:dyDescent="0.25">
      <c r="A4" s="26">
        <v>12</v>
      </c>
      <c r="C4" t="s">
        <v>27</v>
      </c>
      <c r="D4">
        <f>MODE(A4:A257)</f>
        <v>11</v>
      </c>
    </row>
    <row r="5" spans="1:4" x14ac:dyDescent="0.25">
      <c r="A5" s="26">
        <v>11</v>
      </c>
    </row>
    <row r="6" spans="1:4" x14ac:dyDescent="0.25">
      <c r="A6" s="26">
        <v>10.5</v>
      </c>
    </row>
    <row r="7" spans="1:4" x14ac:dyDescent="0.25">
      <c r="A7" s="26">
        <v>10</v>
      </c>
    </row>
    <row r="8" spans="1:4" x14ac:dyDescent="0.25">
      <c r="A8" s="26">
        <v>10.5</v>
      </c>
    </row>
    <row r="9" spans="1:4" x14ac:dyDescent="0.25">
      <c r="A9" s="26">
        <v>13</v>
      </c>
    </row>
    <row r="10" spans="1:4" x14ac:dyDescent="0.25">
      <c r="A10" s="26">
        <v>9</v>
      </c>
    </row>
    <row r="11" spans="1:4" x14ac:dyDescent="0.25">
      <c r="A11" s="26">
        <v>9</v>
      </c>
    </row>
    <row r="12" spans="1:4" x14ac:dyDescent="0.25">
      <c r="A12" s="26">
        <v>13</v>
      </c>
    </row>
    <row r="13" spans="1:4" x14ac:dyDescent="0.25">
      <c r="A13" s="26">
        <v>10.5</v>
      </c>
    </row>
    <row r="14" spans="1:4" x14ac:dyDescent="0.25">
      <c r="A14" s="26">
        <v>7.5</v>
      </c>
    </row>
    <row r="15" spans="1:4" x14ac:dyDescent="0.25">
      <c r="A15" s="26">
        <v>10</v>
      </c>
    </row>
    <row r="16" spans="1:4" x14ac:dyDescent="0.25">
      <c r="A16" s="26">
        <v>6.5</v>
      </c>
    </row>
    <row r="17" spans="1:1" x14ac:dyDescent="0.25">
      <c r="A17" s="26">
        <v>12</v>
      </c>
    </row>
    <row r="18" spans="1:1" x14ac:dyDescent="0.25">
      <c r="A18" s="26">
        <v>12.5</v>
      </c>
    </row>
    <row r="19" spans="1:1" x14ac:dyDescent="0.25">
      <c r="A19" s="26">
        <v>8</v>
      </c>
    </row>
    <row r="20" spans="1:1" x14ac:dyDescent="0.25">
      <c r="A20" s="26">
        <v>11</v>
      </c>
    </row>
    <row r="21" spans="1:1" x14ac:dyDescent="0.25">
      <c r="A21" s="26">
        <v>8.5</v>
      </c>
    </row>
    <row r="22" spans="1:1" x14ac:dyDescent="0.25">
      <c r="A22" s="26">
        <v>11</v>
      </c>
    </row>
    <row r="23" spans="1:1" x14ac:dyDescent="0.25">
      <c r="A23" s="26">
        <v>9.5</v>
      </c>
    </row>
    <row r="24" spans="1:1" x14ac:dyDescent="0.25">
      <c r="A24" s="26">
        <v>11</v>
      </c>
    </row>
    <row r="25" spans="1:1" x14ac:dyDescent="0.25">
      <c r="A25" s="26">
        <v>8</v>
      </c>
    </row>
    <row r="26" spans="1:1" x14ac:dyDescent="0.25">
      <c r="A26" s="26">
        <v>11</v>
      </c>
    </row>
    <row r="27" spans="1:1" x14ac:dyDescent="0.25">
      <c r="A27" s="26">
        <v>9.5</v>
      </c>
    </row>
    <row r="28" spans="1:1" x14ac:dyDescent="0.25">
      <c r="A28" s="26">
        <v>12.5</v>
      </c>
    </row>
    <row r="29" spans="1:1" x14ac:dyDescent="0.25">
      <c r="A29" s="26">
        <v>9.5</v>
      </c>
    </row>
    <row r="30" spans="1:1" x14ac:dyDescent="0.25">
      <c r="A30" s="26">
        <v>9</v>
      </c>
    </row>
    <row r="31" spans="1:1" x14ac:dyDescent="0.25">
      <c r="A31" s="26">
        <v>8.5</v>
      </c>
    </row>
    <row r="32" spans="1:1" x14ac:dyDescent="0.25">
      <c r="A32" s="26">
        <v>7.5</v>
      </c>
    </row>
    <row r="33" spans="1:1" x14ac:dyDescent="0.25">
      <c r="A33" s="26">
        <v>9.5</v>
      </c>
    </row>
    <row r="34" spans="1:1" x14ac:dyDescent="0.25">
      <c r="A34" s="26">
        <v>11</v>
      </c>
    </row>
    <row r="35" spans="1:1" x14ac:dyDescent="0.25">
      <c r="A35" s="26">
        <v>11</v>
      </c>
    </row>
    <row r="36" spans="1:1" x14ac:dyDescent="0.25">
      <c r="A36" s="26">
        <v>11.5</v>
      </c>
    </row>
    <row r="37" spans="1:1" x14ac:dyDescent="0.25">
      <c r="A37" s="26">
        <v>9</v>
      </c>
    </row>
    <row r="38" spans="1:1" x14ac:dyDescent="0.25">
      <c r="A38" s="26">
        <v>8.5</v>
      </c>
    </row>
    <row r="39" spans="1:1" x14ac:dyDescent="0.25">
      <c r="A39" s="26">
        <v>10.5</v>
      </c>
    </row>
    <row r="40" spans="1:1" x14ac:dyDescent="0.25">
      <c r="A40" s="26">
        <v>7</v>
      </c>
    </row>
    <row r="41" spans="1:1" x14ac:dyDescent="0.25">
      <c r="A41" s="26">
        <v>9.5</v>
      </c>
    </row>
    <row r="42" spans="1:1" x14ac:dyDescent="0.25">
      <c r="A42" s="26">
        <v>10.5</v>
      </c>
    </row>
    <row r="43" spans="1:1" x14ac:dyDescent="0.25">
      <c r="A43" s="26">
        <v>9.5</v>
      </c>
    </row>
    <row r="44" spans="1:1" x14ac:dyDescent="0.25">
      <c r="A44" s="26">
        <v>11</v>
      </c>
    </row>
    <row r="45" spans="1:1" x14ac:dyDescent="0.25">
      <c r="A45" s="26">
        <v>9.5</v>
      </c>
    </row>
    <row r="46" spans="1:1" x14ac:dyDescent="0.25">
      <c r="A46" s="26">
        <v>9</v>
      </c>
    </row>
    <row r="47" spans="1:1" x14ac:dyDescent="0.25">
      <c r="A47" s="26">
        <v>8</v>
      </c>
    </row>
    <row r="48" spans="1:1" x14ac:dyDescent="0.25">
      <c r="A48" s="26">
        <v>11.5</v>
      </c>
    </row>
    <row r="49" spans="1:1" x14ac:dyDescent="0.25">
      <c r="A49" s="26">
        <v>8</v>
      </c>
    </row>
    <row r="50" spans="1:1" x14ac:dyDescent="0.25">
      <c r="A50" s="26">
        <v>7.5</v>
      </c>
    </row>
    <row r="51" spans="1:1" x14ac:dyDescent="0.25">
      <c r="A51" s="26">
        <v>9.5</v>
      </c>
    </row>
    <row r="52" spans="1:1" x14ac:dyDescent="0.25">
      <c r="A52" s="26">
        <v>10</v>
      </c>
    </row>
    <row r="53" spans="1:1" x14ac:dyDescent="0.25">
      <c r="A53" s="26">
        <v>10.5</v>
      </c>
    </row>
    <row r="54" spans="1:1" x14ac:dyDescent="0.25">
      <c r="A54" s="26">
        <v>11.5</v>
      </c>
    </row>
    <row r="55" spans="1:1" x14ac:dyDescent="0.25">
      <c r="A55" s="26">
        <v>10</v>
      </c>
    </row>
    <row r="56" spans="1:1" x14ac:dyDescent="0.25">
      <c r="A56" s="26">
        <v>8</v>
      </c>
    </row>
    <row r="57" spans="1:1" x14ac:dyDescent="0.25">
      <c r="A57" s="26">
        <v>7.5</v>
      </c>
    </row>
    <row r="58" spans="1:1" x14ac:dyDescent="0.25">
      <c r="A58" s="26">
        <v>10</v>
      </c>
    </row>
    <row r="59" spans="1:1" x14ac:dyDescent="0.25">
      <c r="A59" s="26">
        <v>11.5</v>
      </c>
    </row>
    <row r="60" spans="1:1" x14ac:dyDescent="0.25">
      <c r="A60" s="26">
        <v>11</v>
      </c>
    </row>
    <row r="61" spans="1:1" x14ac:dyDescent="0.25">
      <c r="A61" s="26">
        <v>11</v>
      </c>
    </row>
    <row r="62" spans="1:1" x14ac:dyDescent="0.25">
      <c r="A62" s="26">
        <v>10.5</v>
      </c>
    </row>
    <row r="63" spans="1:1" x14ac:dyDescent="0.25">
      <c r="A63" s="26">
        <v>7.5</v>
      </c>
    </row>
    <row r="64" spans="1:1" x14ac:dyDescent="0.25">
      <c r="A64" s="26">
        <v>7.5</v>
      </c>
    </row>
    <row r="65" spans="1:1" x14ac:dyDescent="0.25">
      <c r="A65" s="26">
        <v>12</v>
      </c>
    </row>
    <row r="66" spans="1:1" x14ac:dyDescent="0.25">
      <c r="A66" s="26">
        <v>10</v>
      </c>
    </row>
    <row r="67" spans="1:1" x14ac:dyDescent="0.25">
      <c r="A67" s="26">
        <v>12</v>
      </c>
    </row>
    <row r="68" spans="1:1" x14ac:dyDescent="0.25">
      <c r="A68" s="26">
        <v>9.5</v>
      </c>
    </row>
    <row r="69" spans="1:1" x14ac:dyDescent="0.25">
      <c r="A69" s="26">
        <v>12</v>
      </c>
    </row>
    <row r="70" spans="1:1" x14ac:dyDescent="0.25">
      <c r="A70" s="26">
        <v>11</v>
      </c>
    </row>
    <row r="71" spans="1:1" x14ac:dyDescent="0.25">
      <c r="A71" s="26">
        <v>11</v>
      </c>
    </row>
    <row r="72" spans="1:1" x14ac:dyDescent="0.25">
      <c r="A72" s="26">
        <v>11</v>
      </c>
    </row>
    <row r="73" spans="1:1" x14ac:dyDescent="0.25">
      <c r="A73" s="26">
        <v>9.5</v>
      </c>
    </row>
    <row r="74" spans="1:1" x14ac:dyDescent="0.25">
      <c r="A74" s="26">
        <v>10</v>
      </c>
    </row>
    <row r="75" spans="1:1" x14ac:dyDescent="0.25">
      <c r="A75" s="26">
        <v>12</v>
      </c>
    </row>
    <row r="76" spans="1:1" x14ac:dyDescent="0.25">
      <c r="A76" s="26">
        <v>13.5</v>
      </c>
    </row>
    <row r="77" spans="1:1" x14ac:dyDescent="0.25">
      <c r="A77" s="26">
        <v>8.5</v>
      </c>
    </row>
    <row r="78" spans="1:1" x14ac:dyDescent="0.25">
      <c r="A78" s="26">
        <v>10</v>
      </c>
    </row>
    <row r="79" spans="1:1" x14ac:dyDescent="0.25">
      <c r="A79" s="26">
        <v>11.5</v>
      </c>
    </row>
    <row r="80" spans="1:1" x14ac:dyDescent="0.25">
      <c r="A80" s="26">
        <v>8.5</v>
      </c>
    </row>
    <row r="81" spans="1:1" x14ac:dyDescent="0.25">
      <c r="A81" s="26">
        <v>10</v>
      </c>
    </row>
    <row r="82" spans="1:1" x14ac:dyDescent="0.25">
      <c r="A82" s="26">
        <v>9.5</v>
      </c>
    </row>
    <row r="83" spans="1:1" x14ac:dyDescent="0.25">
      <c r="A83" s="26">
        <v>10</v>
      </c>
    </row>
    <row r="84" spans="1:1" x14ac:dyDescent="0.25">
      <c r="A84" s="26">
        <v>10</v>
      </c>
    </row>
    <row r="85" spans="1:1" x14ac:dyDescent="0.25">
      <c r="A85" s="26">
        <v>13</v>
      </c>
    </row>
    <row r="86" spans="1:1" x14ac:dyDescent="0.25">
      <c r="A86" s="26">
        <v>12</v>
      </c>
    </row>
    <row r="87" spans="1:1" x14ac:dyDescent="0.25">
      <c r="A87" s="26">
        <v>9.5</v>
      </c>
    </row>
    <row r="88" spans="1:1" x14ac:dyDescent="0.25">
      <c r="A88" s="26">
        <v>9</v>
      </c>
    </row>
    <row r="89" spans="1:1" x14ac:dyDescent="0.25">
      <c r="A89" s="26">
        <v>11</v>
      </c>
    </row>
    <row r="90" spans="1:1" x14ac:dyDescent="0.25">
      <c r="A90" s="26">
        <v>8</v>
      </c>
    </row>
    <row r="91" spans="1:1" x14ac:dyDescent="0.25">
      <c r="A91" s="26">
        <v>10</v>
      </c>
    </row>
    <row r="92" spans="1:1" x14ac:dyDescent="0.25">
      <c r="A92" s="26">
        <v>12</v>
      </c>
    </row>
    <row r="93" spans="1:1" x14ac:dyDescent="0.25">
      <c r="A93" s="26">
        <v>6.5</v>
      </c>
    </row>
    <row r="94" spans="1:1" x14ac:dyDescent="0.25">
      <c r="A94" s="26">
        <v>10.5</v>
      </c>
    </row>
    <row r="95" spans="1:1" x14ac:dyDescent="0.25">
      <c r="A95" s="26">
        <v>12</v>
      </c>
    </row>
    <row r="96" spans="1:1" x14ac:dyDescent="0.25">
      <c r="A96" s="26">
        <v>9.5</v>
      </c>
    </row>
    <row r="97" spans="1:1" x14ac:dyDescent="0.25">
      <c r="A97" s="26">
        <v>9</v>
      </c>
    </row>
    <row r="98" spans="1:1" x14ac:dyDescent="0.25">
      <c r="A98" s="26">
        <v>10.5</v>
      </c>
    </row>
    <row r="99" spans="1:1" x14ac:dyDescent="0.25">
      <c r="A99" s="26">
        <v>8</v>
      </c>
    </row>
    <row r="100" spans="1:1" x14ac:dyDescent="0.25">
      <c r="A100" s="26">
        <v>9.5</v>
      </c>
    </row>
    <row r="101" spans="1:1" x14ac:dyDescent="0.25">
      <c r="A101" s="26">
        <v>11</v>
      </c>
    </row>
    <row r="102" spans="1:1" x14ac:dyDescent="0.25">
      <c r="A102" s="26">
        <v>12.5</v>
      </c>
    </row>
    <row r="103" spans="1:1" x14ac:dyDescent="0.25">
      <c r="A103" s="26">
        <v>13.5</v>
      </c>
    </row>
    <row r="104" spans="1:1" x14ac:dyDescent="0.25">
      <c r="A104" s="26">
        <v>11</v>
      </c>
    </row>
    <row r="105" spans="1:1" x14ac:dyDescent="0.25">
      <c r="A105" s="26">
        <v>7.5</v>
      </c>
    </row>
    <row r="106" spans="1:1" x14ac:dyDescent="0.25">
      <c r="A106" s="26">
        <v>10.5</v>
      </c>
    </row>
    <row r="107" spans="1:1" x14ac:dyDescent="0.25">
      <c r="A107" s="26">
        <v>8.5</v>
      </c>
    </row>
    <row r="108" spans="1:1" x14ac:dyDescent="0.25">
      <c r="A108" s="26">
        <v>8.5</v>
      </c>
    </row>
    <row r="109" spans="1:1" x14ac:dyDescent="0.25">
      <c r="A109" s="26">
        <v>11</v>
      </c>
    </row>
    <row r="110" spans="1:1" x14ac:dyDescent="0.25">
      <c r="A110" s="26">
        <v>11</v>
      </c>
    </row>
    <row r="111" spans="1:1" x14ac:dyDescent="0.25">
      <c r="A111" s="26">
        <v>9.5</v>
      </c>
    </row>
    <row r="112" spans="1:1" x14ac:dyDescent="0.25">
      <c r="A112" s="26">
        <v>11.5</v>
      </c>
    </row>
    <row r="113" spans="1:1" x14ac:dyDescent="0.25">
      <c r="A113" s="26">
        <v>8</v>
      </c>
    </row>
    <row r="114" spans="1:1" x14ac:dyDescent="0.25">
      <c r="A114" s="26">
        <v>10</v>
      </c>
    </row>
    <row r="115" spans="1:1" x14ac:dyDescent="0.25">
      <c r="A115" s="26">
        <v>10</v>
      </c>
    </row>
    <row r="116" spans="1:1" x14ac:dyDescent="0.25">
      <c r="A116" s="26">
        <v>7.5</v>
      </c>
    </row>
    <row r="117" spans="1:1" x14ac:dyDescent="0.25">
      <c r="A117" s="26">
        <v>8</v>
      </c>
    </row>
    <row r="118" spans="1:1" x14ac:dyDescent="0.25">
      <c r="A118" s="26">
        <v>10.5</v>
      </c>
    </row>
    <row r="119" spans="1:1" x14ac:dyDescent="0.25">
      <c r="A119" s="26">
        <v>8.5</v>
      </c>
    </row>
    <row r="120" spans="1:1" x14ac:dyDescent="0.25">
      <c r="A120" s="26">
        <v>8.5</v>
      </c>
    </row>
    <row r="121" spans="1:1" x14ac:dyDescent="0.25">
      <c r="A121" s="26">
        <v>8.5</v>
      </c>
    </row>
    <row r="122" spans="1:1" x14ac:dyDescent="0.25">
      <c r="A122" s="26">
        <v>7</v>
      </c>
    </row>
    <row r="123" spans="1:1" x14ac:dyDescent="0.25">
      <c r="A123" s="26">
        <v>11.5</v>
      </c>
    </row>
    <row r="124" spans="1:1" x14ac:dyDescent="0.25">
      <c r="A124" s="26">
        <v>8</v>
      </c>
    </row>
    <row r="125" spans="1:1" x14ac:dyDescent="0.25">
      <c r="A125" s="26">
        <v>7</v>
      </c>
    </row>
    <row r="126" spans="1:1" x14ac:dyDescent="0.25">
      <c r="A126" s="26">
        <v>12</v>
      </c>
    </row>
    <row r="127" spans="1:1" x14ac:dyDescent="0.25">
      <c r="A127" s="26">
        <v>8</v>
      </c>
    </row>
    <row r="128" spans="1:1" x14ac:dyDescent="0.25">
      <c r="A128" s="26">
        <v>9</v>
      </c>
    </row>
    <row r="129" spans="1:1" x14ac:dyDescent="0.25">
      <c r="A129" s="26">
        <v>9</v>
      </c>
    </row>
    <row r="130" spans="1:1" x14ac:dyDescent="0.25">
      <c r="A130" s="26">
        <v>10.5</v>
      </c>
    </row>
    <row r="131" spans="1:1" x14ac:dyDescent="0.25">
      <c r="A131" s="26">
        <v>8.5</v>
      </c>
    </row>
    <row r="132" spans="1:1" x14ac:dyDescent="0.25">
      <c r="A132" s="26">
        <v>12.5</v>
      </c>
    </row>
    <row r="133" spans="1:1" x14ac:dyDescent="0.25">
      <c r="A133" s="26">
        <v>10.5</v>
      </c>
    </row>
    <row r="134" spans="1:1" x14ac:dyDescent="0.25">
      <c r="A134" s="26">
        <v>10</v>
      </c>
    </row>
    <row r="135" spans="1:1" x14ac:dyDescent="0.25">
      <c r="A135" s="26">
        <v>8</v>
      </c>
    </row>
    <row r="136" spans="1:1" x14ac:dyDescent="0.25">
      <c r="A136" s="26">
        <v>8.5</v>
      </c>
    </row>
    <row r="137" spans="1:1" x14ac:dyDescent="0.25">
      <c r="A137" s="26">
        <v>11</v>
      </c>
    </row>
    <row r="138" spans="1:1" x14ac:dyDescent="0.25">
      <c r="A138" s="26">
        <v>6.5</v>
      </c>
    </row>
    <row r="139" spans="1:1" x14ac:dyDescent="0.25">
      <c r="A139" s="26">
        <v>8.5</v>
      </c>
    </row>
    <row r="140" spans="1:1" x14ac:dyDescent="0.25">
      <c r="A140" s="26">
        <v>8</v>
      </c>
    </row>
    <row r="141" spans="1:1" x14ac:dyDescent="0.25">
      <c r="A141" s="26">
        <v>12.5</v>
      </c>
    </row>
    <row r="142" spans="1:1" x14ac:dyDescent="0.25">
      <c r="A142" s="26">
        <v>10.5</v>
      </c>
    </row>
    <row r="143" spans="1:1" x14ac:dyDescent="0.25">
      <c r="A143" s="26">
        <v>9.5</v>
      </c>
    </row>
    <row r="144" spans="1:1" x14ac:dyDescent="0.25">
      <c r="A144" s="26">
        <v>10</v>
      </c>
    </row>
    <row r="145" spans="1:1" x14ac:dyDescent="0.25">
      <c r="A145" s="26">
        <v>9</v>
      </c>
    </row>
    <row r="146" spans="1:1" x14ac:dyDescent="0.25">
      <c r="A146" s="26">
        <v>9.5</v>
      </c>
    </row>
    <row r="147" spans="1:1" x14ac:dyDescent="0.25">
      <c r="A147" s="26">
        <v>9.5</v>
      </c>
    </row>
    <row r="148" spans="1:1" x14ac:dyDescent="0.25">
      <c r="A148" s="26">
        <v>8.5</v>
      </c>
    </row>
    <row r="149" spans="1:1" x14ac:dyDescent="0.25">
      <c r="A149" s="26">
        <v>10.5</v>
      </c>
    </row>
    <row r="150" spans="1:1" x14ac:dyDescent="0.25">
      <c r="A150" s="26">
        <v>10</v>
      </c>
    </row>
    <row r="151" spans="1:1" x14ac:dyDescent="0.25">
      <c r="A151" s="26">
        <v>9</v>
      </c>
    </row>
    <row r="152" spans="1:1" x14ac:dyDescent="0.25">
      <c r="A152" s="26">
        <v>13</v>
      </c>
    </row>
    <row r="153" spans="1:1" x14ac:dyDescent="0.25">
      <c r="A153" s="26">
        <v>13</v>
      </c>
    </row>
    <row r="154" spans="1:1" x14ac:dyDescent="0.25">
      <c r="A154" s="26">
        <v>9</v>
      </c>
    </row>
    <row r="155" spans="1:1" x14ac:dyDescent="0.25">
      <c r="A155" s="26">
        <v>7.5</v>
      </c>
    </row>
    <row r="156" spans="1:1" x14ac:dyDescent="0.25">
      <c r="A156" s="26">
        <v>9</v>
      </c>
    </row>
    <row r="157" spans="1:1" x14ac:dyDescent="0.25">
      <c r="A157" s="26">
        <v>13</v>
      </c>
    </row>
    <row r="158" spans="1:1" x14ac:dyDescent="0.25">
      <c r="A158" s="26">
        <v>13</v>
      </c>
    </row>
    <row r="159" spans="1:1" x14ac:dyDescent="0.25">
      <c r="A159" s="26">
        <v>11.5</v>
      </c>
    </row>
    <row r="160" spans="1:1" x14ac:dyDescent="0.25">
      <c r="A160" s="26">
        <v>10</v>
      </c>
    </row>
    <row r="161" spans="1:1" x14ac:dyDescent="0.25">
      <c r="A161" s="26">
        <v>9</v>
      </c>
    </row>
    <row r="162" spans="1:1" x14ac:dyDescent="0.25">
      <c r="A162" s="26">
        <v>10</v>
      </c>
    </row>
    <row r="163" spans="1:1" x14ac:dyDescent="0.25">
      <c r="A163" s="26">
        <v>13</v>
      </c>
    </row>
    <row r="164" spans="1:1" x14ac:dyDescent="0.25">
      <c r="A164" s="26">
        <v>11.5</v>
      </c>
    </row>
    <row r="165" spans="1:1" x14ac:dyDescent="0.25">
      <c r="A165" s="26">
        <v>10.5</v>
      </c>
    </row>
    <row r="166" spans="1:1" x14ac:dyDescent="0.25">
      <c r="A166" s="26">
        <v>8.5</v>
      </c>
    </row>
    <row r="167" spans="1:1" x14ac:dyDescent="0.25">
      <c r="A167" s="26">
        <v>9</v>
      </c>
    </row>
    <row r="168" spans="1:1" x14ac:dyDescent="0.25">
      <c r="A168" s="26">
        <v>10.5</v>
      </c>
    </row>
    <row r="169" spans="1:1" x14ac:dyDescent="0.25">
      <c r="A169" s="26">
        <v>13</v>
      </c>
    </row>
    <row r="170" spans="1:1" x14ac:dyDescent="0.25">
      <c r="A170" s="26">
        <v>11</v>
      </c>
    </row>
    <row r="171" spans="1:1" x14ac:dyDescent="0.25">
      <c r="A171" s="26">
        <v>9.5</v>
      </c>
    </row>
    <row r="172" spans="1:1" x14ac:dyDescent="0.25">
      <c r="A172" s="26">
        <v>10</v>
      </c>
    </row>
    <row r="173" spans="1:1" x14ac:dyDescent="0.25">
      <c r="A173" s="26">
        <v>8.5</v>
      </c>
    </row>
    <row r="174" spans="1:1" x14ac:dyDescent="0.25">
      <c r="A174" s="26">
        <v>12</v>
      </c>
    </row>
    <row r="175" spans="1:1" x14ac:dyDescent="0.25">
      <c r="A175" s="26">
        <v>11</v>
      </c>
    </row>
    <row r="176" spans="1:1" x14ac:dyDescent="0.25">
      <c r="A176" s="26">
        <v>8.5</v>
      </c>
    </row>
    <row r="177" spans="1:1" x14ac:dyDescent="0.25">
      <c r="A177" s="26">
        <v>12.5</v>
      </c>
    </row>
    <row r="178" spans="1:1" x14ac:dyDescent="0.25">
      <c r="A178" s="26">
        <v>10</v>
      </c>
    </row>
    <row r="179" spans="1:1" x14ac:dyDescent="0.25">
      <c r="A179" s="26">
        <v>8</v>
      </c>
    </row>
    <row r="180" spans="1:1" x14ac:dyDescent="0.25">
      <c r="A180" s="26">
        <v>8.5</v>
      </c>
    </row>
    <row r="181" spans="1:1" x14ac:dyDescent="0.25">
      <c r="A181" s="26">
        <v>10</v>
      </c>
    </row>
    <row r="182" spans="1:1" x14ac:dyDescent="0.25">
      <c r="A182" s="26">
        <v>8.5</v>
      </c>
    </row>
    <row r="183" spans="1:1" x14ac:dyDescent="0.25">
      <c r="A183" s="26">
        <v>11.5</v>
      </c>
    </row>
    <row r="184" spans="1:1" x14ac:dyDescent="0.25">
      <c r="A184" s="26">
        <v>11.5</v>
      </c>
    </row>
    <row r="185" spans="1:1" x14ac:dyDescent="0.25">
      <c r="A185" s="26">
        <v>9.5</v>
      </c>
    </row>
    <row r="186" spans="1:1" x14ac:dyDescent="0.25">
      <c r="A186" s="26">
        <v>10</v>
      </c>
    </row>
    <row r="187" spans="1:1" x14ac:dyDescent="0.25">
      <c r="A187" s="26">
        <v>8.5</v>
      </c>
    </row>
    <row r="188" spans="1:1" x14ac:dyDescent="0.25">
      <c r="A188" s="26">
        <v>11</v>
      </c>
    </row>
    <row r="189" spans="1:1" x14ac:dyDescent="0.25">
      <c r="A189" s="26">
        <v>12</v>
      </c>
    </row>
    <row r="190" spans="1:1" x14ac:dyDescent="0.25">
      <c r="A190" s="26">
        <v>10.5</v>
      </c>
    </row>
    <row r="191" spans="1:1" x14ac:dyDescent="0.25">
      <c r="A191" s="26">
        <v>11</v>
      </c>
    </row>
    <row r="192" spans="1:1" x14ac:dyDescent="0.25">
      <c r="A192" s="26">
        <v>11</v>
      </c>
    </row>
    <row r="193" spans="1:1" x14ac:dyDescent="0.25">
      <c r="A193" s="26">
        <v>9</v>
      </c>
    </row>
    <row r="194" spans="1:1" x14ac:dyDescent="0.25">
      <c r="A194" s="26">
        <v>12</v>
      </c>
    </row>
    <row r="195" spans="1:1" x14ac:dyDescent="0.25">
      <c r="A195" s="26">
        <v>10</v>
      </c>
    </row>
    <row r="196" spans="1:1" x14ac:dyDescent="0.25">
      <c r="A196" s="26">
        <v>12</v>
      </c>
    </row>
    <row r="197" spans="1:1" x14ac:dyDescent="0.25">
      <c r="A197" s="26">
        <v>11</v>
      </c>
    </row>
    <row r="198" spans="1:1" x14ac:dyDescent="0.25">
      <c r="A198" s="26">
        <v>10</v>
      </c>
    </row>
    <row r="199" spans="1:1" x14ac:dyDescent="0.25">
      <c r="A199" s="26">
        <v>9.5</v>
      </c>
    </row>
    <row r="200" spans="1:1" x14ac:dyDescent="0.25">
      <c r="A200" s="26">
        <v>10.5</v>
      </c>
    </row>
    <row r="201" spans="1:1" x14ac:dyDescent="0.25">
      <c r="A201" s="26">
        <v>8</v>
      </c>
    </row>
    <row r="202" spans="1:1" x14ac:dyDescent="0.25">
      <c r="A202" s="26">
        <v>10</v>
      </c>
    </row>
    <row r="203" spans="1:1" x14ac:dyDescent="0.25">
      <c r="A203" s="26">
        <v>12</v>
      </c>
    </row>
    <row r="204" spans="1:1" x14ac:dyDescent="0.25">
      <c r="A204" s="26">
        <v>7.5</v>
      </c>
    </row>
    <row r="205" spans="1:1" x14ac:dyDescent="0.25">
      <c r="A205" s="26">
        <v>10.5</v>
      </c>
    </row>
    <row r="206" spans="1:1" x14ac:dyDescent="0.25">
      <c r="A206" s="26">
        <v>13.5</v>
      </c>
    </row>
    <row r="207" spans="1:1" x14ac:dyDescent="0.25">
      <c r="A207" s="26">
        <v>12.5</v>
      </c>
    </row>
    <row r="208" spans="1:1" x14ac:dyDescent="0.25">
      <c r="A208" s="26">
        <v>11</v>
      </c>
    </row>
    <row r="209" spans="1:1" x14ac:dyDescent="0.25">
      <c r="A209" s="26">
        <v>8</v>
      </c>
    </row>
    <row r="210" spans="1:1" x14ac:dyDescent="0.25">
      <c r="A210" s="26">
        <v>11</v>
      </c>
    </row>
    <row r="211" spans="1:1" x14ac:dyDescent="0.25">
      <c r="A211" s="26">
        <v>9</v>
      </c>
    </row>
    <row r="212" spans="1:1" x14ac:dyDescent="0.25">
      <c r="A212" s="26">
        <v>9.5</v>
      </c>
    </row>
    <row r="213" spans="1:1" x14ac:dyDescent="0.25">
      <c r="A213" s="26">
        <v>9</v>
      </c>
    </row>
    <row r="214" spans="1:1" x14ac:dyDescent="0.25">
      <c r="A214" s="26">
        <v>10</v>
      </c>
    </row>
    <row r="215" spans="1:1" x14ac:dyDescent="0.25">
      <c r="A215" s="26">
        <v>11.5</v>
      </c>
    </row>
    <row r="216" spans="1:1" x14ac:dyDescent="0.25">
      <c r="A216" s="26">
        <v>9</v>
      </c>
    </row>
    <row r="217" spans="1:1" x14ac:dyDescent="0.25">
      <c r="A217" s="26">
        <v>11.5</v>
      </c>
    </row>
    <row r="218" spans="1:1" x14ac:dyDescent="0.25">
      <c r="A218" s="26">
        <v>10.5</v>
      </c>
    </row>
    <row r="219" spans="1:1" x14ac:dyDescent="0.25">
      <c r="A219" s="26">
        <v>9.5</v>
      </c>
    </row>
    <row r="220" spans="1:1" x14ac:dyDescent="0.25">
      <c r="A220" s="26">
        <v>9.5</v>
      </c>
    </row>
    <row r="221" spans="1:1" x14ac:dyDescent="0.25">
      <c r="A221" s="26">
        <v>8.5</v>
      </c>
    </row>
    <row r="222" spans="1:1" x14ac:dyDescent="0.25">
      <c r="A222" s="26">
        <v>10</v>
      </c>
    </row>
    <row r="223" spans="1:1" x14ac:dyDescent="0.25">
      <c r="A223" s="26">
        <v>7.5</v>
      </c>
    </row>
    <row r="224" spans="1:1" x14ac:dyDescent="0.25">
      <c r="A224" s="26">
        <v>11</v>
      </c>
    </row>
    <row r="225" spans="1:1" x14ac:dyDescent="0.25">
      <c r="A225" s="26">
        <v>9.5</v>
      </c>
    </row>
    <row r="226" spans="1:1" x14ac:dyDescent="0.25">
      <c r="A226" s="26">
        <v>11</v>
      </c>
    </row>
    <row r="227" spans="1:1" x14ac:dyDescent="0.25">
      <c r="A227" s="26">
        <v>11.5</v>
      </c>
    </row>
    <row r="228" spans="1:1" x14ac:dyDescent="0.25">
      <c r="A228" s="26">
        <v>10.5</v>
      </c>
    </row>
    <row r="229" spans="1:1" x14ac:dyDescent="0.25">
      <c r="A229" s="26">
        <v>7.5</v>
      </c>
    </row>
    <row r="230" spans="1:1" x14ac:dyDescent="0.25">
      <c r="A230" s="26">
        <v>12</v>
      </c>
    </row>
    <row r="231" spans="1:1" x14ac:dyDescent="0.25">
      <c r="A231" s="26">
        <v>8.5</v>
      </c>
    </row>
    <row r="232" spans="1:1" x14ac:dyDescent="0.25">
      <c r="A232" s="26">
        <v>8</v>
      </c>
    </row>
    <row r="233" spans="1:1" x14ac:dyDescent="0.25">
      <c r="A233" s="26">
        <v>10.5</v>
      </c>
    </row>
    <row r="234" spans="1:1" x14ac:dyDescent="0.25">
      <c r="A234" s="26">
        <v>10</v>
      </c>
    </row>
    <row r="235" spans="1:1" x14ac:dyDescent="0.25">
      <c r="A235" s="26">
        <v>12</v>
      </c>
    </row>
    <row r="236" spans="1:1" x14ac:dyDescent="0.25">
      <c r="A236" s="26">
        <v>7.5</v>
      </c>
    </row>
    <row r="237" spans="1:1" x14ac:dyDescent="0.25">
      <c r="A237" s="26">
        <v>8</v>
      </c>
    </row>
    <row r="238" spans="1:1" x14ac:dyDescent="0.25">
      <c r="A238" s="26">
        <v>9.5</v>
      </c>
    </row>
    <row r="239" spans="1:1" x14ac:dyDescent="0.25">
      <c r="A239" s="26">
        <v>13.5</v>
      </c>
    </row>
    <row r="240" spans="1:1" x14ac:dyDescent="0.25">
      <c r="A240" s="26">
        <v>11</v>
      </c>
    </row>
    <row r="241" spans="1:1" x14ac:dyDescent="0.25">
      <c r="A241" s="26">
        <v>8.5</v>
      </c>
    </row>
    <row r="242" spans="1:1" x14ac:dyDescent="0.25">
      <c r="A242" s="26">
        <v>9</v>
      </c>
    </row>
    <row r="243" spans="1:1" x14ac:dyDescent="0.25">
      <c r="A243" s="26">
        <v>12</v>
      </c>
    </row>
    <row r="244" spans="1:1" x14ac:dyDescent="0.25">
      <c r="A244" s="26">
        <v>11</v>
      </c>
    </row>
    <row r="245" spans="1:1" x14ac:dyDescent="0.25">
      <c r="A245" s="26">
        <v>8</v>
      </c>
    </row>
    <row r="246" spans="1:1" x14ac:dyDescent="0.25">
      <c r="A246" s="26">
        <v>12</v>
      </c>
    </row>
    <row r="247" spans="1:1" x14ac:dyDescent="0.25">
      <c r="A247" s="26">
        <v>9</v>
      </c>
    </row>
    <row r="248" spans="1:1" x14ac:dyDescent="0.25">
      <c r="A248" s="26">
        <v>7.5</v>
      </c>
    </row>
    <row r="249" spans="1:1" x14ac:dyDescent="0.25">
      <c r="A249" s="26">
        <v>11.5</v>
      </c>
    </row>
    <row r="250" spans="1:1" x14ac:dyDescent="0.25">
      <c r="A250" s="26">
        <v>8.5</v>
      </c>
    </row>
    <row r="251" spans="1:1" x14ac:dyDescent="0.25">
      <c r="A251" s="26">
        <v>12</v>
      </c>
    </row>
    <row r="252" spans="1:1" x14ac:dyDescent="0.25">
      <c r="A252" s="26">
        <v>8.5</v>
      </c>
    </row>
    <row r="253" spans="1:1" x14ac:dyDescent="0.25">
      <c r="A253" s="26">
        <v>7</v>
      </c>
    </row>
    <row r="254" spans="1:1" x14ac:dyDescent="0.25">
      <c r="A254" s="26">
        <v>9</v>
      </c>
    </row>
    <row r="255" spans="1:1" x14ac:dyDescent="0.25">
      <c r="A255" s="26">
        <v>8.5</v>
      </c>
    </row>
    <row r="256" spans="1:1" x14ac:dyDescent="0.25">
      <c r="A256" s="26">
        <v>11</v>
      </c>
    </row>
    <row r="257" spans="1:1" x14ac:dyDescent="0.25">
      <c r="A257" s="26">
        <v>8.5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"/>
  <sheetViews>
    <sheetView workbookViewId="0"/>
  </sheetViews>
  <sheetFormatPr defaultColWidth="9.1796875" defaultRowHeight="12.5" x14ac:dyDescent="0.25"/>
  <cols>
    <col min="1" max="1" width="9" customWidth="1"/>
    <col min="2" max="2" width="8.7265625" customWidth="1"/>
    <col min="3" max="3" width="6.81640625" customWidth="1"/>
    <col min="4" max="4" width="21.1796875" customWidth="1"/>
    <col min="5" max="5" width="9.26953125" customWidth="1"/>
    <col min="6" max="6" width="3.1796875" customWidth="1"/>
  </cols>
  <sheetData>
    <row r="1" spans="1:10" ht="13.5" thickBot="1" x14ac:dyDescent="0.35">
      <c r="A1" s="2" t="s">
        <v>97</v>
      </c>
    </row>
    <row r="2" spans="1:10" ht="13" x14ac:dyDescent="0.3">
      <c r="D2" s="5"/>
      <c r="E2" s="5" t="s">
        <v>98</v>
      </c>
      <c r="G2" s="5" t="s">
        <v>99</v>
      </c>
    </row>
    <row r="3" spans="1:10" s="2" customFormat="1" ht="13" x14ac:dyDescent="0.3">
      <c r="A3" s="2" t="s">
        <v>100</v>
      </c>
      <c r="D3" s="7" t="s">
        <v>20</v>
      </c>
      <c r="E3" s="7">
        <v>2.5</v>
      </c>
      <c r="F3"/>
      <c r="G3" s="7">
        <v>2.5</v>
      </c>
    </row>
    <row r="4" spans="1:10" x14ac:dyDescent="0.25">
      <c r="A4" s="27" t="s">
        <v>98</v>
      </c>
      <c r="B4" s="27" t="s">
        <v>99</v>
      </c>
      <c r="D4" s="7" t="s">
        <v>22</v>
      </c>
      <c r="E4" s="28">
        <v>9.1287092917529417E-3</v>
      </c>
      <c r="G4" s="28">
        <v>2.738612787525594E-2</v>
      </c>
    </row>
    <row r="5" spans="1:10" x14ac:dyDescent="0.25">
      <c r="A5" s="29">
        <v>2.5</v>
      </c>
      <c r="B5" s="29">
        <v>2.4</v>
      </c>
      <c r="D5" s="7" t="s">
        <v>24</v>
      </c>
      <c r="E5" s="7">
        <v>2.5</v>
      </c>
      <c r="G5" s="7">
        <v>2.5</v>
      </c>
      <c r="I5" s="29"/>
      <c r="J5" s="20"/>
    </row>
    <row r="6" spans="1:10" x14ac:dyDescent="0.25">
      <c r="A6" s="29">
        <v>2.4500000000000002</v>
      </c>
      <c r="B6" s="29">
        <v>2.625</v>
      </c>
      <c r="D6" s="7" t="s">
        <v>26</v>
      </c>
      <c r="E6" s="7">
        <v>2.5</v>
      </c>
      <c r="G6" s="7">
        <v>2.5</v>
      </c>
      <c r="I6" s="29"/>
      <c r="J6" s="20"/>
    </row>
    <row r="7" spans="1:10" x14ac:dyDescent="0.25">
      <c r="A7" s="29">
        <v>2.5499999999999998</v>
      </c>
      <c r="B7" s="29">
        <v>2.5</v>
      </c>
      <c r="D7" s="7" t="s">
        <v>28</v>
      </c>
      <c r="E7" s="28">
        <v>2.8867513459481835E-2</v>
      </c>
      <c r="G7" s="28">
        <v>8.6602540378436385E-2</v>
      </c>
      <c r="I7" s="29"/>
      <c r="J7" s="20"/>
    </row>
    <row r="8" spans="1:10" x14ac:dyDescent="0.25">
      <c r="A8" s="29">
        <v>2.5249999999999999</v>
      </c>
      <c r="B8" s="29">
        <v>2.4249999999999998</v>
      </c>
      <c r="D8" s="7" t="s">
        <v>29</v>
      </c>
      <c r="E8" s="28">
        <v>8.3333333333336494E-4</v>
      </c>
      <c r="G8" s="28">
        <v>7.4999999999987056E-3</v>
      </c>
      <c r="I8" s="29"/>
      <c r="J8" s="20"/>
    </row>
    <row r="9" spans="1:10" x14ac:dyDescent="0.25">
      <c r="A9" s="29">
        <v>2.5</v>
      </c>
      <c r="B9" s="29">
        <v>2.5</v>
      </c>
      <c r="D9" s="7" t="s">
        <v>30</v>
      </c>
      <c r="E9" s="28">
        <f>3+0.0803571428571441</f>
        <v>3.0803571428571441</v>
      </c>
      <c r="G9" s="28">
        <f>3-1.37466931216931</f>
        <v>1.6253306878306899</v>
      </c>
      <c r="I9" s="29"/>
      <c r="J9" s="20"/>
    </row>
    <row r="10" spans="1:10" x14ac:dyDescent="0.25">
      <c r="A10" s="29">
        <v>2.4750000000000001</v>
      </c>
      <c r="B10" s="29">
        <v>2.5750000000000002</v>
      </c>
      <c r="D10" s="7" t="s">
        <v>31</v>
      </c>
      <c r="E10" s="7">
        <v>0</v>
      </c>
      <c r="G10" s="7">
        <v>0</v>
      </c>
      <c r="I10" s="29"/>
      <c r="J10" s="20"/>
    </row>
    <row r="11" spans="1:10" x14ac:dyDescent="0.25">
      <c r="A11" s="29">
        <v>2.4750000000000001</v>
      </c>
      <c r="B11" s="29">
        <v>2.4500000000000002</v>
      </c>
      <c r="D11" s="7" t="s">
        <v>32</v>
      </c>
      <c r="E11" s="7">
        <v>9.9999999999999645E-2</v>
      </c>
      <c r="G11" s="7">
        <v>0.25</v>
      </c>
      <c r="I11" s="29"/>
      <c r="J11" s="20"/>
    </row>
    <row r="12" spans="1:10" x14ac:dyDescent="0.25">
      <c r="A12" s="29">
        <v>2.5</v>
      </c>
      <c r="B12" s="29">
        <v>2.5499999999999998</v>
      </c>
      <c r="D12" s="7" t="s">
        <v>34</v>
      </c>
      <c r="E12" s="7">
        <v>2.4500000000000002</v>
      </c>
      <c r="G12" s="7">
        <v>2.375</v>
      </c>
      <c r="I12" s="29"/>
      <c r="J12" s="20"/>
    </row>
    <row r="13" spans="1:10" x14ac:dyDescent="0.25">
      <c r="A13" s="29">
        <v>2.5249999999999999</v>
      </c>
      <c r="B13" s="29">
        <v>2.375</v>
      </c>
      <c r="D13" s="7" t="s">
        <v>36</v>
      </c>
      <c r="E13" s="7">
        <v>2.5499999999999998</v>
      </c>
      <c r="G13" s="7">
        <v>2.625</v>
      </c>
      <c r="I13" s="29"/>
      <c r="J13" s="20"/>
    </row>
    <row r="14" spans="1:10" x14ac:dyDescent="0.25">
      <c r="A14" s="29">
        <v>2.5</v>
      </c>
      <c r="B14" s="29">
        <v>2.6</v>
      </c>
      <c r="D14" s="7" t="s">
        <v>37</v>
      </c>
      <c r="E14" s="7">
        <v>25</v>
      </c>
      <c r="G14" s="7">
        <v>25</v>
      </c>
      <c r="I14" s="29"/>
      <c r="J14" s="20"/>
    </row>
    <row r="15" spans="1:10" ht="13" thickBot="1" x14ac:dyDescent="0.3">
      <c r="D15" s="11" t="s">
        <v>38</v>
      </c>
      <c r="E15" s="11">
        <v>10</v>
      </c>
      <c r="G15" s="11">
        <v>10</v>
      </c>
      <c r="J15" s="20"/>
    </row>
    <row r="16" spans="1:10" x14ac:dyDescent="0.25">
      <c r="G16" s="20"/>
    </row>
  </sheetData>
  <printOptions headings="1" gridLines="1"/>
  <pageMargins left="0.78740157499999996" right="0.78740157499999996" top="0.984251969" bottom="0.984251969" header="0.5" footer="0.5"/>
  <pageSetup orientation="landscape" horizontalDpi="300" verticalDpi="300" r:id="rId1"/>
  <headerFooter alignWithMargins="0">
    <oddFooter>&amp;CDiameters from two suppliers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135"/>
  <sheetViews>
    <sheetView workbookViewId="0"/>
  </sheetViews>
  <sheetFormatPr defaultColWidth="9.1796875" defaultRowHeight="12.5" x14ac:dyDescent="0.25"/>
  <cols>
    <col min="1" max="1" width="10.81640625" customWidth="1"/>
    <col min="2" max="2" width="11.453125" customWidth="1"/>
    <col min="3" max="3" width="9.7265625" customWidth="1"/>
    <col min="4" max="4" width="6.453125" customWidth="1"/>
    <col min="5" max="5" width="11.26953125" customWidth="1"/>
    <col min="6" max="6" width="10.26953125" customWidth="1"/>
    <col min="8" max="8" width="11.1796875" customWidth="1"/>
  </cols>
  <sheetData>
    <row r="1" spans="1:9" ht="13" x14ac:dyDescent="0.3">
      <c r="A1" s="2" t="s">
        <v>101</v>
      </c>
      <c r="E1" s="20"/>
      <c r="F1" s="20"/>
    </row>
    <row r="3" spans="1:9" ht="13" thickBot="1" x14ac:dyDescent="0.3">
      <c r="A3" s="3" t="s">
        <v>102</v>
      </c>
      <c r="B3" s="25" t="s">
        <v>103</v>
      </c>
      <c r="C3" s="25" t="s">
        <v>104</v>
      </c>
      <c r="E3" s="30"/>
      <c r="F3" s="30"/>
      <c r="G3" s="30"/>
      <c r="H3" s="30"/>
      <c r="I3" s="30"/>
    </row>
    <row r="4" spans="1:9" ht="27.75" customHeight="1" x14ac:dyDescent="0.3">
      <c r="A4">
        <v>1986.01</v>
      </c>
      <c r="B4" s="14">
        <v>1387.12</v>
      </c>
      <c r="C4" s="26" t="s">
        <v>105</v>
      </c>
      <c r="E4" s="31" t="s">
        <v>106</v>
      </c>
      <c r="F4" s="31" t="s">
        <v>107</v>
      </c>
      <c r="G4" s="32" t="s">
        <v>108</v>
      </c>
      <c r="H4" s="33" t="s">
        <v>109</v>
      </c>
      <c r="I4" s="34" t="s">
        <v>110</v>
      </c>
    </row>
    <row r="5" spans="1:9" ht="12.75" customHeight="1" x14ac:dyDescent="0.25">
      <c r="A5">
        <v>1986.02</v>
      </c>
      <c r="B5" s="14">
        <v>1357.34</v>
      </c>
      <c r="C5" s="35">
        <f t="shared" ref="C5:C68" si="0">100*(LN(B5)-LN(B4))</f>
        <v>-2.1702753094873906</v>
      </c>
      <c r="E5" s="36">
        <v>-25</v>
      </c>
      <c r="F5" s="7">
        <v>0</v>
      </c>
      <c r="G5" s="37">
        <f>F5/SUM($F$5:$F$26)</f>
        <v>0</v>
      </c>
      <c r="H5" s="37">
        <f>NORMDIST(E5,AVERAGE($C$5:$C$135),STDEV($C$5:$C$135),1)</f>
        <v>5.7919361890179709E-6</v>
      </c>
      <c r="I5" s="37">
        <f>H5</f>
        <v>5.7919361890179709E-6</v>
      </c>
    </row>
    <row r="6" spans="1:9" x14ac:dyDescent="0.25">
      <c r="A6">
        <v>1986.03</v>
      </c>
      <c r="B6" s="14">
        <v>1481.63</v>
      </c>
      <c r="C6" s="35">
        <f t="shared" si="0"/>
        <v>8.7615930925506014</v>
      </c>
      <c r="E6" s="36">
        <v>-22.5</v>
      </c>
      <c r="F6" s="7">
        <v>1</v>
      </c>
      <c r="G6" s="37">
        <f t="shared" ref="G6:G26" si="1">F6/SUM($F$5:$F$26)</f>
        <v>7.6335877862595417E-3</v>
      </c>
      <c r="H6" s="37">
        <f t="shared" ref="H6:H25" si="2">NORMDIST(E6,AVERAGE($C$5:$C$135),STDEV($C$5:$C$135),1)</f>
        <v>3.8050862253847393E-5</v>
      </c>
      <c r="I6" s="37">
        <f t="shared" ref="I6:I26" si="3">H6-H5</f>
        <v>3.2258926064829423E-5</v>
      </c>
    </row>
    <row r="7" spans="1:9" x14ac:dyDescent="0.25">
      <c r="A7">
        <v>1986.04</v>
      </c>
      <c r="B7" s="14">
        <v>1507.32</v>
      </c>
      <c r="C7" s="35">
        <f t="shared" si="0"/>
        <v>1.7190406420112936</v>
      </c>
      <c r="E7" s="36">
        <v>-20</v>
      </c>
      <c r="F7" s="7">
        <v>0</v>
      </c>
      <c r="G7" s="37">
        <f t="shared" si="1"/>
        <v>0</v>
      </c>
      <c r="H7" s="37">
        <f t="shared" si="2"/>
        <v>2.0980270948130705E-4</v>
      </c>
      <c r="I7" s="37">
        <f t="shared" si="3"/>
        <v>1.7175184722745965E-4</v>
      </c>
    </row>
    <row r="8" spans="1:9" x14ac:dyDescent="0.25">
      <c r="A8">
        <v>1986.05</v>
      </c>
      <c r="B8" s="14">
        <v>1380.47</v>
      </c>
      <c r="C8" s="35">
        <f t="shared" si="0"/>
        <v>-8.7909218609871331</v>
      </c>
      <c r="E8" s="36">
        <v>-17.5</v>
      </c>
      <c r="F8" s="7">
        <v>1</v>
      </c>
      <c r="G8" s="37">
        <f t="shared" si="1"/>
        <v>7.6335877862595417E-3</v>
      </c>
      <c r="H8" s="37">
        <f t="shared" si="2"/>
        <v>9.7246331742921401E-4</v>
      </c>
      <c r="I8" s="37">
        <f t="shared" si="3"/>
        <v>7.6266060794790693E-4</v>
      </c>
    </row>
    <row r="9" spans="1:9" x14ac:dyDescent="0.25">
      <c r="A9">
        <v>1986.06</v>
      </c>
      <c r="B9" s="14">
        <v>1357.45</v>
      </c>
      <c r="C9" s="35">
        <f t="shared" si="0"/>
        <v>-1.6816081160053287</v>
      </c>
      <c r="E9" s="36">
        <v>-15</v>
      </c>
      <c r="F9" s="7">
        <v>1</v>
      </c>
      <c r="G9" s="37">
        <f t="shared" si="1"/>
        <v>7.6335877862595417E-3</v>
      </c>
      <c r="H9" s="37">
        <f t="shared" si="2"/>
        <v>3.7971331086831088E-3</v>
      </c>
      <c r="I9" s="37">
        <f t="shared" si="3"/>
        <v>2.824669791253895E-3</v>
      </c>
    </row>
    <row r="10" spans="1:9" x14ac:dyDescent="0.25">
      <c r="A10">
        <v>1986.07</v>
      </c>
      <c r="B10" s="14">
        <v>1288.5999999999999</v>
      </c>
      <c r="C10" s="35">
        <f t="shared" si="0"/>
        <v>-5.2051582012695441</v>
      </c>
      <c r="E10" s="36">
        <v>-12.5</v>
      </c>
      <c r="F10" s="7">
        <v>1</v>
      </c>
      <c r="G10" s="37">
        <f t="shared" si="1"/>
        <v>7.6335877862595417E-3</v>
      </c>
      <c r="H10" s="37">
        <f t="shared" si="2"/>
        <v>1.2523554417849844E-2</v>
      </c>
      <c r="I10" s="37">
        <f t="shared" si="3"/>
        <v>8.7264213091667354E-3</v>
      </c>
    </row>
    <row r="11" spans="1:9" x14ac:dyDescent="0.25">
      <c r="A11">
        <v>1986.08</v>
      </c>
      <c r="B11" s="14">
        <v>1497.5</v>
      </c>
      <c r="C11" s="35">
        <f t="shared" si="0"/>
        <v>15.02406932850624</v>
      </c>
      <c r="E11" s="36">
        <v>-10</v>
      </c>
      <c r="F11" s="7">
        <v>1</v>
      </c>
      <c r="G11" s="37">
        <f t="shared" si="1"/>
        <v>7.6335877862595417E-3</v>
      </c>
      <c r="H11" s="37">
        <f t="shared" si="2"/>
        <v>3.5012011551297149E-2</v>
      </c>
      <c r="I11" s="37">
        <f t="shared" si="3"/>
        <v>2.2488457133447305E-2</v>
      </c>
    </row>
    <row r="12" spans="1:9" x14ac:dyDescent="0.25">
      <c r="A12">
        <v>1986.09</v>
      </c>
      <c r="B12" s="14">
        <v>1408.02</v>
      </c>
      <c r="C12" s="35">
        <f t="shared" si="0"/>
        <v>-6.1612588827046011</v>
      </c>
      <c r="E12" s="36">
        <v>-7.5</v>
      </c>
      <c r="F12" s="7">
        <v>5</v>
      </c>
      <c r="G12" s="37">
        <f t="shared" si="1"/>
        <v>3.8167938931297711E-2</v>
      </c>
      <c r="H12" s="37">
        <f t="shared" si="2"/>
        <v>8.3357717850362681E-2</v>
      </c>
      <c r="I12" s="37">
        <f t="shared" si="3"/>
        <v>4.8345706299065531E-2</v>
      </c>
    </row>
    <row r="13" spans="1:9" x14ac:dyDescent="0.25">
      <c r="A13">
        <v>1986.1</v>
      </c>
      <c r="B13" s="14">
        <v>1426.32</v>
      </c>
      <c r="C13" s="35">
        <f t="shared" si="0"/>
        <v>1.291323856395632</v>
      </c>
      <c r="E13" s="36">
        <v>-5</v>
      </c>
      <c r="F13" s="7">
        <v>5</v>
      </c>
      <c r="G13" s="37">
        <f t="shared" si="1"/>
        <v>3.8167938931297711E-2</v>
      </c>
      <c r="H13" s="37">
        <f t="shared" si="2"/>
        <v>0.17006334973165135</v>
      </c>
      <c r="I13" s="37">
        <f t="shared" si="3"/>
        <v>8.6705631881288672E-2</v>
      </c>
    </row>
    <row r="14" spans="1:9" x14ac:dyDescent="0.25">
      <c r="A14">
        <v>1986.11</v>
      </c>
      <c r="B14" s="14">
        <v>1466.28</v>
      </c>
      <c r="C14" s="35">
        <f t="shared" si="0"/>
        <v>2.763088038991679</v>
      </c>
      <c r="E14" s="36">
        <v>-2.5</v>
      </c>
      <c r="F14" s="7">
        <v>13</v>
      </c>
      <c r="G14" s="37">
        <f t="shared" si="1"/>
        <v>9.9236641221374045E-2</v>
      </c>
      <c r="H14" s="37">
        <f t="shared" si="2"/>
        <v>0.29979340645356356</v>
      </c>
      <c r="I14" s="37">
        <f t="shared" si="3"/>
        <v>0.12973005672191221</v>
      </c>
    </row>
    <row r="15" spans="1:9" x14ac:dyDescent="0.25">
      <c r="A15">
        <v>1986.12</v>
      </c>
      <c r="B15" s="14">
        <v>1432.25</v>
      </c>
      <c r="C15" s="35">
        <f t="shared" si="0"/>
        <v>-2.3481946827744515</v>
      </c>
      <c r="E15" s="36">
        <v>0</v>
      </c>
      <c r="F15" s="7">
        <v>24</v>
      </c>
      <c r="G15" s="37">
        <f t="shared" si="1"/>
        <v>0.18320610687022901</v>
      </c>
      <c r="H15" s="37">
        <f t="shared" si="2"/>
        <v>0.46173064712311396</v>
      </c>
      <c r="I15" s="37">
        <f t="shared" si="3"/>
        <v>0.1619372406695504</v>
      </c>
    </row>
    <row r="16" spans="1:9" x14ac:dyDescent="0.25">
      <c r="A16">
        <v>1987.01</v>
      </c>
      <c r="B16" s="14">
        <v>1294.45</v>
      </c>
      <c r="C16" s="35">
        <f t="shared" si="0"/>
        <v>-10.11607397947758</v>
      </c>
      <c r="E16" s="36">
        <v>2.5</v>
      </c>
      <c r="F16" s="7">
        <v>29</v>
      </c>
      <c r="G16" s="37">
        <f t="shared" si="1"/>
        <v>0.22137404580152673</v>
      </c>
      <c r="H16" s="37">
        <f t="shared" si="2"/>
        <v>0.63037455012460075</v>
      </c>
      <c r="I16" s="37">
        <f t="shared" si="3"/>
        <v>0.16864390300148679</v>
      </c>
    </row>
    <row r="17" spans="1:9" x14ac:dyDescent="0.25">
      <c r="A17">
        <v>1987.02</v>
      </c>
      <c r="B17" s="14">
        <v>1244.3599999999999</v>
      </c>
      <c r="C17" s="35">
        <f t="shared" si="0"/>
        <v>-3.9464552992201973</v>
      </c>
      <c r="E17" s="36">
        <v>5</v>
      </c>
      <c r="F17" s="7">
        <v>25</v>
      </c>
      <c r="G17" s="37">
        <f t="shared" si="1"/>
        <v>0.19083969465648856</v>
      </c>
      <c r="H17" s="37">
        <f t="shared" si="2"/>
        <v>0.77690006231344533</v>
      </c>
      <c r="I17" s="37">
        <f t="shared" si="3"/>
        <v>0.14652551218884458</v>
      </c>
    </row>
    <row r="18" spans="1:9" x14ac:dyDescent="0.25">
      <c r="A18">
        <v>1987.03</v>
      </c>
      <c r="B18" s="14">
        <v>1301.71</v>
      </c>
      <c r="C18" s="35">
        <f t="shared" si="0"/>
        <v>4.5057443202854763</v>
      </c>
      <c r="E18" s="36">
        <v>7.5</v>
      </c>
      <c r="F18" s="7">
        <v>14</v>
      </c>
      <c r="G18" s="37">
        <f t="shared" si="1"/>
        <v>0.10687022900763359</v>
      </c>
      <c r="H18" s="37">
        <f t="shared" si="2"/>
        <v>0.88311152634380208</v>
      </c>
      <c r="I18" s="37">
        <f t="shared" si="3"/>
        <v>0.10621146403035675</v>
      </c>
    </row>
    <row r="19" spans="1:9" x14ac:dyDescent="0.25">
      <c r="A19">
        <v>1987.04</v>
      </c>
      <c r="B19" s="14">
        <v>1308.1400000000001</v>
      </c>
      <c r="C19" s="35">
        <f t="shared" si="0"/>
        <v>0.4927496224032879</v>
      </c>
      <c r="E19" s="36">
        <v>10</v>
      </c>
      <c r="F19" s="7">
        <v>8</v>
      </c>
      <c r="G19" s="37">
        <f t="shared" si="1"/>
        <v>6.1068702290076333E-2</v>
      </c>
      <c r="H19" s="37">
        <f t="shared" si="2"/>
        <v>0.94734152685919526</v>
      </c>
      <c r="I19" s="37">
        <f t="shared" si="3"/>
        <v>6.4230000515393182E-2</v>
      </c>
    </row>
    <row r="20" spans="1:9" x14ac:dyDescent="0.25">
      <c r="A20">
        <v>1987.05</v>
      </c>
      <c r="B20" s="14">
        <v>1316.43</v>
      </c>
      <c r="C20" s="35">
        <f t="shared" si="0"/>
        <v>0.63172463066196727</v>
      </c>
      <c r="E20" s="36">
        <v>12.5</v>
      </c>
      <c r="F20" s="7">
        <v>0</v>
      </c>
      <c r="G20" s="37">
        <f t="shared" si="1"/>
        <v>0</v>
      </c>
      <c r="H20" s="37">
        <f t="shared" si="2"/>
        <v>0.97974576240556221</v>
      </c>
      <c r="I20" s="37">
        <f t="shared" si="3"/>
        <v>3.2404235546366955E-2</v>
      </c>
    </row>
    <row r="21" spans="1:9" x14ac:dyDescent="0.25">
      <c r="A21">
        <v>1987.06</v>
      </c>
      <c r="B21" s="14">
        <v>1382.56</v>
      </c>
      <c r="C21" s="35">
        <f t="shared" si="0"/>
        <v>4.9013325857872658</v>
      </c>
      <c r="E21" s="36">
        <v>15</v>
      </c>
      <c r="F21" s="7">
        <v>2</v>
      </c>
      <c r="G21" s="37">
        <f t="shared" si="1"/>
        <v>1.5267175572519083E-2</v>
      </c>
      <c r="H21" s="37">
        <f t="shared" si="2"/>
        <v>0.99338368353769879</v>
      </c>
      <c r="I21" s="37">
        <f t="shared" si="3"/>
        <v>1.3637921132136577E-2</v>
      </c>
    </row>
    <row r="22" spans="1:9" x14ac:dyDescent="0.25">
      <c r="A22">
        <v>1987.07</v>
      </c>
      <c r="B22" s="14">
        <v>1510.54</v>
      </c>
      <c r="C22" s="35">
        <f t="shared" si="0"/>
        <v>8.8530349680597809</v>
      </c>
      <c r="E22" s="36">
        <v>17.5</v>
      </c>
      <c r="F22" s="7">
        <v>1</v>
      </c>
      <c r="G22" s="37">
        <f t="shared" si="1"/>
        <v>7.6335877862595417E-3</v>
      </c>
      <c r="H22" s="37">
        <f t="shared" si="2"/>
        <v>0.99817173511663615</v>
      </c>
      <c r="I22" s="37">
        <f t="shared" si="3"/>
        <v>4.7880515789373579E-3</v>
      </c>
    </row>
    <row r="23" spans="1:9" x14ac:dyDescent="0.25">
      <c r="A23">
        <v>1987.08</v>
      </c>
      <c r="B23" s="14">
        <v>1537.81</v>
      </c>
      <c r="C23" s="35">
        <f t="shared" si="0"/>
        <v>1.7892123599453136</v>
      </c>
      <c r="E23" s="36">
        <v>20</v>
      </c>
      <c r="F23" s="7">
        <v>0</v>
      </c>
      <c r="G23" s="37">
        <f t="shared" si="1"/>
        <v>0</v>
      </c>
      <c r="H23" s="37">
        <f t="shared" si="2"/>
        <v>0.99957394232834895</v>
      </c>
      <c r="I23" s="37">
        <f t="shared" si="3"/>
        <v>1.4022072117128026E-3</v>
      </c>
    </row>
    <row r="24" spans="1:9" x14ac:dyDescent="0.25">
      <c r="A24">
        <v>1987.09</v>
      </c>
      <c r="B24" s="14">
        <v>1500.17</v>
      </c>
      <c r="C24" s="35">
        <f t="shared" si="0"/>
        <v>-2.4780891371242397</v>
      </c>
      <c r="E24" s="36">
        <v>22.5</v>
      </c>
      <c r="F24" s="7">
        <v>0</v>
      </c>
      <c r="G24" s="37">
        <f t="shared" si="1"/>
        <v>0</v>
      </c>
      <c r="H24" s="37">
        <f t="shared" si="2"/>
        <v>0.99991646068906537</v>
      </c>
      <c r="I24" s="37">
        <f t="shared" si="3"/>
        <v>3.4251836071641506E-4</v>
      </c>
    </row>
    <row r="25" spans="1:9" x14ac:dyDescent="0.25">
      <c r="A25">
        <v>1987.1</v>
      </c>
      <c r="B25" s="14">
        <v>1177.3800000000001</v>
      </c>
      <c r="C25" s="35">
        <f t="shared" si="0"/>
        <v>-24.228680413261117</v>
      </c>
      <c r="E25" s="36">
        <v>25</v>
      </c>
      <c r="F25" s="7">
        <v>0</v>
      </c>
      <c r="G25" s="37">
        <f t="shared" si="1"/>
        <v>0</v>
      </c>
      <c r="H25" s="37">
        <f t="shared" si="2"/>
        <v>0.99998624322758478</v>
      </c>
      <c r="I25" s="37">
        <f t="shared" si="3"/>
        <v>6.9782538519413961E-5</v>
      </c>
    </row>
    <row r="26" spans="1:9" ht="13" thickBot="1" x14ac:dyDescent="0.3">
      <c r="A26">
        <v>1987.11</v>
      </c>
      <c r="B26" s="14">
        <v>1022.84</v>
      </c>
      <c r="C26" s="35">
        <f t="shared" si="0"/>
        <v>-14.070855888689149</v>
      </c>
      <c r="E26" s="11" t="s">
        <v>111</v>
      </c>
      <c r="F26" s="11">
        <v>0</v>
      </c>
      <c r="G26" s="38">
        <f t="shared" si="1"/>
        <v>0</v>
      </c>
      <c r="H26" s="38">
        <v>1</v>
      </c>
      <c r="I26" s="38">
        <f t="shared" si="3"/>
        <v>1.3756772415218776E-5</v>
      </c>
    </row>
    <row r="27" spans="1:9" x14ac:dyDescent="0.25">
      <c r="A27">
        <v>1987.12</v>
      </c>
      <c r="B27" s="14">
        <v>1000</v>
      </c>
      <c r="C27" s="35">
        <f t="shared" si="0"/>
        <v>-2.258307200025822</v>
      </c>
      <c r="I27" s="39"/>
    </row>
    <row r="28" spans="1:9" x14ac:dyDescent="0.25">
      <c r="A28">
        <v>1988.01</v>
      </c>
      <c r="B28" s="14">
        <v>935.57</v>
      </c>
      <c r="C28" s="35">
        <f t="shared" si="0"/>
        <v>-6.6599309771241622</v>
      </c>
    </row>
    <row r="29" spans="1:9" x14ac:dyDescent="0.25">
      <c r="A29">
        <v>1988.02</v>
      </c>
      <c r="B29" s="14">
        <v>1079.55</v>
      </c>
      <c r="C29" s="35">
        <f t="shared" si="0"/>
        <v>14.314359741102756</v>
      </c>
      <c r="F29" s="15" t="s">
        <v>41</v>
      </c>
      <c r="G29" s="40">
        <v>0.01</v>
      </c>
      <c r="H29" s="40">
        <v>0.05</v>
      </c>
      <c r="I29" s="40">
        <v>0.1</v>
      </c>
    </row>
    <row r="30" spans="1:9" x14ac:dyDescent="0.25">
      <c r="A30">
        <v>1988.03</v>
      </c>
      <c r="B30" s="14">
        <v>1063.17</v>
      </c>
      <c r="C30" s="35">
        <f t="shared" si="0"/>
        <v>-1.528927632527477</v>
      </c>
      <c r="F30" s="3" t="s">
        <v>42</v>
      </c>
      <c r="G30" s="41">
        <f>PERCENTILE($C$5:$C$135,G29)</f>
        <v>-18.869004819682839</v>
      </c>
      <c r="H30" s="41">
        <f>PERCENTILE($C$5:$C$135,H29)</f>
        <v>-8.8605442391479272</v>
      </c>
      <c r="I30" s="41">
        <f>PERCENTILE($C$5:$C$135,I29)</f>
        <v>-5.41003674595677</v>
      </c>
    </row>
    <row r="31" spans="1:9" x14ac:dyDescent="0.25">
      <c r="A31">
        <v>1988.04</v>
      </c>
      <c r="B31" s="14">
        <v>1054.46</v>
      </c>
      <c r="C31" s="35">
        <f t="shared" si="0"/>
        <v>-0.82262237667922733</v>
      </c>
      <c r="F31" s="3" t="s">
        <v>43</v>
      </c>
      <c r="G31" s="42">
        <f>NORMINV(G29,AVERAGE($C$5:$C$135),STDEV($C$5:$C$135))</f>
        <v>-12.999349795822035</v>
      </c>
      <c r="H31" s="42">
        <f>NORMINV(H29,AVERAGE($C$5:$C$135),STDEV($C$5:$C$135))</f>
        <v>-9.027198779687037</v>
      </c>
      <c r="I31" s="42">
        <f>NORMINV(I29,AVERAGE($C$5:$C$135),STDEV($C$5:$C$135))</f>
        <v>-6.9096597710385819</v>
      </c>
    </row>
    <row r="32" spans="1:9" x14ac:dyDescent="0.25">
      <c r="A32">
        <v>1988.05</v>
      </c>
      <c r="B32" s="14">
        <v>1083.31</v>
      </c>
      <c r="C32" s="35">
        <f t="shared" si="0"/>
        <v>2.6992381432322965</v>
      </c>
    </row>
    <row r="33" spans="1:10" x14ac:dyDescent="0.25">
      <c r="A33">
        <v>1988.06</v>
      </c>
      <c r="B33" s="14">
        <v>1140.49</v>
      </c>
      <c r="C33" s="35">
        <f t="shared" si="0"/>
        <v>5.1436825639650685</v>
      </c>
    </row>
    <row r="34" spans="1:10" ht="13" thickBot="1" x14ac:dyDescent="0.3">
      <c r="A34">
        <v>1988.07</v>
      </c>
      <c r="B34" s="14">
        <v>1181.72</v>
      </c>
      <c r="C34" s="35">
        <f t="shared" si="0"/>
        <v>3.5513009669318585</v>
      </c>
      <c r="E34" s="30"/>
      <c r="F34" s="30"/>
      <c r="G34" s="30"/>
      <c r="H34" s="30"/>
      <c r="I34" s="30"/>
      <c r="J34" s="30"/>
    </row>
    <row r="35" spans="1:10" ht="26" x14ac:dyDescent="0.3">
      <c r="A35">
        <v>1988.08</v>
      </c>
      <c r="B35" s="14">
        <v>1165.3599999999999</v>
      </c>
      <c r="C35" s="35">
        <f t="shared" si="0"/>
        <v>-1.3940952130456097</v>
      </c>
      <c r="E35" s="31" t="s">
        <v>106</v>
      </c>
      <c r="F35" s="43" t="s">
        <v>112</v>
      </c>
      <c r="G35" s="43" t="s">
        <v>113</v>
      </c>
      <c r="H35" s="33" t="s">
        <v>109</v>
      </c>
      <c r="I35" s="34" t="s">
        <v>114</v>
      </c>
      <c r="J35" s="44" t="s">
        <v>110</v>
      </c>
    </row>
    <row r="36" spans="1:10" x14ac:dyDescent="0.25">
      <c r="A36">
        <v>1988.09</v>
      </c>
      <c r="B36" s="14">
        <v>1252.69</v>
      </c>
      <c r="C36" s="35">
        <f t="shared" si="0"/>
        <v>7.2263186920348055</v>
      </c>
      <c r="E36" s="36">
        <v>-25</v>
      </c>
      <c r="F36" s="7">
        <f>FREQUENCY($C$5:$C$135,E36)</f>
        <v>0</v>
      </c>
      <c r="G36" s="37">
        <f>F36/SUM($F$5:$F$26)</f>
        <v>0</v>
      </c>
      <c r="H36" s="37">
        <f>NORMDIST(E36,AVERAGE($C$5:$C$135),STDEV($C$5:$C$135),1)</f>
        <v>5.7919361890179709E-6</v>
      </c>
      <c r="I36" s="37">
        <f>G36</f>
        <v>0</v>
      </c>
      <c r="J36" s="37">
        <f>H36</f>
        <v>5.7919361890179709E-6</v>
      </c>
    </row>
    <row r="37" spans="1:10" x14ac:dyDescent="0.25">
      <c r="A37">
        <v>1988.1</v>
      </c>
      <c r="B37" s="14">
        <v>1300.79</v>
      </c>
      <c r="C37" s="35">
        <f t="shared" si="0"/>
        <v>3.7678533126080715</v>
      </c>
      <c r="E37" s="36">
        <v>-22.5</v>
      </c>
      <c r="F37" s="7">
        <f t="shared" ref="F37:F57" si="4">FREQUENCY($C$5:$C$135,E37)</f>
        <v>1</v>
      </c>
      <c r="G37" s="37">
        <f t="shared" ref="G37:G57" si="5">F37/SUM($F$5:$F$26)</f>
        <v>7.6335877862595417E-3</v>
      </c>
      <c r="H37" s="37">
        <f t="shared" ref="H37:H56" si="6">NORMDIST(E37,AVERAGE($C$5:$C$135),STDEV($C$5:$C$135),1)</f>
        <v>3.8050862253847393E-5</v>
      </c>
      <c r="I37" s="37">
        <f>G37-G36</f>
        <v>7.6335877862595417E-3</v>
      </c>
      <c r="J37" s="37">
        <f>H37-H36</f>
        <v>3.2258926064829423E-5</v>
      </c>
    </row>
    <row r="38" spans="1:10" x14ac:dyDescent="0.25">
      <c r="A38">
        <v>1988.11</v>
      </c>
      <c r="B38" s="14">
        <v>1275.99</v>
      </c>
      <c r="C38" s="35">
        <f t="shared" si="0"/>
        <v>-1.9249424303690255</v>
      </c>
      <c r="E38" s="36">
        <v>-20</v>
      </c>
      <c r="F38" s="7">
        <f t="shared" si="4"/>
        <v>1</v>
      </c>
      <c r="G38" s="37">
        <f t="shared" si="5"/>
        <v>7.6335877862595417E-3</v>
      </c>
      <c r="H38" s="37">
        <f t="shared" si="6"/>
        <v>2.0980270948130705E-4</v>
      </c>
      <c r="I38" s="37">
        <f t="shared" ref="I38:J57" si="7">G38-G37</f>
        <v>0</v>
      </c>
      <c r="J38" s="37">
        <f t="shared" si="7"/>
        <v>1.7175184722745965E-4</v>
      </c>
    </row>
    <row r="39" spans="1:10" x14ac:dyDescent="0.25">
      <c r="A39">
        <v>1988.12</v>
      </c>
      <c r="B39" s="14">
        <v>1327.87</v>
      </c>
      <c r="C39" s="35">
        <f t="shared" si="0"/>
        <v>3.985380679499162</v>
      </c>
      <c r="E39" s="36">
        <v>-17.5</v>
      </c>
      <c r="F39" s="7">
        <f t="shared" si="4"/>
        <v>2</v>
      </c>
      <c r="G39" s="37">
        <f t="shared" si="5"/>
        <v>1.5267175572519083E-2</v>
      </c>
      <c r="H39" s="37">
        <f t="shared" si="6"/>
        <v>9.7246331742921401E-4</v>
      </c>
      <c r="I39" s="37">
        <f t="shared" si="7"/>
        <v>7.6335877862595417E-3</v>
      </c>
      <c r="J39" s="37">
        <f t="shared" si="7"/>
        <v>7.6266060794790693E-4</v>
      </c>
    </row>
    <row r="40" spans="1:10" x14ac:dyDescent="0.25">
      <c r="A40">
        <v>1989.01</v>
      </c>
      <c r="B40" s="14">
        <v>1312.73</v>
      </c>
      <c r="C40" s="35">
        <f t="shared" si="0"/>
        <v>-1.1467216469806196</v>
      </c>
      <c r="E40" s="36">
        <v>-15</v>
      </c>
      <c r="F40" s="7">
        <f t="shared" si="4"/>
        <v>3</v>
      </c>
      <c r="G40" s="37">
        <f t="shared" si="5"/>
        <v>2.2900763358778626E-2</v>
      </c>
      <c r="H40" s="37">
        <f t="shared" si="6"/>
        <v>3.7971331086831088E-3</v>
      </c>
      <c r="I40" s="37">
        <f t="shared" si="7"/>
        <v>7.6335877862595426E-3</v>
      </c>
      <c r="J40" s="37">
        <f t="shared" si="7"/>
        <v>2.824669791253895E-3</v>
      </c>
    </row>
    <row r="41" spans="1:10" x14ac:dyDescent="0.25">
      <c r="A41">
        <v>1989.02</v>
      </c>
      <c r="B41" s="14">
        <v>1288.6600000000001</v>
      </c>
      <c r="C41" s="35">
        <f t="shared" si="0"/>
        <v>-1.8506019427572795</v>
      </c>
      <c r="E41" s="36">
        <v>-12.5</v>
      </c>
      <c r="F41" s="7">
        <f t="shared" si="4"/>
        <v>4</v>
      </c>
      <c r="G41" s="37">
        <f t="shared" si="5"/>
        <v>3.0534351145038167E-2</v>
      </c>
      <c r="H41" s="37">
        <f t="shared" si="6"/>
        <v>1.2523554417849844E-2</v>
      </c>
      <c r="I41" s="37">
        <f t="shared" si="7"/>
        <v>7.6335877862595408E-3</v>
      </c>
      <c r="J41" s="37">
        <f t="shared" si="7"/>
        <v>8.7264213091667354E-3</v>
      </c>
    </row>
    <row r="42" spans="1:10" x14ac:dyDescent="0.25">
      <c r="A42">
        <v>1989.03</v>
      </c>
      <c r="B42" s="14">
        <v>1322.66</v>
      </c>
      <c r="C42" s="35">
        <f t="shared" si="0"/>
        <v>2.6041941620327691</v>
      </c>
      <c r="E42" s="36">
        <v>-10</v>
      </c>
      <c r="F42" s="7">
        <f t="shared" si="4"/>
        <v>5</v>
      </c>
      <c r="G42" s="37">
        <f t="shared" si="5"/>
        <v>3.8167938931297711E-2</v>
      </c>
      <c r="H42" s="37">
        <f t="shared" si="6"/>
        <v>3.5012011551297149E-2</v>
      </c>
      <c r="I42" s="37">
        <f t="shared" si="7"/>
        <v>7.6335877862595443E-3</v>
      </c>
      <c r="J42" s="37">
        <f t="shared" si="7"/>
        <v>2.2488457133447305E-2</v>
      </c>
    </row>
    <row r="43" spans="1:10" x14ac:dyDescent="0.25">
      <c r="A43">
        <v>1989.04</v>
      </c>
      <c r="B43" s="14">
        <v>1370.9</v>
      </c>
      <c r="C43" s="35">
        <f t="shared" si="0"/>
        <v>3.5822598040484266</v>
      </c>
      <c r="E43" s="36">
        <v>-7.5</v>
      </c>
      <c r="F43" s="7">
        <f t="shared" si="4"/>
        <v>10</v>
      </c>
      <c r="G43" s="37">
        <f t="shared" si="5"/>
        <v>7.6335877862595422E-2</v>
      </c>
      <c r="H43" s="37">
        <f t="shared" si="6"/>
        <v>8.3357717850362681E-2</v>
      </c>
      <c r="I43" s="37">
        <f t="shared" si="7"/>
        <v>3.8167938931297711E-2</v>
      </c>
      <c r="J43" s="37">
        <f t="shared" si="7"/>
        <v>4.8345706299065531E-2</v>
      </c>
    </row>
    <row r="44" spans="1:10" x14ac:dyDescent="0.25">
      <c r="A44">
        <v>1989.05</v>
      </c>
      <c r="B44" s="14">
        <v>1407.29</v>
      </c>
      <c r="C44" s="35">
        <f t="shared" si="0"/>
        <v>2.6198410729977972</v>
      </c>
      <c r="E44" s="36">
        <v>-5</v>
      </c>
      <c r="F44" s="7">
        <f t="shared" si="4"/>
        <v>15</v>
      </c>
      <c r="G44" s="37">
        <f t="shared" si="5"/>
        <v>0.11450381679389313</v>
      </c>
      <c r="H44" s="37">
        <f t="shared" si="6"/>
        <v>0.17006334973165135</v>
      </c>
      <c r="I44" s="37">
        <f t="shared" si="7"/>
        <v>3.8167938931297704E-2</v>
      </c>
      <c r="J44" s="37">
        <f t="shared" si="7"/>
        <v>8.6705631881288672E-2</v>
      </c>
    </row>
    <row r="45" spans="1:10" x14ac:dyDescent="0.25">
      <c r="A45">
        <v>1989.06</v>
      </c>
      <c r="B45" s="14">
        <v>1473.72</v>
      </c>
      <c r="C45" s="35">
        <f t="shared" si="0"/>
        <v>4.6123947238459806</v>
      </c>
      <c r="E45" s="36">
        <v>-2.5</v>
      </c>
      <c r="F45" s="7">
        <f t="shared" si="4"/>
        <v>28</v>
      </c>
      <c r="G45" s="37">
        <f t="shared" si="5"/>
        <v>0.21374045801526717</v>
      </c>
      <c r="H45" s="37">
        <f t="shared" si="6"/>
        <v>0.29979340645356356</v>
      </c>
      <c r="I45" s="37">
        <f t="shared" si="7"/>
        <v>9.9236641221374045E-2</v>
      </c>
      <c r="J45" s="37">
        <f t="shared" si="7"/>
        <v>0.12973005672191221</v>
      </c>
    </row>
    <row r="46" spans="1:10" x14ac:dyDescent="0.25">
      <c r="A46">
        <v>1989.07</v>
      </c>
      <c r="B46" s="14">
        <v>1554.16</v>
      </c>
      <c r="C46" s="35">
        <f t="shared" si="0"/>
        <v>5.3145390320232799</v>
      </c>
      <c r="E46" s="36">
        <v>0</v>
      </c>
      <c r="F46" s="7">
        <f t="shared" si="4"/>
        <v>52</v>
      </c>
      <c r="G46" s="37">
        <f t="shared" si="5"/>
        <v>0.39694656488549618</v>
      </c>
      <c r="H46" s="37">
        <f t="shared" si="6"/>
        <v>0.46173064712311396</v>
      </c>
      <c r="I46" s="37">
        <f t="shared" si="7"/>
        <v>0.18320610687022901</v>
      </c>
      <c r="J46" s="37">
        <f t="shared" si="7"/>
        <v>0.1619372406695504</v>
      </c>
    </row>
    <row r="47" spans="1:10" x14ac:dyDescent="0.25">
      <c r="A47">
        <v>1989.08</v>
      </c>
      <c r="B47" s="14">
        <v>1597.85</v>
      </c>
      <c r="C47" s="35">
        <f t="shared" si="0"/>
        <v>2.7723768855712372</v>
      </c>
      <c r="E47" s="36">
        <v>2.5</v>
      </c>
      <c r="F47" s="7">
        <f t="shared" si="4"/>
        <v>81</v>
      </c>
      <c r="G47" s="37">
        <f t="shared" si="5"/>
        <v>0.61832061068702293</v>
      </c>
      <c r="H47" s="37">
        <f t="shared" si="6"/>
        <v>0.63037455012460075</v>
      </c>
      <c r="I47" s="37">
        <f t="shared" si="7"/>
        <v>0.22137404580152675</v>
      </c>
      <c r="J47" s="37">
        <f t="shared" si="7"/>
        <v>0.16864390300148679</v>
      </c>
    </row>
    <row r="48" spans="1:10" x14ac:dyDescent="0.25">
      <c r="A48">
        <v>1989.09</v>
      </c>
      <c r="B48" s="14">
        <v>1574.37</v>
      </c>
      <c r="C48" s="35">
        <f t="shared" si="0"/>
        <v>-1.4803783347844046</v>
      </c>
      <c r="E48" s="36">
        <v>5</v>
      </c>
      <c r="F48" s="7">
        <f t="shared" si="4"/>
        <v>106</v>
      </c>
      <c r="G48" s="37">
        <f t="shared" si="5"/>
        <v>0.80916030534351147</v>
      </c>
      <c r="H48" s="37">
        <f t="shared" si="6"/>
        <v>0.77690006231344533</v>
      </c>
      <c r="I48" s="37">
        <f t="shared" si="7"/>
        <v>0.19083969465648853</v>
      </c>
      <c r="J48" s="37">
        <f t="shared" si="7"/>
        <v>0.14652551218884458</v>
      </c>
    </row>
    <row r="49" spans="1:10" x14ac:dyDescent="0.25">
      <c r="A49">
        <v>1989.1</v>
      </c>
      <c r="B49" s="14">
        <v>1472.76</v>
      </c>
      <c r="C49" s="35">
        <f t="shared" si="0"/>
        <v>-6.6717000840976759</v>
      </c>
      <c r="E49" s="36">
        <v>7.5</v>
      </c>
      <c r="F49" s="7">
        <f t="shared" si="4"/>
        <v>120</v>
      </c>
      <c r="G49" s="37">
        <f t="shared" si="5"/>
        <v>0.91603053435114501</v>
      </c>
      <c r="H49" s="37">
        <f t="shared" si="6"/>
        <v>0.88311152634380208</v>
      </c>
      <c r="I49" s="37">
        <f t="shared" si="7"/>
        <v>0.10687022900763354</v>
      </c>
      <c r="J49" s="37">
        <f t="shared" si="7"/>
        <v>0.10621146403035675</v>
      </c>
    </row>
    <row r="50" spans="1:10" x14ac:dyDescent="0.25">
      <c r="A50">
        <v>1989.11</v>
      </c>
      <c r="B50" s="14">
        <v>1577.43</v>
      </c>
      <c r="C50" s="35">
        <f t="shared" si="0"/>
        <v>6.8658749023886578</v>
      </c>
      <c r="E50" s="36">
        <v>10</v>
      </c>
      <c r="F50" s="7">
        <f t="shared" si="4"/>
        <v>128</v>
      </c>
      <c r="G50" s="37">
        <f t="shared" si="5"/>
        <v>0.97709923664122134</v>
      </c>
      <c r="H50" s="37">
        <f t="shared" si="6"/>
        <v>0.94734152685919526</v>
      </c>
      <c r="I50" s="37">
        <f t="shared" si="7"/>
        <v>6.1068702290076327E-2</v>
      </c>
      <c r="J50" s="37">
        <f t="shared" si="7"/>
        <v>6.4230000515393182E-2</v>
      </c>
    </row>
    <row r="51" spans="1:10" x14ac:dyDescent="0.25">
      <c r="A51">
        <v>1989.12</v>
      </c>
      <c r="B51" s="14">
        <v>1790.37</v>
      </c>
      <c r="C51" s="35">
        <f t="shared" si="0"/>
        <v>12.662536196380181</v>
      </c>
      <c r="E51" s="36">
        <v>12.5</v>
      </c>
      <c r="F51" s="7">
        <f t="shared" si="4"/>
        <v>128</v>
      </c>
      <c r="G51" s="37">
        <f t="shared" si="5"/>
        <v>0.97709923664122134</v>
      </c>
      <c r="H51" s="37">
        <f t="shared" si="6"/>
        <v>0.97974576240556221</v>
      </c>
      <c r="I51" s="37">
        <f t="shared" si="7"/>
        <v>0</v>
      </c>
      <c r="J51" s="37">
        <f t="shared" si="7"/>
        <v>3.2404235546366955E-2</v>
      </c>
    </row>
    <row r="52" spans="1:10" x14ac:dyDescent="0.25">
      <c r="A52">
        <v>1990.01</v>
      </c>
      <c r="B52" s="14">
        <v>1823.44</v>
      </c>
      <c r="C52" s="35">
        <f t="shared" si="0"/>
        <v>1.8302524565776856</v>
      </c>
      <c r="E52" s="36">
        <v>15</v>
      </c>
      <c r="F52" s="7">
        <f t="shared" si="4"/>
        <v>130</v>
      </c>
      <c r="G52" s="37">
        <f t="shared" si="5"/>
        <v>0.99236641221374045</v>
      </c>
      <c r="H52" s="37">
        <f t="shared" si="6"/>
        <v>0.99338368353769879</v>
      </c>
      <c r="I52" s="37">
        <f t="shared" si="7"/>
        <v>1.5267175572519109E-2</v>
      </c>
      <c r="J52" s="37">
        <f t="shared" si="7"/>
        <v>1.3637921132136577E-2</v>
      </c>
    </row>
    <row r="53" spans="1:10" x14ac:dyDescent="0.25">
      <c r="A53">
        <v>1990.02</v>
      </c>
      <c r="B53" s="14">
        <v>1809.92</v>
      </c>
      <c r="C53" s="35">
        <f t="shared" si="0"/>
        <v>-0.74421815628387122</v>
      </c>
      <c r="E53" s="36">
        <v>17.5</v>
      </c>
      <c r="F53" s="7">
        <f t="shared" si="4"/>
        <v>131</v>
      </c>
      <c r="G53" s="37">
        <f t="shared" si="5"/>
        <v>1</v>
      </c>
      <c r="H53" s="37">
        <f t="shared" si="6"/>
        <v>0.99817173511663615</v>
      </c>
      <c r="I53" s="37">
        <f t="shared" si="7"/>
        <v>7.6335877862595547E-3</v>
      </c>
      <c r="J53" s="37">
        <f t="shared" si="7"/>
        <v>4.7880515789373579E-3</v>
      </c>
    </row>
    <row r="54" spans="1:10" x14ac:dyDescent="0.25">
      <c r="A54">
        <v>1990.03</v>
      </c>
      <c r="B54" s="14">
        <v>1968.55</v>
      </c>
      <c r="C54" s="35">
        <f t="shared" si="0"/>
        <v>8.4014585723973134</v>
      </c>
      <c r="E54" s="36">
        <v>20</v>
      </c>
      <c r="F54" s="7">
        <f t="shared" si="4"/>
        <v>131</v>
      </c>
      <c r="G54" s="37">
        <f t="shared" si="5"/>
        <v>1</v>
      </c>
      <c r="H54" s="37">
        <f t="shared" si="6"/>
        <v>0.99957394232834895</v>
      </c>
      <c r="I54" s="37">
        <f t="shared" si="7"/>
        <v>0</v>
      </c>
      <c r="J54" s="37">
        <f t="shared" si="7"/>
        <v>1.4022072117128026E-3</v>
      </c>
    </row>
    <row r="55" spans="1:10" x14ac:dyDescent="0.25">
      <c r="A55">
        <v>1990.04</v>
      </c>
      <c r="B55" s="14">
        <v>1813.25</v>
      </c>
      <c r="C55" s="35">
        <f t="shared" si="0"/>
        <v>-8.2176415868494779</v>
      </c>
      <c r="E55" s="36">
        <v>22.5</v>
      </c>
      <c r="F55" s="7">
        <f t="shared" si="4"/>
        <v>131</v>
      </c>
      <c r="G55" s="37">
        <f t="shared" si="5"/>
        <v>1</v>
      </c>
      <c r="H55" s="37">
        <f t="shared" si="6"/>
        <v>0.99991646068906537</v>
      </c>
      <c r="I55" s="37">
        <f t="shared" si="7"/>
        <v>0</v>
      </c>
      <c r="J55" s="37">
        <f t="shared" si="7"/>
        <v>3.4251836071641506E-4</v>
      </c>
    </row>
    <row r="56" spans="1:10" x14ac:dyDescent="0.25">
      <c r="A56">
        <v>1990.05</v>
      </c>
      <c r="B56" s="14">
        <v>1844.81</v>
      </c>
      <c r="C56" s="35">
        <f t="shared" si="0"/>
        <v>1.7255475898385164</v>
      </c>
      <c r="E56" s="36">
        <v>25</v>
      </c>
      <c r="F56" s="7">
        <f t="shared" si="4"/>
        <v>131</v>
      </c>
      <c r="G56" s="37">
        <f t="shared" si="5"/>
        <v>1</v>
      </c>
      <c r="H56" s="37">
        <f t="shared" si="6"/>
        <v>0.99998624322758478</v>
      </c>
      <c r="I56" s="37">
        <f t="shared" si="7"/>
        <v>0</v>
      </c>
      <c r="J56" s="37">
        <f t="shared" si="7"/>
        <v>6.9782538519413961E-5</v>
      </c>
    </row>
    <row r="57" spans="1:10" ht="13" thickBot="1" x14ac:dyDescent="0.3">
      <c r="A57">
        <v>1990.06</v>
      </c>
      <c r="B57" s="14">
        <v>1879.9</v>
      </c>
      <c r="C57" s="35">
        <f t="shared" si="0"/>
        <v>1.8842292778008307</v>
      </c>
      <c r="E57" s="11">
        <v>1000</v>
      </c>
      <c r="F57" s="11">
        <f t="shared" si="4"/>
        <v>131</v>
      </c>
      <c r="G57" s="38">
        <f t="shared" si="5"/>
        <v>1</v>
      </c>
      <c r="H57" s="38">
        <v>1</v>
      </c>
      <c r="I57" s="38">
        <f t="shared" si="7"/>
        <v>0</v>
      </c>
      <c r="J57" s="38">
        <f t="shared" si="7"/>
        <v>1.3756772415218776E-5</v>
      </c>
    </row>
    <row r="58" spans="1:10" x14ac:dyDescent="0.25">
      <c r="A58">
        <v>1990.07</v>
      </c>
      <c r="B58" s="14">
        <v>1919.2</v>
      </c>
      <c r="C58" s="35">
        <f t="shared" si="0"/>
        <v>2.0689848605569772</v>
      </c>
    </row>
    <row r="59" spans="1:10" x14ac:dyDescent="0.25">
      <c r="A59">
        <v>1990.08</v>
      </c>
      <c r="B59" s="14">
        <v>1629.51</v>
      </c>
      <c r="C59" s="35">
        <f t="shared" si="0"/>
        <v>-16.362907641490398</v>
      </c>
    </row>
    <row r="60" spans="1:10" x14ac:dyDescent="0.25">
      <c r="A60">
        <v>1990.09</v>
      </c>
      <c r="B60" s="14">
        <v>1334.89</v>
      </c>
      <c r="C60" s="35">
        <f t="shared" si="0"/>
        <v>-19.943046467479597</v>
      </c>
    </row>
    <row r="61" spans="1:10" x14ac:dyDescent="0.25">
      <c r="A61">
        <v>1990.1</v>
      </c>
      <c r="B61" s="14">
        <v>1433.82</v>
      </c>
      <c r="C61" s="35">
        <f t="shared" si="0"/>
        <v>7.1493319832555358</v>
      </c>
    </row>
    <row r="62" spans="1:10" x14ac:dyDescent="0.25">
      <c r="A62">
        <v>1990.11</v>
      </c>
      <c r="B62" s="14">
        <v>1441.23</v>
      </c>
      <c r="C62" s="35">
        <f t="shared" si="0"/>
        <v>0.51547043756254851</v>
      </c>
    </row>
    <row r="63" spans="1:10" x14ac:dyDescent="0.25">
      <c r="A63">
        <v>1990.12</v>
      </c>
      <c r="B63" s="14">
        <v>1398.23</v>
      </c>
      <c r="C63" s="35">
        <f t="shared" si="0"/>
        <v>-3.028976463834443</v>
      </c>
    </row>
    <row r="64" spans="1:10" x14ac:dyDescent="0.25">
      <c r="A64">
        <v>1991.01</v>
      </c>
      <c r="B64" s="14">
        <v>1420.08</v>
      </c>
      <c r="C64" s="35">
        <f t="shared" si="0"/>
        <v>1.550605703092689</v>
      </c>
    </row>
    <row r="65" spans="1:3" x14ac:dyDescent="0.25">
      <c r="A65">
        <v>1991.02</v>
      </c>
      <c r="B65" s="14">
        <v>1542.09</v>
      </c>
      <c r="C65" s="35">
        <f t="shared" si="0"/>
        <v>8.2425431142266525</v>
      </c>
    </row>
    <row r="66" spans="1:3" x14ac:dyDescent="0.25">
      <c r="A66">
        <v>1991.03</v>
      </c>
      <c r="B66" s="14">
        <v>1522.8</v>
      </c>
      <c r="C66" s="35">
        <f t="shared" si="0"/>
        <v>-1.2587893670472639</v>
      </c>
    </row>
    <row r="67" spans="1:3" x14ac:dyDescent="0.25">
      <c r="A67">
        <v>1991.04</v>
      </c>
      <c r="B67" s="14">
        <v>1605.79</v>
      </c>
      <c r="C67" s="35">
        <f t="shared" si="0"/>
        <v>5.3065101797268532</v>
      </c>
    </row>
    <row r="68" spans="1:3" x14ac:dyDescent="0.25">
      <c r="A68">
        <v>1991.05</v>
      </c>
      <c r="B68" s="14">
        <v>1704.11</v>
      </c>
      <c r="C68" s="35">
        <f t="shared" si="0"/>
        <v>5.9427132990741427</v>
      </c>
    </row>
    <row r="69" spans="1:3" x14ac:dyDescent="0.25">
      <c r="A69">
        <v>1991.06</v>
      </c>
      <c r="B69" s="14">
        <v>1622.18</v>
      </c>
      <c r="C69" s="35">
        <f t="shared" ref="C69:C132" si="8">100*(LN(B69)-LN(B68))</f>
        <v>-4.9272056672123199</v>
      </c>
    </row>
    <row r="70" spans="1:3" x14ac:dyDescent="0.25">
      <c r="A70">
        <v>1991.07</v>
      </c>
      <c r="B70" s="14">
        <v>1622.31</v>
      </c>
      <c r="C70" s="35">
        <f t="shared" si="8"/>
        <v>8.0135861149521759E-3</v>
      </c>
    </row>
    <row r="71" spans="1:3" x14ac:dyDescent="0.25">
      <c r="A71">
        <v>1991.08</v>
      </c>
      <c r="B71" s="14">
        <v>1650.5</v>
      </c>
      <c r="C71" s="35">
        <f t="shared" si="8"/>
        <v>1.7227212807869208</v>
      </c>
    </row>
    <row r="72" spans="1:3" x14ac:dyDescent="0.25">
      <c r="A72">
        <v>1991.09</v>
      </c>
      <c r="B72" s="14">
        <v>1607.03</v>
      </c>
      <c r="C72" s="35">
        <f t="shared" si="8"/>
        <v>-2.6690517403912928</v>
      </c>
    </row>
    <row r="73" spans="1:3" x14ac:dyDescent="0.25">
      <c r="A73">
        <v>1991.1</v>
      </c>
      <c r="B73" s="14">
        <v>1582.06</v>
      </c>
      <c r="C73" s="35">
        <f t="shared" si="8"/>
        <v>-1.5659959605839546</v>
      </c>
    </row>
    <row r="74" spans="1:3" x14ac:dyDescent="0.25">
      <c r="A74">
        <v>1991.11</v>
      </c>
      <c r="B74" s="14">
        <v>1566.57</v>
      </c>
      <c r="C74" s="35">
        <f t="shared" si="8"/>
        <v>-0.98392792847690203</v>
      </c>
    </row>
    <row r="75" spans="1:3" x14ac:dyDescent="0.25">
      <c r="A75">
        <v>1991.12</v>
      </c>
      <c r="B75" s="14">
        <v>1577.98</v>
      </c>
      <c r="C75" s="35">
        <f t="shared" si="8"/>
        <v>0.72570320555440659</v>
      </c>
    </row>
    <row r="76" spans="1:3" x14ac:dyDescent="0.25">
      <c r="A76">
        <v>1992.01</v>
      </c>
      <c r="B76" s="14">
        <v>1687.49</v>
      </c>
      <c r="C76" s="35">
        <f t="shared" si="8"/>
        <v>6.709666974893036</v>
      </c>
    </row>
    <row r="77" spans="1:3" x14ac:dyDescent="0.25">
      <c r="A77">
        <v>1992.02</v>
      </c>
      <c r="B77" s="14">
        <v>1745.13</v>
      </c>
      <c r="C77" s="35">
        <f t="shared" si="8"/>
        <v>3.3586833625781409</v>
      </c>
    </row>
    <row r="78" spans="1:3" x14ac:dyDescent="0.25">
      <c r="A78">
        <v>1992.03</v>
      </c>
      <c r="B78" s="14">
        <v>1717.86</v>
      </c>
      <c r="C78" s="35">
        <f t="shared" si="8"/>
        <v>-1.5749721310053921</v>
      </c>
    </row>
    <row r="79" spans="1:3" x14ac:dyDescent="0.25">
      <c r="A79">
        <v>1992.04</v>
      </c>
      <c r="B79" s="14">
        <v>1734.03</v>
      </c>
      <c r="C79" s="35">
        <f t="shared" si="8"/>
        <v>0.93688491099594984</v>
      </c>
    </row>
    <row r="80" spans="1:3" x14ac:dyDescent="0.25">
      <c r="A80">
        <v>1992.05</v>
      </c>
      <c r="B80" s="14">
        <v>1803.22</v>
      </c>
      <c r="C80" s="35">
        <f t="shared" si="8"/>
        <v>3.9125776388194033</v>
      </c>
    </row>
    <row r="81" spans="1:3" x14ac:dyDescent="0.25">
      <c r="A81">
        <v>1992.06</v>
      </c>
      <c r="B81" s="14">
        <v>1752.63</v>
      </c>
      <c r="C81" s="35">
        <f t="shared" si="8"/>
        <v>-2.8456438716293775</v>
      </c>
    </row>
    <row r="82" spans="1:3" x14ac:dyDescent="0.25">
      <c r="A82">
        <v>1992.07</v>
      </c>
      <c r="B82" s="14">
        <v>1615.42</v>
      </c>
      <c r="C82" s="35">
        <f t="shared" si="8"/>
        <v>-8.1522532134766124</v>
      </c>
    </row>
    <row r="83" spans="1:3" x14ac:dyDescent="0.25">
      <c r="A83">
        <v>1992.08</v>
      </c>
      <c r="B83" s="14">
        <v>1541.25</v>
      </c>
      <c r="C83" s="35">
        <f t="shared" si="8"/>
        <v>-4.7001209287468093</v>
      </c>
    </row>
    <row r="84" spans="1:3" x14ac:dyDescent="0.25">
      <c r="A84">
        <v>1992.09</v>
      </c>
      <c r="B84" s="14">
        <v>1466.36</v>
      </c>
      <c r="C84" s="35">
        <f t="shared" si="8"/>
        <v>-4.9810636011954124</v>
      </c>
    </row>
    <row r="85" spans="1:3" x14ac:dyDescent="0.25">
      <c r="A85">
        <v>1992.1</v>
      </c>
      <c r="B85" s="14">
        <v>1492.32</v>
      </c>
      <c r="C85" s="35">
        <f t="shared" si="8"/>
        <v>1.7548816511953724</v>
      </c>
    </row>
    <row r="86" spans="1:3" x14ac:dyDescent="0.25">
      <c r="A86">
        <v>1992.11</v>
      </c>
      <c r="B86" s="14">
        <v>1544.34</v>
      </c>
      <c r="C86" s="35">
        <f t="shared" si="8"/>
        <v>3.4264678617994981</v>
      </c>
    </row>
    <row r="87" spans="1:3" x14ac:dyDescent="0.25">
      <c r="A87">
        <v>1992.12</v>
      </c>
      <c r="B87" s="14">
        <v>1545.05</v>
      </c>
      <c r="C87" s="35">
        <f t="shared" si="8"/>
        <v>4.5963767119072685E-2</v>
      </c>
    </row>
    <row r="88" spans="1:3" x14ac:dyDescent="0.25">
      <c r="A88">
        <v>1993.01</v>
      </c>
      <c r="B88" s="14">
        <v>1571.85</v>
      </c>
      <c r="C88" s="35">
        <f t="shared" si="8"/>
        <v>1.719699732132085</v>
      </c>
    </row>
    <row r="89" spans="1:3" x14ac:dyDescent="0.25">
      <c r="A89">
        <v>1993.02</v>
      </c>
      <c r="B89" s="14">
        <v>1684.35</v>
      </c>
      <c r="C89" s="35">
        <f t="shared" si="8"/>
        <v>6.9126463097597401</v>
      </c>
    </row>
    <row r="90" spans="1:3" x14ac:dyDescent="0.25">
      <c r="A90">
        <v>1993.03</v>
      </c>
      <c r="B90" s="14">
        <v>1684.21</v>
      </c>
      <c r="C90" s="35">
        <f t="shared" si="8"/>
        <v>-8.3121571282873674E-3</v>
      </c>
    </row>
    <row r="91" spans="1:3" x14ac:dyDescent="0.25">
      <c r="A91">
        <v>1993.04</v>
      </c>
      <c r="B91" s="14">
        <v>1627.19</v>
      </c>
      <c r="C91" s="35">
        <f t="shared" si="8"/>
        <v>-3.4442010366020348</v>
      </c>
    </row>
    <row r="92" spans="1:3" x14ac:dyDescent="0.25">
      <c r="A92">
        <v>1993.05</v>
      </c>
      <c r="B92" s="14">
        <v>1631.85</v>
      </c>
      <c r="C92" s="35">
        <f t="shared" si="8"/>
        <v>0.28597397858467488</v>
      </c>
    </row>
    <row r="93" spans="1:3" x14ac:dyDescent="0.25">
      <c r="A93">
        <v>1993.06</v>
      </c>
      <c r="B93" s="14">
        <v>1697.63</v>
      </c>
      <c r="C93" s="35">
        <f t="shared" si="8"/>
        <v>3.9518820175909575</v>
      </c>
    </row>
    <row r="94" spans="1:3" x14ac:dyDescent="0.25">
      <c r="A94">
        <v>1993.07</v>
      </c>
      <c r="B94" s="14">
        <v>1803.23</v>
      </c>
      <c r="C94" s="35">
        <f t="shared" si="8"/>
        <v>6.0346340525624598</v>
      </c>
    </row>
    <row r="95" spans="1:3" x14ac:dyDescent="0.25">
      <c r="A95">
        <v>1993.08</v>
      </c>
      <c r="B95" s="14">
        <v>1944.89</v>
      </c>
      <c r="C95" s="35">
        <f t="shared" si="8"/>
        <v>7.5625918946578885</v>
      </c>
    </row>
    <row r="96" spans="1:3" x14ac:dyDescent="0.25">
      <c r="A96">
        <v>1993.09</v>
      </c>
      <c r="B96" s="14">
        <v>1915.71</v>
      </c>
      <c r="C96" s="35">
        <f t="shared" si="8"/>
        <v>-1.5117109101870696</v>
      </c>
    </row>
    <row r="97" spans="1:3" x14ac:dyDescent="0.25">
      <c r="A97">
        <v>1993.1</v>
      </c>
      <c r="B97" s="14">
        <v>2069</v>
      </c>
      <c r="C97" s="35">
        <f t="shared" si="8"/>
        <v>7.6977087664099386</v>
      </c>
    </row>
    <row r="98" spans="1:3" x14ac:dyDescent="0.25">
      <c r="A98">
        <v>1993.11</v>
      </c>
      <c r="B98" s="14">
        <v>2057.77</v>
      </c>
      <c r="C98" s="35">
        <f t="shared" si="8"/>
        <v>-0.5442526586358909</v>
      </c>
    </row>
    <row r="99" spans="1:3" x14ac:dyDescent="0.25">
      <c r="A99">
        <v>1993.12</v>
      </c>
      <c r="B99" s="14">
        <v>2266.6799999999998</v>
      </c>
      <c r="C99" s="35">
        <f t="shared" si="8"/>
        <v>9.6693333672544846</v>
      </c>
    </row>
    <row r="100" spans="1:3" x14ac:dyDescent="0.25">
      <c r="A100">
        <v>1994.01</v>
      </c>
      <c r="B100" s="14">
        <v>2177.4499999999998</v>
      </c>
      <c r="C100" s="35">
        <f t="shared" si="8"/>
        <v>-4.0161738481218734</v>
      </c>
    </row>
    <row r="101" spans="1:3" x14ac:dyDescent="0.25">
      <c r="A101">
        <v>1994.02</v>
      </c>
      <c r="B101" s="14">
        <v>2091.5700000000002</v>
      </c>
      <c r="C101" s="35">
        <f t="shared" si="8"/>
        <v>-4.023948722602988</v>
      </c>
    </row>
    <row r="102" spans="1:3" x14ac:dyDescent="0.25">
      <c r="A102">
        <v>1994.03</v>
      </c>
      <c r="B102" s="14">
        <v>2133.11</v>
      </c>
      <c r="C102" s="35">
        <f t="shared" si="8"/>
        <v>1.9666028575055172</v>
      </c>
    </row>
    <row r="103" spans="1:3" x14ac:dyDescent="0.25">
      <c r="A103">
        <v>1994.04</v>
      </c>
      <c r="B103" s="14">
        <v>2245.98</v>
      </c>
      <c r="C103" s="35">
        <f t="shared" si="8"/>
        <v>5.156094283970436</v>
      </c>
    </row>
    <row r="104" spans="1:3" x14ac:dyDescent="0.25">
      <c r="A104">
        <v>1994.05</v>
      </c>
      <c r="B104" s="14">
        <v>2127.6999999999998</v>
      </c>
      <c r="C104" s="35">
        <f t="shared" si="8"/>
        <v>-5.41003674595677</v>
      </c>
    </row>
    <row r="105" spans="1:3" x14ac:dyDescent="0.25">
      <c r="A105">
        <v>1994.06</v>
      </c>
      <c r="B105" s="14">
        <v>2025.34</v>
      </c>
      <c r="C105" s="35">
        <f t="shared" si="8"/>
        <v>-4.9303996398299077</v>
      </c>
    </row>
    <row r="106" spans="1:3" x14ac:dyDescent="0.25">
      <c r="A106">
        <v>1994.07</v>
      </c>
      <c r="B106" s="14">
        <v>2146.64</v>
      </c>
      <c r="C106" s="35">
        <f t="shared" si="8"/>
        <v>5.8166241311510269</v>
      </c>
    </row>
    <row r="107" spans="1:3" x14ac:dyDescent="0.25">
      <c r="A107">
        <v>1994.08</v>
      </c>
      <c r="B107" s="14">
        <v>2212.85</v>
      </c>
      <c r="C107" s="35">
        <f t="shared" si="8"/>
        <v>3.0377448468547286</v>
      </c>
    </row>
    <row r="108" spans="1:3" x14ac:dyDescent="0.25">
      <c r="A108">
        <v>1994.09</v>
      </c>
      <c r="B108" s="14">
        <v>2011.75</v>
      </c>
      <c r="C108" s="35">
        <f t="shared" si="8"/>
        <v>-9.527628743518779</v>
      </c>
    </row>
    <row r="109" spans="1:3" x14ac:dyDescent="0.25">
      <c r="A109">
        <v>1994.1</v>
      </c>
      <c r="B109" s="14">
        <v>2071.63</v>
      </c>
      <c r="C109" s="35">
        <f t="shared" si="8"/>
        <v>2.9330746978783573</v>
      </c>
    </row>
    <row r="110" spans="1:3" x14ac:dyDescent="0.25">
      <c r="A110">
        <v>1994.11</v>
      </c>
      <c r="B110" s="14">
        <v>2048.2600000000002</v>
      </c>
      <c r="C110" s="35">
        <f t="shared" si="8"/>
        <v>-1.1345084778493941</v>
      </c>
    </row>
    <row r="111" spans="1:3" x14ac:dyDescent="0.25">
      <c r="A111">
        <v>1994.12</v>
      </c>
      <c r="B111" s="14">
        <v>2106.58</v>
      </c>
      <c r="C111" s="35">
        <f t="shared" si="8"/>
        <v>2.8075127159513436</v>
      </c>
    </row>
    <row r="112" spans="1:3" x14ac:dyDescent="0.25">
      <c r="A112">
        <v>1995.01</v>
      </c>
      <c r="B112" s="14">
        <v>2021.27</v>
      </c>
      <c r="C112" s="35">
        <f t="shared" si="8"/>
        <v>-4.1339752676645247</v>
      </c>
    </row>
    <row r="113" spans="1:3" x14ac:dyDescent="0.25">
      <c r="A113">
        <v>1995.02</v>
      </c>
      <c r="B113" s="14">
        <v>2102.1799999999998</v>
      </c>
      <c r="C113" s="35">
        <f t="shared" si="8"/>
        <v>3.9248874791955934</v>
      </c>
    </row>
    <row r="114" spans="1:3" x14ac:dyDescent="0.25">
      <c r="A114">
        <v>1995.03</v>
      </c>
      <c r="B114" s="14">
        <v>1922.59</v>
      </c>
      <c r="C114" s="35">
        <f t="shared" si="8"/>
        <v>-8.9301666173087213</v>
      </c>
    </row>
    <row r="115" spans="1:3" x14ac:dyDescent="0.25">
      <c r="A115">
        <v>1995.04</v>
      </c>
      <c r="B115" s="14">
        <v>2015.94</v>
      </c>
      <c r="C115" s="35">
        <f t="shared" si="8"/>
        <v>4.7412352515333822</v>
      </c>
    </row>
    <row r="116" spans="1:3" x14ac:dyDescent="0.25">
      <c r="A116">
        <v>1995.05</v>
      </c>
      <c r="B116" s="14">
        <v>2092.17</v>
      </c>
      <c r="C116" s="35">
        <f t="shared" si="8"/>
        <v>3.7116216989923956</v>
      </c>
    </row>
    <row r="117" spans="1:3" x14ac:dyDescent="0.25">
      <c r="A117">
        <v>1995.06</v>
      </c>
      <c r="B117" s="14">
        <v>2083.9299999999998</v>
      </c>
      <c r="C117" s="35">
        <f t="shared" si="8"/>
        <v>-0.39462707758408655</v>
      </c>
    </row>
    <row r="118" spans="1:3" x14ac:dyDescent="0.25">
      <c r="A118">
        <v>1995.07</v>
      </c>
      <c r="B118" s="14">
        <v>2218.7399999999998</v>
      </c>
      <c r="C118" s="35">
        <f t="shared" si="8"/>
        <v>6.2683933113629742</v>
      </c>
    </row>
    <row r="119" spans="1:3" x14ac:dyDescent="0.25">
      <c r="A119">
        <v>1995.08</v>
      </c>
      <c r="B119" s="14">
        <v>2238.31</v>
      </c>
      <c r="C119" s="35">
        <f t="shared" si="8"/>
        <v>0.87816496406443179</v>
      </c>
    </row>
    <row r="120" spans="1:3" x14ac:dyDescent="0.25">
      <c r="A120">
        <v>1995.09</v>
      </c>
      <c r="B120" s="14">
        <v>2187.04</v>
      </c>
      <c r="C120" s="35">
        <f t="shared" si="8"/>
        <v>-2.3172085407617615</v>
      </c>
    </row>
    <row r="121" spans="1:3" x14ac:dyDescent="0.25">
      <c r="A121">
        <v>1995.1</v>
      </c>
      <c r="B121" s="14">
        <v>2167.91</v>
      </c>
      <c r="C121" s="35">
        <f t="shared" si="8"/>
        <v>-0.87854616216196391</v>
      </c>
    </row>
    <row r="122" spans="1:3" x14ac:dyDescent="0.25">
      <c r="A122">
        <v>1995.11</v>
      </c>
      <c r="B122" s="14">
        <v>2242.83</v>
      </c>
      <c r="C122" s="35">
        <f t="shared" si="8"/>
        <v>3.3974891514306549</v>
      </c>
    </row>
    <row r="123" spans="1:3" x14ac:dyDescent="0.25">
      <c r="A123">
        <v>1995.12</v>
      </c>
      <c r="B123" s="14">
        <v>2253.88</v>
      </c>
      <c r="C123" s="35">
        <f t="shared" si="8"/>
        <v>0.49147141986836118</v>
      </c>
    </row>
    <row r="124" spans="1:3" x14ac:dyDescent="0.25">
      <c r="A124">
        <v>1996.01</v>
      </c>
      <c r="B124" s="14">
        <v>2435.79</v>
      </c>
      <c r="C124" s="35">
        <f t="shared" si="8"/>
        <v>7.7617963721494654</v>
      </c>
    </row>
    <row r="125" spans="1:3" x14ac:dyDescent="0.25">
      <c r="A125">
        <v>1996.02</v>
      </c>
      <c r="B125" s="14">
        <v>2473.5500000000002</v>
      </c>
      <c r="C125" s="35">
        <f t="shared" si="8"/>
        <v>1.538322651752555</v>
      </c>
    </row>
    <row r="126" spans="1:3" x14ac:dyDescent="0.25">
      <c r="A126">
        <v>1996.03</v>
      </c>
      <c r="B126" s="14">
        <v>2485.87</v>
      </c>
      <c r="C126" s="35">
        <f t="shared" si="8"/>
        <v>0.49683331287013743</v>
      </c>
    </row>
    <row r="127" spans="1:3" x14ac:dyDescent="0.25">
      <c r="A127">
        <v>1996.04</v>
      </c>
      <c r="B127" s="14">
        <v>2505.25</v>
      </c>
      <c r="C127" s="35">
        <f t="shared" si="8"/>
        <v>0.77658310750035042</v>
      </c>
    </row>
    <row r="128" spans="1:3" x14ac:dyDescent="0.25">
      <c r="A128">
        <v>1996.05</v>
      </c>
      <c r="B128" s="14">
        <v>2542.8000000000002</v>
      </c>
      <c r="C128" s="35">
        <f t="shared" si="8"/>
        <v>1.4877306123815437</v>
      </c>
    </row>
    <row r="129" spans="1:3" x14ac:dyDescent="0.25">
      <c r="A129">
        <v>1996.06</v>
      </c>
      <c r="B129" s="14">
        <v>2561.39</v>
      </c>
      <c r="C129" s="35">
        <f t="shared" si="8"/>
        <v>0.72842438071596405</v>
      </c>
    </row>
    <row r="130" spans="1:3" x14ac:dyDescent="0.25">
      <c r="A130">
        <v>1996.07</v>
      </c>
      <c r="B130" s="14">
        <v>2473.35</v>
      </c>
      <c r="C130" s="35">
        <f t="shared" si="8"/>
        <v>-3.4976572854326093</v>
      </c>
    </row>
    <row r="131" spans="1:3" x14ac:dyDescent="0.25">
      <c r="A131">
        <v>1996.08</v>
      </c>
      <c r="B131" s="14">
        <v>2543.83</v>
      </c>
      <c r="C131" s="35">
        <f t="shared" si="8"/>
        <v>2.8097312312738154</v>
      </c>
    </row>
    <row r="132" spans="1:3" x14ac:dyDescent="0.25">
      <c r="A132">
        <v>1996.09</v>
      </c>
      <c r="B132" s="14">
        <v>2651.85</v>
      </c>
      <c r="C132" s="35">
        <f t="shared" si="8"/>
        <v>4.158669029231632</v>
      </c>
    </row>
    <row r="133" spans="1:3" x14ac:dyDescent="0.25">
      <c r="A133">
        <v>1996.1</v>
      </c>
      <c r="B133" s="14">
        <v>2659.25</v>
      </c>
      <c r="C133" s="35">
        <f>100*(LN(B133)-LN(B132))</f>
        <v>0.27866185116325326</v>
      </c>
    </row>
    <row r="134" spans="1:3" x14ac:dyDescent="0.25">
      <c r="A134">
        <v>1996.11</v>
      </c>
      <c r="B134" s="14">
        <v>2845.52</v>
      </c>
      <c r="C134" s="35">
        <f>100*(LN(B134)-LN(B133))</f>
        <v>6.7701699528418757</v>
      </c>
    </row>
    <row r="135" spans="1:3" x14ac:dyDescent="0.25">
      <c r="A135">
        <v>1996.12</v>
      </c>
      <c r="B135" s="14">
        <v>2888.69</v>
      </c>
      <c r="C135" s="35">
        <f>100*(LN(B135)-LN(B134))</f>
        <v>1.5057284483355637</v>
      </c>
    </row>
  </sheetData>
  <printOptions headings="1" gridLines="1"/>
  <pageMargins left="0.78740157499999996" right="0.78740157499999996" top="0.984251969" bottom="0.984251969" header="0.5" footer="0.5"/>
  <pageSetup scale="37"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"/>
  <sheetViews>
    <sheetView workbookViewId="0"/>
  </sheetViews>
  <sheetFormatPr defaultColWidth="9.1796875" defaultRowHeight="12.5" x14ac:dyDescent="0.25"/>
  <cols>
    <col min="1" max="1" width="11.54296875" customWidth="1"/>
    <col min="2" max="2" width="11.7265625" customWidth="1"/>
    <col min="3" max="3" width="9.7265625" customWidth="1"/>
    <col min="4" max="4" width="3.7265625" customWidth="1"/>
    <col min="8" max="8" width="11.453125" customWidth="1"/>
    <col min="9" max="9" width="4" customWidth="1"/>
    <col min="10" max="11" width="7.7265625" customWidth="1"/>
  </cols>
  <sheetData>
    <row r="1" spans="1:14" ht="13" x14ac:dyDescent="0.3">
      <c r="A1" s="2" t="s">
        <v>101</v>
      </c>
      <c r="E1" s="2" t="s">
        <v>115</v>
      </c>
    </row>
    <row r="2" spans="1:14" x14ac:dyDescent="0.25">
      <c r="E2" t="s">
        <v>116</v>
      </c>
      <c r="G2" s="14">
        <f>AVERAGE(C5:C135)</f>
        <v>0.55997973809704671</v>
      </c>
    </row>
    <row r="3" spans="1:14" s="3" customFormat="1" x14ac:dyDescent="0.25">
      <c r="A3" s="3" t="s">
        <v>102</v>
      </c>
      <c r="B3" s="25" t="s">
        <v>103</v>
      </c>
      <c r="C3" s="25" t="s">
        <v>104</v>
      </c>
      <c r="E3" t="s">
        <v>117</v>
      </c>
      <c r="F3"/>
      <c r="G3" s="42">
        <f>STDEV(C5:C135)</f>
        <v>5.8285906786445807</v>
      </c>
    </row>
    <row r="4" spans="1:14" s="3" customFormat="1" x14ac:dyDescent="0.25">
      <c r="A4">
        <v>1986.01</v>
      </c>
      <c r="B4">
        <v>1387.12</v>
      </c>
      <c r="C4" s="26" t="s">
        <v>105</v>
      </c>
      <c r="E4" t="s">
        <v>118</v>
      </c>
      <c r="F4"/>
      <c r="G4" s="14">
        <f>SKEW(C5:C135)</f>
        <v>-1.000485155632405</v>
      </c>
    </row>
    <row r="5" spans="1:14" s="3" customFormat="1" x14ac:dyDescent="0.25">
      <c r="A5">
        <v>1986.02</v>
      </c>
      <c r="B5">
        <v>1357.34</v>
      </c>
      <c r="C5" s="35">
        <f t="shared" ref="C5:C68" si="0">100*(LN(B5)-LN(B4))</f>
        <v>-2.1702753094873906</v>
      </c>
      <c r="D5" s="45"/>
      <c r="E5" t="s">
        <v>119</v>
      </c>
      <c r="F5"/>
      <c r="G5" s="14">
        <f>KURT(C5:C135)+3</f>
        <v>6.2106146346076763</v>
      </c>
      <c r="N5"/>
    </row>
    <row r="6" spans="1:14" x14ac:dyDescent="0.25">
      <c r="A6">
        <v>1986.03</v>
      </c>
      <c r="B6">
        <v>1481.63</v>
      </c>
      <c r="C6" s="35">
        <f t="shared" si="0"/>
        <v>8.7615930925506014</v>
      </c>
      <c r="D6" s="45"/>
      <c r="E6" s="7"/>
      <c r="G6" s="14"/>
      <c r="H6" s="3"/>
      <c r="I6" s="3"/>
      <c r="J6" s="3"/>
      <c r="K6" s="3"/>
      <c r="L6" s="3"/>
    </row>
    <row r="7" spans="1:14" ht="13" x14ac:dyDescent="0.3">
      <c r="A7">
        <v>1986.04</v>
      </c>
      <c r="B7">
        <v>1507.32</v>
      </c>
      <c r="C7" s="35">
        <f t="shared" si="0"/>
        <v>1.7190406420112936</v>
      </c>
      <c r="D7" s="45"/>
      <c r="E7" s="46" t="s">
        <v>120</v>
      </c>
      <c r="G7" s="14"/>
      <c r="H7" s="3"/>
      <c r="I7" s="3"/>
      <c r="J7" s="3"/>
      <c r="K7" s="3"/>
      <c r="L7" s="3"/>
    </row>
    <row r="8" spans="1:14" ht="25" x14ac:dyDescent="0.25">
      <c r="A8">
        <v>1986.05</v>
      </c>
      <c r="B8">
        <v>1380.47</v>
      </c>
      <c r="C8" s="35">
        <f t="shared" si="0"/>
        <v>-8.7909218609871331</v>
      </c>
      <c r="D8" s="45"/>
      <c r="J8" s="3" t="s">
        <v>121</v>
      </c>
      <c r="K8" s="22" t="s">
        <v>122</v>
      </c>
      <c r="L8" s="22" t="s">
        <v>107</v>
      </c>
      <c r="M8" s="22" t="s">
        <v>108</v>
      </c>
    </row>
    <row r="9" spans="1:14" x14ac:dyDescent="0.25">
      <c r="A9">
        <v>1986.06</v>
      </c>
      <c r="B9">
        <v>1357.45</v>
      </c>
      <c r="C9" s="35">
        <f t="shared" si="0"/>
        <v>-1.6816081160053287</v>
      </c>
      <c r="D9" s="45"/>
      <c r="E9" t="s">
        <v>123</v>
      </c>
      <c r="I9">
        <v>-3</v>
      </c>
      <c r="J9" s="47" t="s">
        <v>124</v>
      </c>
      <c r="K9" s="14">
        <f t="shared" ref="K9:K15" si="1">$G$2+I9*$G$3</f>
        <v>-16.925792297836697</v>
      </c>
      <c r="L9">
        <f>FREQUENCY($C$5:$C$135,K9)</f>
        <v>2</v>
      </c>
      <c r="M9" s="48">
        <f t="shared" ref="M9:M16" si="2">L9/COUNT($C$5:$C$135)</f>
        <v>1.5267175572519083E-2</v>
      </c>
    </row>
    <row r="10" spans="1:14" x14ac:dyDescent="0.25">
      <c r="A10">
        <v>1986.07</v>
      </c>
      <c r="B10">
        <v>1288.5999999999999</v>
      </c>
      <c r="C10" s="35">
        <f t="shared" si="0"/>
        <v>-5.2051582012695441</v>
      </c>
      <c r="D10" s="45"/>
      <c r="E10" t="s">
        <v>125</v>
      </c>
      <c r="I10">
        <v>-2</v>
      </c>
      <c r="J10" s="14">
        <f>K9</f>
        <v>-16.925792297836697</v>
      </c>
      <c r="K10" s="14">
        <f t="shared" si="1"/>
        <v>-11.097201619192115</v>
      </c>
      <c r="L10" s="13">
        <f>FREQUENCY($C$5:$C$135,K10)-L9</f>
        <v>2</v>
      </c>
      <c r="M10" s="48">
        <f t="shared" si="2"/>
        <v>1.5267175572519083E-2</v>
      </c>
    </row>
    <row r="11" spans="1:14" x14ac:dyDescent="0.25">
      <c r="A11">
        <v>1986.08</v>
      </c>
      <c r="B11">
        <v>1497.5</v>
      </c>
      <c r="C11" s="35">
        <f t="shared" si="0"/>
        <v>15.02406932850624</v>
      </c>
      <c r="D11" s="45"/>
      <c r="E11" t="s">
        <v>126</v>
      </c>
      <c r="I11">
        <v>-1</v>
      </c>
      <c r="J11" s="14">
        <f t="shared" ref="J11:J16" si="3">K10</f>
        <v>-11.097201619192115</v>
      </c>
      <c r="K11" s="14">
        <f t="shared" si="1"/>
        <v>-5.2686109405475339</v>
      </c>
      <c r="L11" s="13">
        <f>FREQUENCY($C$5:$C$135,K11)-SUM($L$9:L10)</f>
        <v>10</v>
      </c>
      <c r="M11" s="48">
        <f t="shared" si="2"/>
        <v>7.6335877862595422E-2</v>
      </c>
    </row>
    <row r="12" spans="1:14" x14ac:dyDescent="0.25">
      <c r="A12">
        <v>1986.09</v>
      </c>
      <c r="B12">
        <v>1408.02</v>
      </c>
      <c r="C12" s="35">
        <f t="shared" si="0"/>
        <v>-6.1612588827046011</v>
      </c>
      <c r="D12" s="45"/>
      <c r="E12" t="s">
        <v>127</v>
      </c>
      <c r="I12">
        <v>0</v>
      </c>
      <c r="J12" s="14">
        <f t="shared" si="3"/>
        <v>-5.2686109405475339</v>
      </c>
      <c r="K12" s="14">
        <f t="shared" si="1"/>
        <v>0.55997973809704671</v>
      </c>
      <c r="L12" s="13">
        <f>FREQUENCY($C$5:$C$135,K12)-SUM($L$9:L11)</f>
        <v>46</v>
      </c>
      <c r="M12" s="48">
        <f t="shared" si="2"/>
        <v>0.35114503816793891</v>
      </c>
    </row>
    <row r="13" spans="1:14" x14ac:dyDescent="0.25">
      <c r="A13">
        <v>1986.1</v>
      </c>
      <c r="B13">
        <v>1426.32</v>
      </c>
      <c r="C13" s="35">
        <f t="shared" si="0"/>
        <v>1.291323856395632</v>
      </c>
      <c r="D13" s="45"/>
      <c r="E13" t="s">
        <v>128</v>
      </c>
      <c r="I13">
        <v>1</v>
      </c>
      <c r="J13" s="14">
        <f t="shared" si="3"/>
        <v>0.55997973809704671</v>
      </c>
      <c r="K13" s="14">
        <f t="shared" si="1"/>
        <v>6.3885704167416275</v>
      </c>
      <c r="L13" s="13">
        <f>FREQUENCY($C$5:$C$135,K13)-SUM($L$9:L12)</f>
        <v>54</v>
      </c>
      <c r="M13" s="48">
        <f t="shared" si="2"/>
        <v>0.41221374045801529</v>
      </c>
    </row>
    <row r="14" spans="1:14" x14ac:dyDescent="0.25">
      <c r="A14">
        <v>1986.11</v>
      </c>
      <c r="B14">
        <v>1466.28</v>
      </c>
      <c r="C14" s="35">
        <f t="shared" si="0"/>
        <v>2.763088038991679</v>
      </c>
      <c r="D14" s="45"/>
      <c r="E14" t="s">
        <v>129</v>
      </c>
      <c r="I14">
        <v>2</v>
      </c>
      <c r="J14" s="14">
        <f t="shared" si="3"/>
        <v>6.3885704167416275</v>
      </c>
      <c r="K14" s="14">
        <f t="shared" si="1"/>
        <v>12.217161095386208</v>
      </c>
      <c r="L14" s="13">
        <f>FREQUENCY($C$5:$C$135,K14)-SUM($L$9:L13)</f>
        <v>14</v>
      </c>
      <c r="M14" s="48">
        <f t="shared" si="2"/>
        <v>0.10687022900763359</v>
      </c>
    </row>
    <row r="15" spans="1:14" x14ac:dyDescent="0.25">
      <c r="A15">
        <v>1986.12</v>
      </c>
      <c r="B15">
        <v>1432.25</v>
      </c>
      <c r="C15" s="35">
        <f t="shared" si="0"/>
        <v>-2.3481946827744515</v>
      </c>
      <c r="D15" s="45"/>
      <c r="E15" t="s">
        <v>130</v>
      </c>
      <c r="I15">
        <v>3</v>
      </c>
      <c r="J15" s="14">
        <f t="shared" si="3"/>
        <v>12.217161095386208</v>
      </c>
      <c r="K15" s="14">
        <f t="shared" si="1"/>
        <v>18.045751774030787</v>
      </c>
      <c r="L15" s="13">
        <f>FREQUENCY($C$5:$C$135,K15)-SUM($L$9:L14)</f>
        <v>3</v>
      </c>
      <c r="M15" s="48">
        <f t="shared" si="2"/>
        <v>2.2900763358778626E-2</v>
      </c>
    </row>
    <row r="16" spans="1:14" x14ac:dyDescent="0.25">
      <c r="A16">
        <v>1987.01</v>
      </c>
      <c r="B16">
        <v>1294.45</v>
      </c>
      <c r="C16" s="35">
        <f t="shared" si="0"/>
        <v>-10.11607397947758</v>
      </c>
      <c r="D16" s="45"/>
      <c r="E16" t="s">
        <v>131</v>
      </c>
      <c r="J16" s="14">
        <f t="shared" si="3"/>
        <v>18.045751774030787</v>
      </c>
      <c r="K16" s="49" t="s">
        <v>132</v>
      </c>
      <c r="L16" s="13">
        <f>COUNT(C5:C135)-SUM(L9:L15)</f>
        <v>0</v>
      </c>
      <c r="M16" s="48">
        <f t="shared" si="2"/>
        <v>0</v>
      </c>
    </row>
    <row r="17" spans="1:13" x14ac:dyDescent="0.25">
      <c r="A17">
        <v>1987.02</v>
      </c>
      <c r="B17">
        <v>1244.3599999999999</v>
      </c>
      <c r="C17" s="35">
        <f t="shared" si="0"/>
        <v>-3.9464552992201973</v>
      </c>
      <c r="D17" s="45"/>
    </row>
    <row r="18" spans="1:13" x14ac:dyDescent="0.25">
      <c r="A18">
        <v>1987.03</v>
      </c>
      <c r="B18">
        <v>1301.71</v>
      </c>
      <c r="C18" s="35">
        <f t="shared" si="0"/>
        <v>4.5057443202854763</v>
      </c>
      <c r="D18" s="45"/>
      <c r="K18" s="3" t="s">
        <v>133</v>
      </c>
      <c r="L18" s="3" t="s">
        <v>134</v>
      </c>
      <c r="M18" s="3" t="s">
        <v>135</v>
      </c>
    </row>
    <row r="19" spans="1:13" x14ac:dyDescent="0.25">
      <c r="A19">
        <v>1987.04</v>
      </c>
      <c r="B19">
        <v>1308.1400000000001</v>
      </c>
      <c r="C19" s="35">
        <f t="shared" si="0"/>
        <v>0.4927496224032879</v>
      </c>
      <c r="D19" s="45"/>
      <c r="E19" t="s">
        <v>136</v>
      </c>
      <c r="K19" s="50">
        <f>2/3</f>
        <v>0.66666666666666663</v>
      </c>
      <c r="L19" s="51">
        <f>1-2*NORMSDIST(-1)</f>
        <v>0.68268949213708607</v>
      </c>
      <c r="M19" s="51">
        <f>SUM(M12:M13)</f>
        <v>0.76335877862595414</v>
      </c>
    </row>
    <row r="20" spans="1:13" x14ac:dyDescent="0.25">
      <c r="A20">
        <v>1987.05</v>
      </c>
      <c r="B20">
        <v>1316.43</v>
      </c>
      <c r="C20" s="35">
        <f t="shared" si="0"/>
        <v>0.63172463066196727</v>
      </c>
      <c r="D20" s="45"/>
      <c r="E20" t="s">
        <v>137</v>
      </c>
      <c r="F20" s="29"/>
      <c r="G20" s="29"/>
      <c r="H20" s="29"/>
      <c r="K20" s="52">
        <f>0.95</f>
        <v>0.95</v>
      </c>
      <c r="L20" s="51">
        <f>1-2*NORMSDIST(-2)</f>
        <v>0.95449973610364158</v>
      </c>
      <c r="M20" s="51">
        <f>SUM(M11:M14)</f>
        <v>0.94656488549618323</v>
      </c>
    </row>
    <row r="21" spans="1:13" x14ac:dyDescent="0.25">
      <c r="A21">
        <v>1987.06</v>
      </c>
      <c r="B21">
        <v>1382.56</v>
      </c>
      <c r="C21" s="35">
        <f t="shared" si="0"/>
        <v>4.9013325857872658</v>
      </c>
      <c r="D21" s="45"/>
      <c r="E21" t="s">
        <v>138</v>
      </c>
      <c r="F21" s="29"/>
      <c r="G21" s="29"/>
      <c r="H21" s="29"/>
      <c r="K21" s="49" t="s">
        <v>139</v>
      </c>
      <c r="L21" s="51">
        <f>1-2*NORMSDIST(-3)</f>
        <v>0.99730020393673979</v>
      </c>
      <c r="M21" s="51">
        <f>SUM(M10:M15)</f>
        <v>0.98473282442748089</v>
      </c>
    </row>
    <row r="22" spans="1:13" x14ac:dyDescent="0.25">
      <c r="A22">
        <v>1987.07</v>
      </c>
      <c r="B22">
        <v>1510.54</v>
      </c>
      <c r="C22" s="35">
        <f t="shared" si="0"/>
        <v>8.8530349680597809</v>
      </c>
      <c r="D22" s="45"/>
    </row>
    <row r="23" spans="1:13" x14ac:dyDescent="0.25">
      <c r="A23">
        <v>1987.08</v>
      </c>
      <c r="B23">
        <v>1537.81</v>
      </c>
      <c r="C23" s="35">
        <f t="shared" si="0"/>
        <v>1.7892123599453136</v>
      </c>
      <c r="D23" s="45"/>
      <c r="H23" t="s">
        <v>140</v>
      </c>
      <c r="J23" s="16">
        <v>0.9</v>
      </c>
      <c r="K23" s="16">
        <v>0.95</v>
      </c>
      <c r="L23" s="16">
        <v>0.99</v>
      </c>
    </row>
    <row r="24" spans="1:13" x14ac:dyDescent="0.25">
      <c r="A24">
        <v>1987.09</v>
      </c>
      <c r="B24">
        <v>1500.17</v>
      </c>
      <c r="C24" s="35">
        <f t="shared" si="0"/>
        <v>-2.4780891371242397</v>
      </c>
      <c r="D24" s="45"/>
      <c r="H24" s="53" t="s">
        <v>141</v>
      </c>
      <c r="J24" s="29">
        <f>NORMSINV((1-J23)/2)</f>
        <v>-1.6448536269514726</v>
      </c>
      <c r="K24" s="29">
        <f>NORMSINV((1-K23)/2)</f>
        <v>-1.9599639845400536</v>
      </c>
      <c r="L24" s="29">
        <f>NORMSINV((1-L23)/2)</f>
        <v>-2.5758293035488999</v>
      </c>
    </row>
    <row r="25" spans="1:13" x14ac:dyDescent="0.25">
      <c r="A25">
        <v>1987.1</v>
      </c>
      <c r="B25">
        <v>1177.3800000000001</v>
      </c>
      <c r="C25" s="35">
        <f t="shared" si="0"/>
        <v>-24.228680413261117</v>
      </c>
      <c r="D25" s="45"/>
      <c r="H25" t="s">
        <v>142</v>
      </c>
      <c r="J25" s="42">
        <f>$G$2-ABS(J24)*$G$3</f>
        <v>-9.027198779687037</v>
      </c>
      <c r="K25" s="42">
        <f>$G$2-ABS(K24)*$G$3</f>
        <v>-10.863848072672202</v>
      </c>
      <c r="L25" s="42">
        <f>$G$2-ABS(L24)*$G$3</f>
        <v>-14.453474930347634</v>
      </c>
    </row>
    <row r="26" spans="1:13" x14ac:dyDescent="0.25">
      <c r="A26">
        <v>1987.11</v>
      </c>
      <c r="B26">
        <v>1022.84</v>
      </c>
      <c r="C26" s="35">
        <f t="shared" si="0"/>
        <v>-14.070855888689149</v>
      </c>
      <c r="D26" s="45"/>
      <c r="H26" t="s">
        <v>143</v>
      </c>
      <c r="J26" s="42">
        <f>$G$2+ABS(J24)*$G$3</f>
        <v>10.147158255881131</v>
      </c>
      <c r="K26" s="42">
        <f>$G$2+ABS(K24)*$G$3</f>
        <v>11.983807548866295</v>
      </c>
      <c r="L26" s="42">
        <f>$G$2+ABS(L24)*$G$3</f>
        <v>15.573434406541727</v>
      </c>
    </row>
    <row r="27" spans="1:13" x14ac:dyDescent="0.25">
      <c r="A27">
        <v>1987.12</v>
      </c>
      <c r="B27">
        <v>1000</v>
      </c>
      <c r="C27" s="35">
        <f t="shared" si="0"/>
        <v>-2.258307200025822</v>
      </c>
      <c r="D27" s="45"/>
    </row>
    <row r="28" spans="1:13" x14ac:dyDescent="0.25">
      <c r="A28">
        <v>1988.01</v>
      </c>
      <c r="B28">
        <v>935.57</v>
      </c>
      <c r="C28" s="35">
        <f t="shared" si="0"/>
        <v>-6.6599309771241622</v>
      </c>
      <c r="D28" s="45"/>
    </row>
    <row r="29" spans="1:13" x14ac:dyDescent="0.25">
      <c r="A29">
        <v>1988.02</v>
      </c>
      <c r="B29">
        <v>1079.55</v>
      </c>
      <c r="C29" s="35">
        <f t="shared" si="0"/>
        <v>14.314359741102756</v>
      </c>
      <c r="D29" s="45"/>
    </row>
    <row r="30" spans="1:13" x14ac:dyDescent="0.25">
      <c r="A30">
        <v>1988.03</v>
      </c>
      <c r="B30">
        <v>1063.17</v>
      </c>
      <c r="C30" s="35">
        <f t="shared" si="0"/>
        <v>-1.528927632527477</v>
      </c>
      <c r="D30" s="45"/>
    </row>
    <row r="31" spans="1:13" x14ac:dyDescent="0.25">
      <c r="A31">
        <v>1988.04</v>
      </c>
      <c r="B31">
        <v>1054.46</v>
      </c>
      <c r="C31" s="35">
        <f t="shared" si="0"/>
        <v>-0.82262237667922733</v>
      </c>
      <c r="D31" s="45"/>
    </row>
    <row r="32" spans="1:13" x14ac:dyDescent="0.25">
      <c r="A32">
        <v>1988.05</v>
      </c>
      <c r="B32">
        <v>1083.31</v>
      </c>
      <c r="C32" s="35">
        <f t="shared" si="0"/>
        <v>2.6992381432322965</v>
      </c>
      <c r="D32" s="45"/>
    </row>
    <row r="33" spans="1:4" x14ac:dyDescent="0.25">
      <c r="A33">
        <v>1988.06</v>
      </c>
      <c r="B33">
        <v>1140.49</v>
      </c>
      <c r="C33" s="35">
        <f t="shared" si="0"/>
        <v>5.1436825639650685</v>
      </c>
      <c r="D33" s="45"/>
    </row>
    <row r="34" spans="1:4" x14ac:dyDescent="0.25">
      <c r="A34">
        <v>1988.07</v>
      </c>
      <c r="B34">
        <v>1181.72</v>
      </c>
      <c r="C34" s="35">
        <f t="shared" si="0"/>
        <v>3.5513009669318585</v>
      </c>
      <c r="D34" s="45"/>
    </row>
    <row r="35" spans="1:4" x14ac:dyDescent="0.25">
      <c r="A35">
        <v>1988.08</v>
      </c>
      <c r="B35">
        <v>1165.3599999999999</v>
      </c>
      <c r="C35" s="35">
        <f t="shared" si="0"/>
        <v>-1.3940952130456097</v>
      </c>
      <c r="D35" s="45"/>
    </row>
    <row r="36" spans="1:4" x14ac:dyDescent="0.25">
      <c r="A36">
        <v>1988.09</v>
      </c>
      <c r="B36">
        <v>1252.69</v>
      </c>
      <c r="C36" s="35">
        <f t="shared" si="0"/>
        <v>7.2263186920348055</v>
      </c>
      <c r="D36" s="45"/>
    </row>
    <row r="37" spans="1:4" x14ac:dyDescent="0.25">
      <c r="A37">
        <v>1988.1</v>
      </c>
      <c r="B37">
        <v>1300.79</v>
      </c>
      <c r="C37" s="35">
        <f t="shared" si="0"/>
        <v>3.7678533126080715</v>
      </c>
      <c r="D37" s="45"/>
    </row>
    <row r="38" spans="1:4" x14ac:dyDescent="0.25">
      <c r="A38">
        <v>1988.11</v>
      </c>
      <c r="B38">
        <v>1275.99</v>
      </c>
      <c r="C38" s="35">
        <f t="shared" si="0"/>
        <v>-1.9249424303690255</v>
      </c>
      <c r="D38" s="45"/>
    </row>
    <row r="39" spans="1:4" x14ac:dyDescent="0.25">
      <c r="A39">
        <v>1988.12</v>
      </c>
      <c r="B39">
        <v>1327.87</v>
      </c>
      <c r="C39" s="35">
        <f t="shared" si="0"/>
        <v>3.985380679499162</v>
      </c>
      <c r="D39" s="45"/>
    </row>
    <row r="40" spans="1:4" x14ac:dyDescent="0.25">
      <c r="A40">
        <v>1989.01</v>
      </c>
      <c r="B40">
        <v>1312.73</v>
      </c>
      <c r="C40" s="35">
        <f t="shared" si="0"/>
        <v>-1.1467216469806196</v>
      </c>
      <c r="D40" s="45"/>
    </row>
    <row r="41" spans="1:4" x14ac:dyDescent="0.25">
      <c r="A41">
        <v>1989.02</v>
      </c>
      <c r="B41">
        <v>1288.6600000000001</v>
      </c>
      <c r="C41" s="35">
        <f t="shared" si="0"/>
        <v>-1.8506019427572795</v>
      </c>
      <c r="D41" s="45"/>
    </row>
    <row r="42" spans="1:4" x14ac:dyDescent="0.25">
      <c r="A42">
        <v>1989.03</v>
      </c>
      <c r="B42">
        <v>1322.66</v>
      </c>
      <c r="C42" s="35">
        <f t="shared" si="0"/>
        <v>2.6041941620327691</v>
      </c>
      <c r="D42" s="45"/>
    </row>
    <row r="43" spans="1:4" x14ac:dyDescent="0.25">
      <c r="A43">
        <v>1989.04</v>
      </c>
      <c r="B43">
        <v>1370.9</v>
      </c>
      <c r="C43" s="35">
        <f t="shared" si="0"/>
        <v>3.5822598040484266</v>
      </c>
      <c r="D43" s="45"/>
    </row>
    <row r="44" spans="1:4" x14ac:dyDescent="0.25">
      <c r="A44">
        <v>1989.05</v>
      </c>
      <c r="B44">
        <v>1407.29</v>
      </c>
      <c r="C44" s="35">
        <f t="shared" si="0"/>
        <v>2.6198410729977972</v>
      </c>
      <c r="D44" s="45"/>
    </row>
    <row r="45" spans="1:4" x14ac:dyDescent="0.25">
      <c r="A45">
        <v>1989.06</v>
      </c>
      <c r="B45">
        <v>1473.72</v>
      </c>
      <c r="C45" s="35">
        <f t="shared" si="0"/>
        <v>4.6123947238459806</v>
      </c>
      <c r="D45" s="45"/>
    </row>
    <row r="46" spans="1:4" x14ac:dyDescent="0.25">
      <c r="A46">
        <v>1989.07</v>
      </c>
      <c r="B46">
        <v>1554.16</v>
      </c>
      <c r="C46" s="35">
        <f t="shared" si="0"/>
        <v>5.3145390320232799</v>
      </c>
      <c r="D46" s="45"/>
    </row>
    <row r="47" spans="1:4" x14ac:dyDescent="0.25">
      <c r="A47">
        <v>1989.08</v>
      </c>
      <c r="B47">
        <v>1597.85</v>
      </c>
      <c r="C47" s="35">
        <f t="shared" si="0"/>
        <v>2.7723768855712372</v>
      </c>
      <c r="D47" s="45"/>
    </row>
    <row r="48" spans="1:4" x14ac:dyDescent="0.25">
      <c r="A48">
        <v>1989.09</v>
      </c>
      <c r="B48">
        <v>1574.37</v>
      </c>
      <c r="C48" s="35">
        <f t="shared" si="0"/>
        <v>-1.4803783347844046</v>
      </c>
      <c r="D48" s="45"/>
    </row>
    <row r="49" spans="1:4" x14ac:dyDescent="0.25">
      <c r="A49">
        <v>1989.1</v>
      </c>
      <c r="B49">
        <v>1472.76</v>
      </c>
      <c r="C49" s="35">
        <f t="shared" si="0"/>
        <v>-6.6717000840976759</v>
      </c>
      <c r="D49" s="45"/>
    </row>
    <row r="50" spans="1:4" x14ac:dyDescent="0.25">
      <c r="A50">
        <v>1989.11</v>
      </c>
      <c r="B50">
        <v>1577.43</v>
      </c>
      <c r="C50" s="35">
        <f t="shared" si="0"/>
        <v>6.8658749023886578</v>
      </c>
      <c r="D50" s="45"/>
    </row>
    <row r="51" spans="1:4" x14ac:dyDescent="0.25">
      <c r="A51">
        <v>1989.12</v>
      </c>
      <c r="B51">
        <v>1790.37</v>
      </c>
      <c r="C51" s="35">
        <f t="shared" si="0"/>
        <v>12.662536196380181</v>
      </c>
      <c r="D51" s="45"/>
    </row>
    <row r="52" spans="1:4" x14ac:dyDescent="0.25">
      <c r="A52">
        <v>1990.01</v>
      </c>
      <c r="B52">
        <v>1823.44</v>
      </c>
      <c r="C52" s="35">
        <f t="shared" si="0"/>
        <v>1.8302524565776856</v>
      </c>
      <c r="D52" s="45"/>
    </row>
    <row r="53" spans="1:4" x14ac:dyDescent="0.25">
      <c r="A53">
        <v>1990.02</v>
      </c>
      <c r="B53">
        <v>1809.92</v>
      </c>
      <c r="C53" s="35">
        <f t="shared" si="0"/>
        <v>-0.74421815628387122</v>
      </c>
      <c r="D53" s="45"/>
    </row>
    <row r="54" spans="1:4" x14ac:dyDescent="0.25">
      <c r="A54">
        <v>1990.03</v>
      </c>
      <c r="B54">
        <v>1968.55</v>
      </c>
      <c r="C54" s="35">
        <f t="shared" si="0"/>
        <v>8.4014585723973134</v>
      </c>
      <c r="D54" s="45"/>
    </row>
    <row r="55" spans="1:4" x14ac:dyDescent="0.25">
      <c r="A55">
        <v>1990.04</v>
      </c>
      <c r="B55">
        <v>1813.25</v>
      </c>
      <c r="C55" s="35">
        <f t="shared" si="0"/>
        <v>-8.2176415868494779</v>
      </c>
      <c r="D55" s="45"/>
    </row>
    <row r="56" spans="1:4" x14ac:dyDescent="0.25">
      <c r="A56">
        <v>1990.05</v>
      </c>
      <c r="B56">
        <v>1844.81</v>
      </c>
      <c r="C56" s="35">
        <f t="shared" si="0"/>
        <v>1.7255475898385164</v>
      </c>
      <c r="D56" s="45"/>
    </row>
    <row r="57" spans="1:4" x14ac:dyDescent="0.25">
      <c r="A57">
        <v>1990.06</v>
      </c>
      <c r="B57">
        <v>1879.9</v>
      </c>
      <c r="C57" s="35">
        <f t="shared" si="0"/>
        <v>1.8842292778008307</v>
      </c>
      <c r="D57" s="45"/>
    </row>
    <row r="58" spans="1:4" x14ac:dyDescent="0.25">
      <c r="A58">
        <v>1990.07</v>
      </c>
      <c r="B58">
        <v>1919.2</v>
      </c>
      <c r="C58" s="35">
        <f t="shared" si="0"/>
        <v>2.0689848605569772</v>
      </c>
      <c r="D58" s="45"/>
    </row>
    <row r="59" spans="1:4" x14ac:dyDescent="0.25">
      <c r="A59">
        <v>1990.08</v>
      </c>
      <c r="B59">
        <v>1629.51</v>
      </c>
      <c r="C59" s="35">
        <f t="shared" si="0"/>
        <v>-16.362907641490398</v>
      </c>
      <c r="D59" s="45"/>
    </row>
    <row r="60" spans="1:4" x14ac:dyDescent="0.25">
      <c r="A60">
        <v>1990.09</v>
      </c>
      <c r="B60">
        <v>1334.89</v>
      </c>
      <c r="C60" s="35">
        <f t="shared" si="0"/>
        <v>-19.943046467479597</v>
      </c>
      <c r="D60" s="45"/>
    </row>
    <row r="61" spans="1:4" x14ac:dyDescent="0.25">
      <c r="A61">
        <v>1990.1</v>
      </c>
      <c r="B61">
        <v>1433.82</v>
      </c>
      <c r="C61" s="35">
        <f t="shared" si="0"/>
        <v>7.1493319832555358</v>
      </c>
      <c r="D61" s="45"/>
    </row>
    <row r="62" spans="1:4" x14ac:dyDescent="0.25">
      <c r="A62">
        <v>1990.11</v>
      </c>
      <c r="B62">
        <v>1441.23</v>
      </c>
      <c r="C62" s="35">
        <f t="shared" si="0"/>
        <v>0.51547043756254851</v>
      </c>
      <c r="D62" s="45"/>
    </row>
    <row r="63" spans="1:4" x14ac:dyDescent="0.25">
      <c r="A63">
        <v>1990.12</v>
      </c>
      <c r="B63">
        <v>1398.23</v>
      </c>
      <c r="C63" s="35">
        <f t="shared" si="0"/>
        <v>-3.028976463834443</v>
      </c>
      <c r="D63" s="45"/>
    </row>
    <row r="64" spans="1:4" x14ac:dyDescent="0.25">
      <c r="A64">
        <v>1991.01</v>
      </c>
      <c r="B64">
        <v>1420.08</v>
      </c>
      <c r="C64" s="35">
        <f t="shared" si="0"/>
        <v>1.550605703092689</v>
      </c>
      <c r="D64" s="45"/>
    </row>
    <row r="65" spans="1:4" x14ac:dyDescent="0.25">
      <c r="A65">
        <v>1991.02</v>
      </c>
      <c r="B65">
        <v>1542.09</v>
      </c>
      <c r="C65" s="35">
        <f t="shared" si="0"/>
        <v>8.2425431142266525</v>
      </c>
      <c r="D65" s="45"/>
    </row>
    <row r="66" spans="1:4" x14ac:dyDescent="0.25">
      <c r="A66">
        <v>1991.03</v>
      </c>
      <c r="B66">
        <v>1522.8</v>
      </c>
      <c r="C66" s="35">
        <f t="shared" si="0"/>
        <v>-1.2587893670472639</v>
      </c>
      <c r="D66" s="45"/>
    </row>
    <row r="67" spans="1:4" x14ac:dyDescent="0.25">
      <c r="A67">
        <v>1991.04</v>
      </c>
      <c r="B67">
        <v>1605.79</v>
      </c>
      <c r="C67" s="35">
        <f t="shared" si="0"/>
        <v>5.3065101797268532</v>
      </c>
      <c r="D67" s="45"/>
    </row>
    <row r="68" spans="1:4" x14ac:dyDescent="0.25">
      <c r="A68">
        <v>1991.05</v>
      </c>
      <c r="B68">
        <v>1704.11</v>
      </c>
      <c r="C68" s="35">
        <f t="shared" si="0"/>
        <v>5.9427132990741427</v>
      </c>
      <c r="D68" s="45"/>
    </row>
    <row r="69" spans="1:4" x14ac:dyDescent="0.25">
      <c r="A69">
        <v>1991.06</v>
      </c>
      <c r="B69">
        <v>1622.18</v>
      </c>
      <c r="C69" s="35">
        <f t="shared" ref="C69:C132" si="4">100*(LN(B69)-LN(B68))</f>
        <v>-4.9272056672123199</v>
      </c>
      <c r="D69" s="45"/>
    </row>
    <row r="70" spans="1:4" x14ac:dyDescent="0.25">
      <c r="A70">
        <v>1991.07</v>
      </c>
      <c r="B70">
        <v>1622.31</v>
      </c>
      <c r="C70" s="35">
        <f t="shared" si="4"/>
        <v>8.0135861149521759E-3</v>
      </c>
      <c r="D70" s="45"/>
    </row>
    <row r="71" spans="1:4" x14ac:dyDescent="0.25">
      <c r="A71">
        <v>1991.08</v>
      </c>
      <c r="B71">
        <v>1650.5</v>
      </c>
      <c r="C71" s="35">
        <f t="shared" si="4"/>
        <v>1.7227212807869208</v>
      </c>
      <c r="D71" s="45"/>
    </row>
    <row r="72" spans="1:4" x14ac:dyDescent="0.25">
      <c r="A72">
        <v>1991.09</v>
      </c>
      <c r="B72">
        <v>1607.03</v>
      </c>
      <c r="C72" s="35">
        <f t="shared" si="4"/>
        <v>-2.6690517403912928</v>
      </c>
      <c r="D72" s="45"/>
    </row>
    <row r="73" spans="1:4" x14ac:dyDescent="0.25">
      <c r="A73">
        <v>1991.1</v>
      </c>
      <c r="B73">
        <v>1582.06</v>
      </c>
      <c r="C73" s="35">
        <f t="shared" si="4"/>
        <v>-1.5659959605839546</v>
      </c>
      <c r="D73" s="45"/>
    </row>
    <row r="74" spans="1:4" x14ac:dyDescent="0.25">
      <c r="A74">
        <v>1991.11</v>
      </c>
      <c r="B74">
        <v>1566.57</v>
      </c>
      <c r="C74" s="35">
        <f t="shared" si="4"/>
        <v>-0.98392792847690203</v>
      </c>
      <c r="D74" s="45"/>
    </row>
    <row r="75" spans="1:4" x14ac:dyDescent="0.25">
      <c r="A75">
        <v>1991.12</v>
      </c>
      <c r="B75">
        <v>1577.98</v>
      </c>
      <c r="C75" s="35">
        <f t="shared" si="4"/>
        <v>0.72570320555440659</v>
      </c>
      <c r="D75" s="45"/>
    </row>
    <row r="76" spans="1:4" x14ac:dyDescent="0.25">
      <c r="A76">
        <v>1992.01</v>
      </c>
      <c r="B76">
        <v>1687.49</v>
      </c>
      <c r="C76" s="35">
        <f t="shared" si="4"/>
        <v>6.709666974893036</v>
      </c>
      <c r="D76" s="45"/>
    </row>
    <row r="77" spans="1:4" x14ac:dyDescent="0.25">
      <c r="A77">
        <v>1992.02</v>
      </c>
      <c r="B77">
        <v>1745.13</v>
      </c>
      <c r="C77" s="35">
        <f t="shared" si="4"/>
        <v>3.3586833625781409</v>
      </c>
      <c r="D77" s="45"/>
    </row>
    <row r="78" spans="1:4" x14ac:dyDescent="0.25">
      <c r="A78">
        <v>1992.03</v>
      </c>
      <c r="B78">
        <v>1717.86</v>
      </c>
      <c r="C78" s="35">
        <f t="shared" si="4"/>
        <v>-1.5749721310053921</v>
      </c>
      <c r="D78" s="45"/>
    </row>
    <row r="79" spans="1:4" x14ac:dyDescent="0.25">
      <c r="A79">
        <v>1992.04</v>
      </c>
      <c r="B79">
        <v>1734.03</v>
      </c>
      <c r="C79" s="35">
        <f t="shared" si="4"/>
        <v>0.93688491099594984</v>
      </c>
      <c r="D79" s="45"/>
    </row>
    <row r="80" spans="1:4" x14ac:dyDescent="0.25">
      <c r="A80">
        <v>1992.05</v>
      </c>
      <c r="B80">
        <v>1803.22</v>
      </c>
      <c r="C80" s="35">
        <f t="shared" si="4"/>
        <v>3.9125776388194033</v>
      </c>
      <c r="D80" s="45"/>
    </row>
    <row r="81" spans="1:4" x14ac:dyDescent="0.25">
      <c r="A81">
        <v>1992.06</v>
      </c>
      <c r="B81">
        <v>1752.63</v>
      </c>
      <c r="C81" s="35">
        <f t="shared" si="4"/>
        <v>-2.8456438716293775</v>
      </c>
      <c r="D81" s="45"/>
    </row>
    <row r="82" spans="1:4" x14ac:dyDescent="0.25">
      <c r="A82">
        <v>1992.07</v>
      </c>
      <c r="B82">
        <v>1615.42</v>
      </c>
      <c r="C82" s="35">
        <f t="shared" si="4"/>
        <v>-8.1522532134766124</v>
      </c>
      <c r="D82" s="45"/>
    </row>
    <row r="83" spans="1:4" x14ac:dyDescent="0.25">
      <c r="A83">
        <v>1992.08</v>
      </c>
      <c r="B83">
        <v>1541.25</v>
      </c>
      <c r="C83" s="35">
        <f t="shared" si="4"/>
        <v>-4.7001209287468093</v>
      </c>
      <c r="D83" s="45"/>
    </row>
    <row r="84" spans="1:4" x14ac:dyDescent="0.25">
      <c r="A84">
        <v>1992.09</v>
      </c>
      <c r="B84">
        <v>1466.36</v>
      </c>
      <c r="C84" s="35">
        <f t="shared" si="4"/>
        <v>-4.9810636011954124</v>
      </c>
      <c r="D84" s="45"/>
    </row>
    <row r="85" spans="1:4" x14ac:dyDescent="0.25">
      <c r="A85">
        <v>1992.1</v>
      </c>
      <c r="B85">
        <v>1492.32</v>
      </c>
      <c r="C85" s="35">
        <f t="shared" si="4"/>
        <v>1.7548816511953724</v>
      </c>
      <c r="D85" s="45"/>
    </row>
    <row r="86" spans="1:4" x14ac:dyDescent="0.25">
      <c r="A86">
        <v>1992.11</v>
      </c>
      <c r="B86">
        <v>1544.34</v>
      </c>
      <c r="C86" s="35">
        <f t="shared" si="4"/>
        <v>3.4264678617994981</v>
      </c>
      <c r="D86" s="45"/>
    </row>
    <row r="87" spans="1:4" x14ac:dyDescent="0.25">
      <c r="A87">
        <v>1992.12</v>
      </c>
      <c r="B87">
        <v>1545.05</v>
      </c>
      <c r="C87" s="35">
        <f t="shared" si="4"/>
        <v>4.5963767119072685E-2</v>
      </c>
      <c r="D87" s="45"/>
    </row>
    <row r="88" spans="1:4" x14ac:dyDescent="0.25">
      <c r="A88">
        <v>1993.01</v>
      </c>
      <c r="B88">
        <v>1571.85</v>
      </c>
      <c r="C88" s="35">
        <f t="shared" si="4"/>
        <v>1.719699732132085</v>
      </c>
      <c r="D88" s="45"/>
    </row>
    <row r="89" spans="1:4" x14ac:dyDescent="0.25">
      <c r="A89">
        <v>1993.02</v>
      </c>
      <c r="B89">
        <v>1684.35</v>
      </c>
      <c r="C89" s="35">
        <f t="shared" si="4"/>
        <v>6.9126463097597401</v>
      </c>
      <c r="D89" s="45"/>
    </row>
    <row r="90" spans="1:4" x14ac:dyDescent="0.25">
      <c r="A90">
        <v>1993.03</v>
      </c>
      <c r="B90">
        <v>1684.21</v>
      </c>
      <c r="C90" s="35">
        <f t="shared" si="4"/>
        <v>-8.3121571282873674E-3</v>
      </c>
      <c r="D90" s="45"/>
    </row>
    <row r="91" spans="1:4" x14ac:dyDescent="0.25">
      <c r="A91">
        <v>1993.04</v>
      </c>
      <c r="B91">
        <v>1627.19</v>
      </c>
      <c r="C91" s="35">
        <f t="shared" si="4"/>
        <v>-3.4442010366020348</v>
      </c>
      <c r="D91" s="45"/>
    </row>
    <row r="92" spans="1:4" x14ac:dyDescent="0.25">
      <c r="A92">
        <v>1993.05</v>
      </c>
      <c r="B92">
        <v>1631.85</v>
      </c>
      <c r="C92" s="35">
        <f t="shared" si="4"/>
        <v>0.28597397858467488</v>
      </c>
      <c r="D92" s="45"/>
    </row>
    <row r="93" spans="1:4" x14ac:dyDescent="0.25">
      <c r="A93">
        <v>1993.06</v>
      </c>
      <c r="B93">
        <v>1697.63</v>
      </c>
      <c r="C93" s="35">
        <f t="shared" si="4"/>
        <v>3.9518820175909575</v>
      </c>
      <c r="D93" s="45"/>
    </row>
    <row r="94" spans="1:4" x14ac:dyDescent="0.25">
      <c r="A94">
        <v>1993.07</v>
      </c>
      <c r="B94">
        <v>1803.23</v>
      </c>
      <c r="C94" s="35">
        <f t="shared" si="4"/>
        <v>6.0346340525624598</v>
      </c>
      <c r="D94" s="45"/>
    </row>
    <row r="95" spans="1:4" x14ac:dyDescent="0.25">
      <c r="A95">
        <v>1993.08</v>
      </c>
      <c r="B95">
        <v>1944.89</v>
      </c>
      <c r="C95" s="35">
        <f t="shared" si="4"/>
        <v>7.5625918946578885</v>
      </c>
      <c r="D95" s="45"/>
    </row>
    <row r="96" spans="1:4" x14ac:dyDescent="0.25">
      <c r="A96">
        <v>1993.09</v>
      </c>
      <c r="B96">
        <v>1915.71</v>
      </c>
      <c r="C96" s="35">
        <f t="shared" si="4"/>
        <v>-1.5117109101870696</v>
      </c>
      <c r="D96" s="45"/>
    </row>
    <row r="97" spans="1:4" x14ac:dyDescent="0.25">
      <c r="A97">
        <v>1993.1</v>
      </c>
      <c r="B97">
        <v>2069</v>
      </c>
      <c r="C97" s="35">
        <f t="shared" si="4"/>
        <v>7.6977087664099386</v>
      </c>
      <c r="D97" s="45"/>
    </row>
    <row r="98" spans="1:4" x14ac:dyDescent="0.25">
      <c r="A98">
        <v>1993.11</v>
      </c>
      <c r="B98">
        <v>2057.77</v>
      </c>
      <c r="C98" s="35">
        <f t="shared" si="4"/>
        <v>-0.5442526586358909</v>
      </c>
      <c r="D98" s="45"/>
    </row>
    <row r="99" spans="1:4" x14ac:dyDescent="0.25">
      <c r="A99">
        <v>1993.12</v>
      </c>
      <c r="B99">
        <v>2266.6799999999998</v>
      </c>
      <c r="C99" s="35">
        <f t="shared" si="4"/>
        <v>9.6693333672544846</v>
      </c>
      <c r="D99" s="45"/>
    </row>
    <row r="100" spans="1:4" x14ac:dyDescent="0.25">
      <c r="A100">
        <v>1994.01</v>
      </c>
      <c r="B100">
        <v>2177.4499999999998</v>
      </c>
      <c r="C100" s="35">
        <f t="shared" si="4"/>
        <v>-4.0161738481218734</v>
      </c>
      <c r="D100" s="45"/>
    </row>
    <row r="101" spans="1:4" x14ac:dyDescent="0.25">
      <c r="A101">
        <v>1994.02</v>
      </c>
      <c r="B101">
        <v>2091.5700000000002</v>
      </c>
      <c r="C101" s="35">
        <f t="shared" si="4"/>
        <v>-4.023948722602988</v>
      </c>
      <c r="D101" s="45"/>
    </row>
    <row r="102" spans="1:4" x14ac:dyDescent="0.25">
      <c r="A102">
        <v>1994.03</v>
      </c>
      <c r="B102">
        <v>2133.11</v>
      </c>
      <c r="C102" s="35">
        <f t="shared" si="4"/>
        <v>1.9666028575055172</v>
      </c>
      <c r="D102" s="45"/>
    </row>
    <row r="103" spans="1:4" x14ac:dyDescent="0.25">
      <c r="A103">
        <v>1994.04</v>
      </c>
      <c r="B103">
        <v>2245.98</v>
      </c>
      <c r="C103" s="35">
        <f t="shared" si="4"/>
        <v>5.156094283970436</v>
      </c>
      <c r="D103" s="45"/>
    </row>
    <row r="104" spans="1:4" x14ac:dyDescent="0.25">
      <c r="A104">
        <v>1994.05</v>
      </c>
      <c r="B104">
        <v>2127.6999999999998</v>
      </c>
      <c r="C104" s="35">
        <f t="shared" si="4"/>
        <v>-5.41003674595677</v>
      </c>
      <c r="D104" s="45"/>
    </row>
    <row r="105" spans="1:4" x14ac:dyDescent="0.25">
      <c r="A105">
        <v>1994.06</v>
      </c>
      <c r="B105">
        <v>2025.34</v>
      </c>
      <c r="C105" s="35">
        <f t="shared" si="4"/>
        <v>-4.9303996398299077</v>
      </c>
      <c r="D105" s="45"/>
    </row>
    <row r="106" spans="1:4" x14ac:dyDescent="0.25">
      <c r="A106">
        <v>1994.07</v>
      </c>
      <c r="B106">
        <v>2146.64</v>
      </c>
      <c r="C106" s="35">
        <f t="shared" si="4"/>
        <v>5.8166241311510269</v>
      </c>
      <c r="D106" s="45"/>
    </row>
    <row r="107" spans="1:4" x14ac:dyDescent="0.25">
      <c r="A107">
        <v>1994.08</v>
      </c>
      <c r="B107">
        <v>2212.85</v>
      </c>
      <c r="C107" s="35">
        <f t="shared" si="4"/>
        <v>3.0377448468547286</v>
      </c>
      <c r="D107" s="45"/>
    </row>
    <row r="108" spans="1:4" x14ac:dyDescent="0.25">
      <c r="A108">
        <v>1994.09</v>
      </c>
      <c r="B108">
        <v>2011.75</v>
      </c>
      <c r="C108" s="35">
        <f t="shared" si="4"/>
        <v>-9.527628743518779</v>
      </c>
      <c r="D108" s="45"/>
    </row>
    <row r="109" spans="1:4" x14ac:dyDescent="0.25">
      <c r="A109">
        <v>1994.1</v>
      </c>
      <c r="B109">
        <v>2071.63</v>
      </c>
      <c r="C109" s="35">
        <f t="shared" si="4"/>
        <v>2.9330746978783573</v>
      </c>
      <c r="D109" s="45"/>
    </row>
    <row r="110" spans="1:4" x14ac:dyDescent="0.25">
      <c r="A110">
        <v>1994.11</v>
      </c>
      <c r="B110">
        <v>2048.2600000000002</v>
      </c>
      <c r="C110" s="35">
        <f t="shared" si="4"/>
        <v>-1.1345084778493941</v>
      </c>
      <c r="D110" s="45"/>
    </row>
    <row r="111" spans="1:4" x14ac:dyDescent="0.25">
      <c r="A111">
        <v>1994.12</v>
      </c>
      <c r="B111">
        <v>2106.58</v>
      </c>
      <c r="C111" s="35">
        <f t="shared" si="4"/>
        <v>2.8075127159513436</v>
      </c>
      <c r="D111" s="45"/>
    </row>
    <row r="112" spans="1:4" x14ac:dyDescent="0.25">
      <c r="A112">
        <v>1995.01</v>
      </c>
      <c r="B112">
        <v>2021.27</v>
      </c>
      <c r="C112" s="35">
        <f t="shared" si="4"/>
        <v>-4.1339752676645247</v>
      </c>
      <c r="D112" s="45"/>
    </row>
    <row r="113" spans="1:4" x14ac:dyDescent="0.25">
      <c r="A113">
        <v>1995.02</v>
      </c>
      <c r="B113">
        <v>2102.1799999999998</v>
      </c>
      <c r="C113" s="35">
        <f t="shared" si="4"/>
        <v>3.9248874791955934</v>
      </c>
      <c r="D113" s="45"/>
    </row>
    <row r="114" spans="1:4" x14ac:dyDescent="0.25">
      <c r="A114">
        <v>1995.03</v>
      </c>
      <c r="B114">
        <v>1922.59</v>
      </c>
      <c r="C114" s="35">
        <f t="shared" si="4"/>
        <v>-8.9301666173087213</v>
      </c>
      <c r="D114" s="45"/>
    </row>
    <row r="115" spans="1:4" x14ac:dyDescent="0.25">
      <c r="A115">
        <v>1995.04</v>
      </c>
      <c r="B115">
        <v>2015.94</v>
      </c>
      <c r="C115" s="35">
        <f t="shared" si="4"/>
        <v>4.7412352515333822</v>
      </c>
      <c r="D115" s="45"/>
    </row>
    <row r="116" spans="1:4" x14ac:dyDescent="0.25">
      <c r="A116">
        <v>1995.05</v>
      </c>
      <c r="B116">
        <v>2092.17</v>
      </c>
      <c r="C116" s="35">
        <f t="shared" si="4"/>
        <v>3.7116216989923956</v>
      </c>
      <c r="D116" s="45"/>
    </row>
    <row r="117" spans="1:4" x14ac:dyDescent="0.25">
      <c r="A117">
        <v>1995.06</v>
      </c>
      <c r="B117">
        <v>2083.9299999999998</v>
      </c>
      <c r="C117" s="35">
        <f t="shared" si="4"/>
        <v>-0.39462707758408655</v>
      </c>
      <c r="D117" s="45"/>
    </row>
    <row r="118" spans="1:4" x14ac:dyDescent="0.25">
      <c r="A118">
        <v>1995.07</v>
      </c>
      <c r="B118">
        <v>2218.7399999999998</v>
      </c>
      <c r="C118" s="35">
        <f t="shared" si="4"/>
        <v>6.2683933113629742</v>
      </c>
      <c r="D118" s="45"/>
    </row>
    <row r="119" spans="1:4" x14ac:dyDescent="0.25">
      <c r="A119">
        <v>1995.08</v>
      </c>
      <c r="B119">
        <v>2238.31</v>
      </c>
      <c r="C119" s="35">
        <f t="shared" si="4"/>
        <v>0.87816496406443179</v>
      </c>
      <c r="D119" s="45"/>
    </row>
    <row r="120" spans="1:4" x14ac:dyDescent="0.25">
      <c r="A120">
        <v>1995.09</v>
      </c>
      <c r="B120">
        <v>2187.04</v>
      </c>
      <c r="C120" s="35">
        <f t="shared" si="4"/>
        <v>-2.3172085407617615</v>
      </c>
      <c r="D120" s="45"/>
    </row>
    <row r="121" spans="1:4" x14ac:dyDescent="0.25">
      <c r="A121">
        <v>1995.1</v>
      </c>
      <c r="B121">
        <v>2167.91</v>
      </c>
      <c r="C121" s="35">
        <f t="shared" si="4"/>
        <v>-0.87854616216196391</v>
      </c>
      <c r="D121" s="45"/>
    </row>
    <row r="122" spans="1:4" x14ac:dyDescent="0.25">
      <c r="A122">
        <v>1995.11</v>
      </c>
      <c r="B122">
        <v>2242.83</v>
      </c>
      <c r="C122" s="35">
        <f t="shared" si="4"/>
        <v>3.3974891514306549</v>
      </c>
      <c r="D122" s="45"/>
    </row>
    <row r="123" spans="1:4" x14ac:dyDescent="0.25">
      <c r="A123">
        <v>1995.12</v>
      </c>
      <c r="B123">
        <v>2253.88</v>
      </c>
      <c r="C123" s="35">
        <f t="shared" si="4"/>
        <v>0.49147141986836118</v>
      </c>
      <c r="D123" s="45"/>
    </row>
    <row r="124" spans="1:4" x14ac:dyDescent="0.25">
      <c r="A124">
        <v>1996.01</v>
      </c>
      <c r="B124">
        <v>2435.79</v>
      </c>
      <c r="C124" s="35">
        <f t="shared" si="4"/>
        <v>7.7617963721494654</v>
      </c>
      <c r="D124" s="45"/>
    </row>
    <row r="125" spans="1:4" x14ac:dyDescent="0.25">
      <c r="A125">
        <v>1996.02</v>
      </c>
      <c r="B125">
        <v>2473.5500000000002</v>
      </c>
      <c r="C125" s="35">
        <f t="shared" si="4"/>
        <v>1.538322651752555</v>
      </c>
      <c r="D125" s="45"/>
    </row>
    <row r="126" spans="1:4" x14ac:dyDescent="0.25">
      <c r="A126">
        <v>1996.03</v>
      </c>
      <c r="B126">
        <v>2485.87</v>
      </c>
      <c r="C126" s="35">
        <f t="shared" si="4"/>
        <v>0.49683331287013743</v>
      </c>
      <c r="D126" s="45"/>
    </row>
    <row r="127" spans="1:4" x14ac:dyDescent="0.25">
      <c r="A127">
        <v>1996.04</v>
      </c>
      <c r="B127">
        <v>2505.25</v>
      </c>
      <c r="C127" s="35">
        <f t="shared" si="4"/>
        <v>0.77658310750035042</v>
      </c>
      <c r="D127" s="45"/>
    </row>
    <row r="128" spans="1:4" x14ac:dyDescent="0.25">
      <c r="A128">
        <v>1996.05</v>
      </c>
      <c r="B128">
        <v>2542.8000000000002</v>
      </c>
      <c r="C128" s="35">
        <f t="shared" si="4"/>
        <v>1.4877306123815437</v>
      </c>
      <c r="D128" s="45"/>
    </row>
    <row r="129" spans="1:4" x14ac:dyDescent="0.25">
      <c r="A129">
        <v>1996.06</v>
      </c>
      <c r="B129">
        <v>2561.39</v>
      </c>
      <c r="C129" s="35">
        <f t="shared" si="4"/>
        <v>0.72842438071596405</v>
      </c>
      <c r="D129" s="45"/>
    </row>
    <row r="130" spans="1:4" x14ac:dyDescent="0.25">
      <c r="A130">
        <v>1996.07</v>
      </c>
      <c r="B130">
        <v>2473.35</v>
      </c>
      <c r="C130" s="35">
        <f t="shared" si="4"/>
        <v>-3.4976572854326093</v>
      </c>
      <c r="D130" s="45"/>
    </row>
    <row r="131" spans="1:4" x14ac:dyDescent="0.25">
      <c r="A131">
        <v>1996.08</v>
      </c>
      <c r="B131">
        <v>2543.83</v>
      </c>
      <c r="C131" s="35">
        <f t="shared" si="4"/>
        <v>2.8097312312738154</v>
      </c>
      <c r="D131" s="45"/>
    </row>
    <row r="132" spans="1:4" x14ac:dyDescent="0.25">
      <c r="A132">
        <v>1996.09</v>
      </c>
      <c r="B132">
        <v>2651.85</v>
      </c>
      <c r="C132" s="35">
        <f t="shared" si="4"/>
        <v>4.158669029231632</v>
      </c>
      <c r="D132" s="45"/>
    </row>
    <row r="133" spans="1:4" x14ac:dyDescent="0.25">
      <c r="A133">
        <v>1996.1</v>
      </c>
      <c r="B133">
        <v>2659.25</v>
      </c>
      <c r="C133" s="35">
        <f>100*(LN(B133)-LN(B132))</f>
        <v>0.27866185116325326</v>
      </c>
      <c r="D133" s="45"/>
    </row>
    <row r="134" spans="1:4" x14ac:dyDescent="0.25">
      <c r="A134">
        <v>1996.11</v>
      </c>
      <c r="B134">
        <v>2845.52</v>
      </c>
      <c r="C134" s="35">
        <f>100*(LN(B134)-LN(B133))</f>
        <v>6.7701699528418757</v>
      </c>
      <c r="D134" s="45"/>
    </row>
    <row r="135" spans="1:4" x14ac:dyDescent="0.25">
      <c r="A135">
        <v>1996.12</v>
      </c>
      <c r="B135">
        <v>2888.69</v>
      </c>
      <c r="C135" s="35">
        <f>100*(LN(B135)-LN(B134))</f>
        <v>1.5057284483355637</v>
      </c>
      <c r="D135" s="45"/>
    </row>
  </sheetData>
  <printOptions gridLines="1"/>
  <pageMargins left="0.78740157499999996" right="0.78740157499999996" top="0.984251969" bottom="0.984251969" header="0.5" footer="0.5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"/>
  <sheetViews>
    <sheetView workbookViewId="0"/>
  </sheetViews>
  <sheetFormatPr defaultColWidth="9.1796875" defaultRowHeight="12.5" x14ac:dyDescent="0.25"/>
  <cols>
    <col min="1" max="1" width="13" customWidth="1"/>
    <col min="2" max="2" width="5.453125" customWidth="1"/>
    <col min="3" max="3" width="10" customWidth="1"/>
    <col min="6" max="6" width="4.1796875" customWidth="1"/>
    <col min="8" max="8" width="7.453125" customWidth="1"/>
    <col min="9" max="9" width="4.453125" customWidth="1"/>
  </cols>
  <sheetData>
    <row r="1" spans="1:9" ht="13" x14ac:dyDescent="0.3">
      <c r="A1" s="2" t="s">
        <v>144</v>
      </c>
    </row>
    <row r="2" spans="1:9" ht="13" thickBot="1" x14ac:dyDescent="0.3">
      <c r="E2" s="30"/>
    </row>
    <row r="3" spans="1:9" ht="28.5" customHeight="1" x14ac:dyDescent="0.3">
      <c r="A3" s="54" t="s">
        <v>145</v>
      </c>
      <c r="C3" s="31" t="s">
        <v>106</v>
      </c>
      <c r="D3" s="31" t="s">
        <v>107</v>
      </c>
      <c r="E3" s="32" t="s">
        <v>108</v>
      </c>
      <c r="F3" s="26"/>
      <c r="I3" s="42"/>
    </row>
    <row r="4" spans="1:9" ht="12.75" customHeight="1" x14ac:dyDescent="0.25">
      <c r="A4">
        <v>1.3</v>
      </c>
      <c r="C4" s="36">
        <v>2</v>
      </c>
      <c r="D4" s="7">
        <v>117</v>
      </c>
      <c r="E4" s="55">
        <f>D4/COUNT($A$4:$A$303)</f>
        <v>0.39</v>
      </c>
      <c r="F4" s="56"/>
    </row>
    <row r="5" spans="1:9" x14ac:dyDescent="0.25">
      <c r="A5" s="26">
        <v>1.4</v>
      </c>
      <c r="C5" s="36">
        <v>4</v>
      </c>
      <c r="D5" s="7">
        <v>74</v>
      </c>
      <c r="E5" s="55">
        <f t="shared" ref="E5:E17" si="0">D5/COUNT($A$4:$A$303)</f>
        <v>0.24666666666666667</v>
      </c>
      <c r="F5" s="55"/>
    </row>
    <row r="6" spans="1:9" ht="13" x14ac:dyDescent="0.3">
      <c r="A6" s="26">
        <v>2.6</v>
      </c>
      <c r="C6" s="36">
        <v>6</v>
      </c>
      <c r="D6" s="7">
        <v>38</v>
      </c>
      <c r="E6" s="55">
        <f t="shared" si="0"/>
        <v>0.12666666666666668</v>
      </c>
      <c r="F6" s="55"/>
      <c r="G6" s="2" t="s">
        <v>146</v>
      </c>
    </row>
    <row r="7" spans="1:9" x14ac:dyDescent="0.25">
      <c r="A7" s="26">
        <v>1.4</v>
      </c>
      <c r="C7" s="36">
        <v>8</v>
      </c>
      <c r="D7" s="7">
        <v>28</v>
      </c>
      <c r="E7" s="55">
        <f t="shared" si="0"/>
        <v>9.3333333333333338E-2</v>
      </c>
      <c r="F7" s="55"/>
      <c r="G7" t="s">
        <v>116</v>
      </c>
      <c r="I7" s="42">
        <f>AVERAGE($A$4:$A$303)</f>
        <v>4.1630000000000003</v>
      </c>
    </row>
    <row r="8" spans="1:9" x14ac:dyDescent="0.25">
      <c r="A8" s="26">
        <v>0.3</v>
      </c>
      <c r="C8" s="36">
        <v>10</v>
      </c>
      <c r="D8" s="7">
        <v>18</v>
      </c>
      <c r="E8" s="55">
        <f t="shared" si="0"/>
        <v>0.06</v>
      </c>
      <c r="F8" s="55"/>
      <c r="G8" t="s">
        <v>147</v>
      </c>
      <c r="I8" s="42">
        <f>MEDIAN($A$4:$A$303)</f>
        <v>2.8</v>
      </c>
    </row>
    <row r="9" spans="1:9" x14ac:dyDescent="0.25">
      <c r="A9" s="26">
        <v>2.2000000000000002</v>
      </c>
      <c r="C9" s="36">
        <v>12</v>
      </c>
      <c r="D9" s="7">
        <v>6</v>
      </c>
      <c r="E9" s="55">
        <f t="shared" si="0"/>
        <v>0.02</v>
      </c>
      <c r="F9" s="55"/>
      <c r="G9" t="s">
        <v>117</v>
      </c>
      <c r="I9" s="42">
        <f>STDEV($A$4:$A$303)</f>
        <v>4.3922397742056081</v>
      </c>
    </row>
    <row r="10" spans="1:9" x14ac:dyDescent="0.25">
      <c r="A10" s="26">
        <v>0.7</v>
      </c>
      <c r="C10" s="36">
        <v>14</v>
      </c>
      <c r="D10" s="7">
        <v>7</v>
      </c>
      <c r="E10" s="55">
        <f t="shared" si="0"/>
        <v>2.3333333333333334E-2</v>
      </c>
      <c r="F10" s="55"/>
      <c r="G10" t="s">
        <v>118</v>
      </c>
      <c r="I10" s="42">
        <f>SKEW($A$4:$A$303)</f>
        <v>2.2416881230862606</v>
      </c>
    </row>
    <row r="11" spans="1:9" x14ac:dyDescent="0.25">
      <c r="A11" s="26">
        <v>0.6</v>
      </c>
      <c r="C11" s="36">
        <v>16</v>
      </c>
      <c r="D11" s="7">
        <v>5</v>
      </c>
      <c r="E11" s="55">
        <f t="shared" si="0"/>
        <v>1.6666666666666666E-2</v>
      </c>
      <c r="F11" s="55"/>
    </row>
    <row r="12" spans="1:9" x14ac:dyDescent="0.25">
      <c r="A12" s="26">
        <v>1.5</v>
      </c>
      <c r="C12" s="36">
        <v>18</v>
      </c>
      <c r="D12" s="7">
        <v>1</v>
      </c>
      <c r="E12" s="55">
        <f t="shared" si="0"/>
        <v>3.3333333333333335E-3</v>
      </c>
      <c r="F12" s="55"/>
    </row>
    <row r="13" spans="1:9" x14ac:dyDescent="0.25">
      <c r="A13" s="26">
        <v>4.5999999999999996</v>
      </c>
      <c r="C13" s="36">
        <v>20</v>
      </c>
      <c r="D13" s="7">
        <v>2</v>
      </c>
      <c r="E13" s="55">
        <f t="shared" si="0"/>
        <v>6.6666666666666671E-3</v>
      </c>
      <c r="F13" s="55"/>
    </row>
    <row r="14" spans="1:9" x14ac:dyDescent="0.25">
      <c r="A14" s="26">
        <v>0.2</v>
      </c>
      <c r="C14" s="36">
        <v>22</v>
      </c>
      <c r="D14" s="7">
        <v>2</v>
      </c>
      <c r="E14" s="55">
        <f t="shared" si="0"/>
        <v>6.6666666666666671E-3</v>
      </c>
      <c r="F14" s="55"/>
    </row>
    <row r="15" spans="1:9" x14ac:dyDescent="0.25">
      <c r="A15" s="26">
        <v>5.2</v>
      </c>
      <c r="C15" s="36">
        <v>24</v>
      </c>
      <c r="D15" s="7">
        <v>0</v>
      </c>
      <c r="E15" s="55">
        <f t="shared" si="0"/>
        <v>0</v>
      </c>
      <c r="F15" s="55"/>
    </row>
    <row r="16" spans="1:9" x14ac:dyDescent="0.25">
      <c r="A16" s="26">
        <v>18.7</v>
      </c>
      <c r="C16" s="36">
        <v>26</v>
      </c>
      <c r="D16" s="7">
        <v>0</v>
      </c>
      <c r="E16" s="55">
        <f t="shared" si="0"/>
        <v>0</v>
      </c>
      <c r="F16" s="55"/>
    </row>
    <row r="17" spans="1:6" ht="13" thickBot="1" x14ac:dyDescent="0.3">
      <c r="A17" s="26">
        <v>1.5</v>
      </c>
      <c r="C17" s="11" t="s">
        <v>111</v>
      </c>
      <c r="D17" s="11">
        <v>2</v>
      </c>
      <c r="E17" s="57">
        <f t="shared" si="0"/>
        <v>6.6666666666666671E-3</v>
      </c>
      <c r="F17" s="55"/>
    </row>
    <row r="18" spans="1:6" x14ac:dyDescent="0.25">
      <c r="A18" s="26">
        <v>1.7</v>
      </c>
      <c r="F18" s="55"/>
    </row>
    <row r="19" spans="1:6" x14ac:dyDescent="0.25">
      <c r="A19" s="26">
        <v>4.4000000000000004</v>
      </c>
      <c r="F19" s="58"/>
    </row>
    <row r="20" spans="1:6" x14ac:dyDescent="0.25">
      <c r="A20" s="26">
        <v>8.3000000000000007</v>
      </c>
    </row>
    <row r="21" spans="1:6" x14ac:dyDescent="0.25">
      <c r="A21" s="26">
        <v>4.9000000000000004</v>
      </c>
    </row>
    <row r="22" spans="1:6" x14ac:dyDescent="0.25">
      <c r="A22" s="26">
        <v>2.9</v>
      </c>
    </row>
    <row r="23" spans="1:6" x14ac:dyDescent="0.25">
      <c r="A23" s="26">
        <v>1.9</v>
      </c>
    </row>
    <row r="24" spans="1:6" x14ac:dyDescent="0.25">
      <c r="A24" s="26">
        <v>9</v>
      </c>
    </row>
    <row r="25" spans="1:6" x14ac:dyDescent="0.25">
      <c r="A25" s="26">
        <v>1.4</v>
      </c>
    </row>
    <row r="26" spans="1:6" x14ac:dyDescent="0.25">
      <c r="A26" s="26">
        <v>4.5999999999999996</v>
      </c>
    </row>
    <row r="27" spans="1:6" x14ac:dyDescent="0.25">
      <c r="A27" s="26">
        <v>8.4</v>
      </c>
    </row>
    <row r="28" spans="1:6" x14ac:dyDescent="0.25">
      <c r="A28" s="26">
        <v>2.2000000000000002</v>
      </c>
    </row>
    <row r="29" spans="1:6" x14ac:dyDescent="0.25">
      <c r="A29" s="26">
        <v>21.6</v>
      </c>
    </row>
    <row r="30" spans="1:6" x14ac:dyDescent="0.25">
      <c r="A30" s="26">
        <v>2.4</v>
      </c>
    </row>
    <row r="31" spans="1:6" x14ac:dyDescent="0.25">
      <c r="A31" s="26">
        <v>6.4</v>
      </c>
    </row>
    <row r="32" spans="1:6" x14ac:dyDescent="0.25">
      <c r="A32" s="26">
        <v>1.7</v>
      </c>
    </row>
    <row r="33" spans="1:1" x14ac:dyDescent="0.25">
      <c r="A33" s="26">
        <v>7.1</v>
      </c>
    </row>
    <row r="34" spans="1:1" x14ac:dyDescent="0.25">
      <c r="A34" s="26">
        <v>12.2</v>
      </c>
    </row>
    <row r="35" spans="1:1" x14ac:dyDescent="0.25">
      <c r="A35" s="26">
        <v>3.5</v>
      </c>
    </row>
    <row r="36" spans="1:1" x14ac:dyDescent="0.25">
      <c r="A36" s="26">
        <v>1</v>
      </c>
    </row>
    <row r="37" spans="1:1" x14ac:dyDescent="0.25">
      <c r="A37" s="26">
        <v>1</v>
      </c>
    </row>
    <row r="38" spans="1:1" x14ac:dyDescent="0.25">
      <c r="A38" s="26">
        <v>4.0999999999999996</v>
      </c>
    </row>
    <row r="39" spans="1:1" x14ac:dyDescent="0.25">
      <c r="A39" s="26">
        <v>1.8</v>
      </c>
    </row>
    <row r="40" spans="1:1" x14ac:dyDescent="0.25">
      <c r="A40" s="26">
        <v>4.8</v>
      </c>
    </row>
    <row r="41" spans="1:1" x14ac:dyDescent="0.25">
      <c r="A41" s="26">
        <v>0.4</v>
      </c>
    </row>
    <row r="42" spans="1:1" x14ac:dyDescent="0.25">
      <c r="A42" s="26">
        <v>2.2000000000000002</v>
      </c>
    </row>
    <row r="43" spans="1:1" x14ac:dyDescent="0.25">
      <c r="A43" s="26">
        <v>7.3</v>
      </c>
    </row>
    <row r="44" spans="1:1" x14ac:dyDescent="0.25">
      <c r="A44" s="26">
        <v>12.4</v>
      </c>
    </row>
    <row r="45" spans="1:1" x14ac:dyDescent="0.25">
      <c r="A45" s="26">
        <v>1.5</v>
      </c>
    </row>
    <row r="46" spans="1:1" x14ac:dyDescent="0.25">
      <c r="A46" s="26">
        <v>2.6</v>
      </c>
    </row>
    <row r="47" spans="1:1" x14ac:dyDescent="0.25">
      <c r="A47" s="26">
        <v>3.1</v>
      </c>
    </row>
    <row r="48" spans="1:1" x14ac:dyDescent="0.25">
      <c r="A48" s="26">
        <v>3.9</v>
      </c>
    </row>
    <row r="49" spans="1:1" x14ac:dyDescent="0.25">
      <c r="A49" s="26">
        <v>3.3</v>
      </c>
    </row>
    <row r="50" spans="1:1" x14ac:dyDescent="0.25">
      <c r="A50" s="26">
        <v>0.4</v>
      </c>
    </row>
    <row r="51" spans="1:1" x14ac:dyDescent="0.25">
      <c r="A51" s="26">
        <v>5</v>
      </c>
    </row>
    <row r="52" spans="1:1" x14ac:dyDescent="0.25">
      <c r="A52" s="26">
        <v>2.9</v>
      </c>
    </row>
    <row r="53" spans="1:1" x14ac:dyDescent="0.25">
      <c r="A53" s="26">
        <v>26.3</v>
      </c>
    </row>
    <row r="54" spans="1:1" x14ac:dyDescent="0.25">
      <c r="A54" s="26">
        <v>0.2</v>
      </c>
    </row>
    <row r="55" spans="1:1" x14ac:dyDescent="0.25">
      <c r="A55" s="26">
        <v>5.6</v>
      </c>
    </row>
    <row r="56" spans="1:1" x14ac:dyDescent="0.25">
      <c r="A56" s="26">
        <v>8.1999999999999993</v>
      </c>
    </row>
    <row r="57" spans="1:1" x14ac:dyDescent="0.25">
      <c r="A57" s="26">
        <v>7.6</v>
      </c>
    </row>
    <row r="58" spans="1:1" x14ac:dyDescent="0.25">
      <c r="A58" s="26">
        <v>2.9</v>
      </c>
    </row>
    <row r="59" spans="1:1" x14ac:dyDescent="0.25">
      <c r="A59" s="26">
        <v>4.0999999999999996</v>
      </c>
    </row>
    <row r="60" spans="1:1" x14ac:dyDescent="0.25">
      <c r="A60" s="26">
        <v>7</v>
      </c>
    </row>
    <row r="61" spans="1:1" x14ac:dyDescent="0.25">
      <c r="A61" s="26">
        <v>7.3</v>
      </c>
    </row>
    <row r="62" spans="1:1" x14ac:dyDescent="0.25">
      <c r="A62" s="26">
        <v>5.7</v>
      </c>
    </row>
    <row r="63" spans="1:1" x14ac:dyDescent="0.25">
      <c r="A63" s="26">
        <v>1.9</v>
      </c>
    </row>
    <row r="64" spans="1:1" x14ac:dyDescent="0.25">
      <c r="A64" s="26">
        <v>2.8</v>
      </c>
    </row>
    <row r="65" spans="1:1" x14ac:dyDescent="0.25">
      <c r="A65" s="26">
        <v>3.5</v>
      </c>
    </row>
    <row r="66" spans="1:1" x14ac:dyDescent="0.25">
      <c r="A66" s="26">
        <v>0.1</v>
      </c>
    </row>
    <row r="67" spans="1:1" x14ac:dyDescent="0.25">
      <c r="A67" s="26">
        <v>2.2999999999999998</v>
      </c>
    </row>
    <row r="68" spans="1:1" x14ac:dyDescent="0.25">
      <c r="A68" s="26">
        <v>3.1</v>
      </c>
    </row>
    <row r="69" spans="1:1" x14ac:dyDescent="0.25">
      <c r="A69" s="26">
        <v>0.4</v>
      </c>
    </row>
    <row r="70" spans="1:1" x14ac:dyDescent="0.25">
      <c r="A70" s="26">
        <v>3.2</v>
      </c>
    </row>
    <row r="71" spans="1:1" x14ac:dyDescent="0.25">
      <c r="A71" s="26">
        <v>2.8</v>
      </c>
    </row>
    <row r="72" spans="1:1" x14ac:dyDescent="0.25">
      <c r="A72" s="26">
        <v>5.5</v>
      </c>
    </row>
    <row r="73" spans="1:1" x14ac:dyDescent="0.25">
      <c r="A73" s="26">
        <v>0.6</v>
      </c>
    </row>
    <row r="74" spans="1:1" x14ac:dyDescent="0.25">
      <c r="A74" s="26">
        <v>0.3</v>
      </c>
    </row>
    <row r="75" spans="1:1" x14ac:dyDescent="0.25">
      <c r="A75" s="26">
        <v>3.4</v>
      </c>
    </row>
    <row r="76" spans="1:1" x14ac:dyDescent="0.25">
      <c r="A76" s="26">
        <v>14.1</v>
      </c>
    </row>
    <row r="77" spans="1:1" x14ac:dyDescent="0.25">
      <c r="A77" s="26">
        <v>1.6</v>
      </c>
    </row>
    <row r="78" spans="1:1" x14ac:dyDescent="0.25">
      <c r="A78" s="26">
        <v>3.1</v>
      </c>
    </row>
    <row r="79" spans="1:1" x14ac:dyDescent="0.25">
      <c r="A79" s="26">
        <v>5.7</v>
      </c>
    </row>
    <row r="80" spans="1:1" x14ac:dyDescent="0.25">
      <c r="A80" s="26">
        <v>2.7</v>
      </c>
    </row>
    <row r="81" spans="1:1" x14ac:dyDescent="0.25">
      <c r="A81" s="26">
        <v>0.8</v>
      </c>
    </row>
    <row r="82" spans="1:1" x14ac:dyDescent="0.25">
      <c r="A82" s="26">
        <v>19.8</v>
      </c>
    </row>
    <row r="83" spans="1:1" x14ac:dyDescent="0.25">
      <c r="A83" s="26">
        <v>1.7</v>
      </c>
    </row>
    <row r="84" spans="1:1" x14ac:dyDescent="0.25">
      <c r="A84" s="26">
        <v>1.8</v>
      </c>
    </row>
    <row r="85" spans="1:1" x14ac:dyDescent="0.25">
      <c r="A85" s="26">
        <v>0.6</v>
      </c>
    </row>
    <row r="86" spans="1:1" x14ac:dyDescent="0.25">
      <c r="A86" s="26">
        <v>5.2</v>
      </c>
    </row>
    <row r="87" spans="1:1" x14ac:dyDescent="0.25">
      <c r="A87" s="26">
        <v>2.1</v>
      </c>
    </row>
    <row r="88" spans="1:1" x14ac:dyDescent="0.25">
      <c r="A88" s="26">
        <v>2.9</v>
      </c>
    </row>
    <row r="89" spans="1:1" x14ac:dyDescent="0.25">
      <c r="A89" s="26">
        <v>1.4</v>
      </c>
    </row>
    <row r="90" spans="1:1" x14ac:dyDescent="0.25">
      <c r="A90" s="26">
        <v>3.1</v>
      </c>
    </row>
    <row r="91" spans="1:1" x14ac:dyDescent="0.25">
      <c r="A91" s="26">
        <v>5.5</v>
      </c>
    </row>
    <row r="92" spans="1:1" x14ac:dyDescent="0.25">
      <c r="A92" s="26">
        <v>11.2</v>
      </c>
    </row>
    <row r="93" spans="1:1" x14ac:dyDescent="0.25">
      <c r="A93" s="26">
        <v>11.2</v>
      </c>
    </row>
    <row r="94" spans="1:1" x14ac:dyDescent="0.25">
      <c r="A94" s="26">
        <v>0.9</v>
      </c>
    </row>
    <row r="95" spans="1:1" x14ac:dyDescent="0.25">
      <c r="A95" s="26">
        <v>4.5</v>
      </c>
    </row>
    <row r="96" spans="1:1" x14ac:dyDescent="0.25">
      <c r="A96" s="26">
        <v>9.1</v>
      </c>
    </row>
    <row r="97" spans="1:1" x14ac:dyDescent="0.25">
      <c r="A97" s="26">
        <v>3.3</v>
      </c>
    </row>
    <row r="98" spans="1:1" x14ac:dyDescent="0.25">
      <c r="A98" s="26">
        <v>3.2</v>
      </c>
    </row>
    <row r="99" spans="1:1" x14ac:dyDescent="0.25">
      <c r="A99" s="26">
        <v>1.1000000000000001</v>
      </c>
    </row>
    <row r="100" spans="1:1" x14ac:dyDescent="0.25">
      <c r="A100" s="26">
        <v>6.6</v>
      </c>
    </row>
    <row r="101" spans="1:1" x14ac:dyDescent="0.25">
      <c r="A101" s="26">
        <v>9.6</v>
      </c>
    </row>
    <row r="102" spans="1:1" x14ac:dyDescent="0.25">
      <c r="A102" s="26">
        <v>1.1000000000000001</v>
      </c>
    </row>
    <row r="103" spans="1:1" x14ac:dyDescent="0.25">
      <c r="A103" s="26">
        <v>0.7</v>
      </c>
    </row>
    <row r="104" spans="1:1" x14ac:dyDescent="0.25">
      <c r="A104" s="26">
        <v>2.6</v>
      </c>
    </row>
    <row r="105" spans="1:1" x14ac:dyDescent="0.25">
      <c r="A105" s="26">
        <v>0.9</v>
      </c>
    </row>
    <row r="106" spans="1:1" x14ac:dyDescent="0.25">
      <c r="A106" s="26">
        <v>4.3</v>
      </c>
    </row>
    <row r="107" spans="1:1" x14ac:dyDescent="0.25">
      <c r="A107" s="26">
        <v>3.1</v>
      </c>
    </row>
    <row r="108" spans="1:1" x14ac:dyDescent="0.25">
      <c r="A108" s="26">
        <v>14.9</v>
      </c>
    </row>
    <row r="109" spans="1:1" x14ac:dyDescent="0.25">
      <c r="A109" s="26">
        <v>0.7</v>
      </c>
    </row>
    <row r="110" spans="1:1" x14ac:dyDescent="0.25">
      <c r="A110" s="26">
        <v>10.5</v>
      </c>
    </row>
    <row r="111" spans="1:1" x14ac:dyDescent="0.25">
      <c r="A111" s="26">
        <v>1.3</v>
      </c>
    </row>
    <row r="112" spans="1:1" x14ac:dyDescent="0.25">
      <c r="A112" s="26">
        <v>2.9</v>
      </c>
    </row>
    <row r="113" spans="1:1" x14ac:dyDescent="0.25">
      <c r="A113" s="26">
        <v>9.4</v>
      </c>
    </row>
    <row r="114" spans="1:1" x14ac:dyDescent="0.25">
      <c r="A114" s="26">
        <v>0.3</v>
      </c>
    </row>
    <row r="115" spans="1:1" x14ac:dyDescent="0.25">
      <c r="A115" s="26">
        <v>13.6</v>
      </c>
    </row>
    <row r="116" spans="1:1" x14ac:dyDescent="0.25">
      <c r="A116" s="26">
        <v>4.4000000000000004</v>
      </c>
    </row>
    <row r="117" spans="1:1" x14ac:dyDescent="0.25">
      <c r="A117" s="26">
        <v>1.3</v>
      </c>
    </row>
    <row r="118" spans="1:1" x14ac:dyDescent="0.25">
      <c r="A118" s="26">
        <v>11.6</v>
      </c>
    </row>
    <row r="119" spans="1:1" x14ac:dyDescent="0.25">
      <c r="A119" s="26">
        <v>3.4</v>
      </c>
    </row>
    <row r="120" spans="1:1" x14ac:dyDescent="0.25">
      <c r="A120" s="26">
        <v>0.7</v>
      </c>
    </row>
    <row r="121" spans="1:1" x14ac:dyDescent="0.25">
      <c r="A121" s="26">
        <v>6.1</v>
      </c>
    </row>
    <row r="122" spans="1:1" x14ac:dyDescent="0.25">
      <c r="A122" s="26">
        <v>5.0999999999999996</v>
      </c>
    </row>
    <row r="123" spans="1:1" x14ac:dyDescent="0.25">
      <c r="A123" s="26">
        <v>0.2</v>
      </c>
    </row>
    <row r="124" spans="1:1" x14ac:dyDescent="0.25">
      <c r="A124" s="26">
        <v>1.9</v>
      </c>
    </row>
    <row r="125" spans="1:1" x14ac:dyDescent="0.25">
      <c r="A125" s="26">
        <v>0.2</v>
      </c>
    </row>
    <row r="126" spans="1:1" x14ac:dyDescent="0.25">
      <c r="A126" s="26">
        <v>1.4</v>
      </c>
    </row>
    <row r="127" spans="1:1" x14ac:dyDescent="0.25">
      <c r="A127" s="26">
        <v>2.7</v>
      </c>
    </row>
    <row r="128" spans="1:1" x14ac:dyDescent="0.25">
      <c r="A128" s="26">
        <v>0.1</v>
      </c>
    </row>
    <row r="129" spans="1:1" x14ac:dyDescent="0.25">
      <c r="A129" s="26">
        <v>2.6</v>
      </c>
    </row>
    <row r="130" spans="1:1" x14ac:dyDescent="0.25">
      <c r="A130" s="26">
        <v>0.3</v>
      </c>
    </row>
    <row r="131" spans="1:1" x14ac:dyDescent="0.25">
      <c r="A131" s="26">
        <v>3.8</v>
      </c>
    </row>
    <row r="132" spans="1:1" x14ac:dyDescent="0.25">
      <c r="A132" s="26">
        <v>4.0999999999999996</v>
      </c>
    </row>
    <row r="133" spans="1:1" x14ac:dyDescent="0.25">
      <c r="A133" s="26">
        <v>1.7</v>
      </c>
    </row>
    <row r="134" spans="1:1" x14ac:dyDescent="0.25">
      <c r="A134" s="26">
        <v>8.5</v>
      </c>
    </row>
    <row r="135" spans="1:1" x14ac:dyDescent="0.25">
      <c r="A135" s="26">
        <v>2.4</v>
      </c>
    </row>
    <row r="136" spans="1:1" x14ac:dyDescent="0.25">
      <c r="A136" s="26">
        <v>5.0999999999999996</v>
      </c>
    </row>
    <row r="137" spans="1:1" x14ac:dyDescent="0.25">
      <c r="A137" s="26">
        <v>5.3</v>
      </c>
    </row>
    <row r="138" spans="1:1" x14ac:dyDescent="0.25">
      <c r="A138" s="26">
        <v>4.9000000000000004</v>
      </c>
    </row>
    <row r="139" spans="1:1" x14ac:dyDescent="0.25">
      <c r="A139" s="26">
        <v>2.8</v>
      </c>
    </row>
    <row r="140" spans="1:1" x14ac:dyDescent="0.25">
      <c r="A140" s="26">
        <v>13.6</v>
      </c>
    </row>
    <row r="141" spans="1:1" x14ac:dyDescent="0.25">
      <c r="A141" s="26">
        <v>1.8</v>
      </c>
    </row>
    <row r="142" spans="1:1" x14ac:dyDescent="0.25">
      <c r="A142" s="26">
        <v>3.6</v>
      </c>
    </row>
    <row r="143" spans="1:1" x14ac:dyDescent="0.25">
      <c r="A143" s="26">
        <v>0</v>
      </c>
    </row>
    <row r="144" spans="1:1" x14ac:dyDescent="0.25">
      <c r="A144" s="26">
        <v>6.2</v>
      </c>
    </row>
    <row r="145" spans="1:1" x14ac:dyDescent="0.25">
      <c r="A145" s="26">
        <v>5.6</v>
      </c>
    </row>
    <row r="146" spans="1:1" x14ac:dyDescent="0.25">
      <c r="A146" s="26">
        <v>3.4</v>
      </c>
    </row>
    <row r="147" spans="1:1" x14ac:dyDescent="0.25">
      <c r="A147" s="26">
        <v>2.2000000000000002</v>
      </c>
    </row>
    <row r="148" spans="1:1" x14ac:dyDescent="0.25">
      <c r="A148" s="26">
        <v>0.6</v>
      </c>
    </row>
    <row r="149" spans="1:1" x14ac:dyDescent="0.25">
      <c r="A149" s="26">
        <v>2.7</v>
      </c>
    </row>
    <row r="150" spans="1:1" x14ac:dyDescent="0.25">
      <c r="A150" s="26">
        <v>2.2000000000000002</v>
      </c>
    </row>
    <row r="151" spans="1:1" x14ac:dyDescent="0.25">
      <c r="A151" s="26">
        <v>1.6</v>
      </c>
    </row>
    <row r="152" spans="1:1" x14ac:dyDescent="0.25">
      <c r="A152" s="26">
        <v>4.8</v>
      </c>
    </row>
    <row r="153" spans="1:1" x14ac:dyDescent="0.25">
      <c r="A153" s="26">
        <v>1.6</v>
      </c>
    </row>
    <row r="154" spans="1:1" x14ac:dyDescent="0.25">
      <c r="A154" s="26">
        <v>6.3</v>
      </c>
    </row>
    <row r="155" spans="1:1" x14ac:dyDescent="0.25">
      <c r="A155" s="26">
        <v>0.9</v>
      </c>
    </row>
    <row r="156" spans="1:1" x14ac:dyDescent="0.25">
      <c r="A156" s="26">
        <v>2.8</v>
      </c>
    </row>
    <row r="157" spans="1:1" x14ac:dyDescent="0.25">
      <c r="A157" s="26">
        <v>3.3</v>
      </c>
    </row>
    <row r="158" spans="1:1" x14ac:dyDescent="0.25">
      <c r="A158" s="26">
        <v>0.7</v>
      </c>
    </row>
    <row r="159" spans="1:1" x14ac:dyDescent="0.25">
      <c r="A159" s="26">
        <v>0.9</v>
      </c>
    </row>
    <row r="160" spans="1:1" x14ac:dyDescent="0.25">
      <c r="A160" s="26">
        <v>0.4</v>
      </c>
    </row>
    <row r="161" spans="1:1" x14ac:dyDescent="0.25">
      <c r="A161" s="26">
        <v>2.6</v>
      </c>
    </row>
    <row r="162" spans="1:1" x14ac:dyDescent="0.25">
      <c r="A162" s="26">
        <v>3.4</v>
      </c>
    </row>
    <row r="163" spans="1:1" x14ac:dyDescent="0.25">
      <c r="A163" s="26">
        <v>1.2</v>
      </c>
    </row>
    <row r="164" spans="1:1" x14ac:dyDescent="0.25">
      <c r="A164" s="26">
        <v>2.4</v>
      </c>
    </row>
    <row r="165" spans="1:1" x14ac:dyDescent="0.25">
      <c r="A165" s="26">
        <v>14.9</v>
      </c>
    </row>
    <row r="166" spans="1:1" x14ac:dyDescent="0.25">
      <c r="A166" s="26">
        <v>1.3</v>
      </c>
    </row>
    <row r="167" spans="1:1" x14ac:dyDescent="0.25">
      <c r="A167" s="26">
        <v>13.6</v>
      </c>
    </row>
    <row r="168" spans="1:1" x14ac:dyDescent="0.25">
      <c r="A168" s="26">
        <v>3.4</v>
      </c>
    </row>
    <row r="169" spans="1:1" x14ac:dyDescent="0.25">
      <c r="A169" s="26">
        <v>1.8</v>
      </c>
    </row>
    <row r="170" spans="1:1" x14ac:dyDescent="0.25">
      <c r="A170" s="26">
        <v>7.3</v>
      </c>
    </row>
    <row r="171" spans="1:1" x14ac:dyDescent="0.25">
      <c r="A171" s="26">
        <v>1.1000000000000001</v>
      </c>
    </row>
    <row r="172" spans="1:1" x14ac:dyDescent="0.25">
      <c r="A172" s="26">
        <v>6</v>
      </c>
    </row>
    <row r="173" spans="1:1" x14ac:dyDescent="0.25">
      <c r="A173" s="26">
        <v>0.8</v>
      </c>
    </row>
    <row r="174" spans="1:1" x14ac:dyDescent="0.25">
      <c r="A174" s="26">
        <v>3</v>
      </c>
    </row>
    <row r="175" spans="1:1" x14ac:dyDescent="0.25">
      <c r="A175" s="26">
        <v>8</v>
      </c>
    </row>
    <row r="176" spans="1:1" x14ac:dyDescent="0.25">
      <c r="A176" s="26">
        <v>1.3</v>
      </c>
    </row>
    <row r="177" spans="1:1" x14ac:dyDescent="0.25">
      <c r="A177" s="26">
        <v>7.6</v>
      </c>
    </row>
    <row r="178" spans="1:1" x14ac:dyDescent="0.25">
      <c r="A178" s="26">
        <v>8.8000000000000007</v>
      </c>
    </row>
    <row r="179" spans="1:1" x14ac:dyDescent="0.25">
      <c r="A179" s="26">
        <v>5.4</v>
      </c>
    </row>
    <row r="180" spans="1:1" x14ac:dyDescent="0.25">
      <c r="A180" s="26">
        <v>2.6</v>
      </c>
    </row>
    <row r="181" spans="1:1" x14ac:dyDescent="0.25">
      <c r="A181" s="26">
        <v>21.9</v>
      </c>
    </row>
    <row r="182" spans="1:1" x14ac:dyDescent="0.25">
      <c r="A182" s="26">
        <v>6</v>
      </c>
    </row>
    <row r="183" spans="1:1" x14ac:dyDescent="0.25">
      <c r="A183" s="26">
        <v>1.5</v>
      </c>
    </row>
    <row r="184" spans="1:1" x14ac:dyDescent="0.25">
      <c r="A184" s="26">
        <v>0.5</v>
      </c>
    </row>
    <row r="185" spans="1:1" x14ac:dyDescent="0.25">
      <c r="A185" s="26">
        <v>0.6</v>
      </c>
    </row>
    <row r="186" spans="1:1" x14ac:dyDescent="0.25">
      <c r="A186" s="26">
        <v>1</v>
      </c>
    </row>
    <row r="187" spans="1:1" x14ac:dyDescent="0.25">
      <c r="A187" s="26">
        <v>0.8</v>
      </c>
    </row>
    <row r="188" spans="1:1" x14ac:dyDescent="0.25">
      <c r="A188" s="26">
        <v>0.8</v>
      </c>
    </row>
    <row r="189" spans="1:1" x14ac:dyDescent="0.25">
      <c r="A189" s="26">
        <v>0.8</v>
      </c>
    </row>
    <row r="190" spans="1:1" x14ac:dyDescent="0.25">
      <c r="A190" s="26">
        <v>2.5</v>
      </c>
    </row>
    <row r="191" spans="1:1" x14ac:dyDescent="0.25">
      <c r="A191" s="26">
        <v>2.2999999999999998</v>
      </c>
    </row>
    <row r="192" spans="1:1" x14ac:dyDescent="0.25">
      <c r="A192" s="26">
        <v>5</v>
      </c>
    </row>
    <row r="193" spans="1:1" x14ac:dyDescent="0.25">
      <c r="A193" s="26">
        <v>4.2</v>
      </c>
    </row>
    <row r="194" spans="1:1" x14ac:dyDescent="0.25">
      <c r="A194" s="26">
        <v>6.3</v>
      </c>
    </row>
    <row r="195" spans="1:1" x14ac:dyDescent="0.25">
      <c r="A195" s="26">
        <v>3.7</v>
      </c>
    </row>
    <row r="196" spans="1:1" x14ac:dyDescent="0.25">
      <c r="A196" s="26">
        <v>2.5</v>
      </c>
    </row>
    <row r="197" spans="1:1" x14ac:dyDescent="0.25">
      <c r="A197" s="26">
        <v>0.7</v>
      </c>
    </row>
    <row r="198" spans="1:1" x14ac:dyDescent="0.25">
      <c r="A198" s="26">
        <v>2.5</v>
      </c>
    </row>
    <row r="199" spans="1:1" x14ac:dyDescent="0.25">
      <c r="A199" s="26">
        <v>9.5</v>
      </c>
    </row>
    <row r="200" spans="1:1" x14ac:dyDescent="0.25">
      <c r="A200" s="26">
        <v>2.2999999999999998</v>
      </c>
    </row>
    <row r="201" spans="1:1" x14ac:dyDescent="0.25">
      <c r="A201" s="26">
        <v>1.7</v>
      </c>
    </row>
    <row r="202" spans="1:1" x14ac:dyDescent="0.25">
      <c r="A202" s="26">
        <v>1.5</v>
      </c>
    </row>
    <row r="203" spans="1:1" x14ac:dyDescent="0.25">
      <c r="A203" s="26">
        <v>10</v>
      </c>
    </row>
    <row r="204" spans="1:1" x14ac:dyDescent="0.25">
      <c r="A204" s="26">
        <v>5.3</v>
      </c>
    </row>
    <row r="205" spans="1:1" x14ac:dyDescent="0.25">
      <c r="A205" s="26">
        <v>2.5</v>
      </c>
    </row>
    <row r="206" spans="1:1" x14ac:dyDescent="0.25">
      <c r="A206" s="26">
        <v>2.9</v>
      </c>
    </row>
    <row r="207" spans="1:1" x14ac:dyDescent="0.25">
      <c r="A207" s="26">
        <v>3.6</v>
      </c>
    </row>
    <row r="208" spans="1:1" x14ac:dyDescent="0.25">
      <c r="A208" s="26">
        <v>4.3</v>
      </c>
    </row>
    <row r="209" spans="1:1" x14ac:dyDescent="0.25">
      <c r="A209" s="26">
        <v>1.2</v>
      </c>
    </row>
    <row r="210" spans="1:1" x14ac:dyDescent="0.25">
      <c r="A210" s="26">
        <v>3.7</v>
      </c>
    </row>
    <row r="211" spans="1:1" x14ac:dyDescent="0.25">
      <c r="A211" s="26">
        <v>0.5</v>
      </c>
    </row>
    <row r="212" spans="1:1" x14ac:dyDescent="0.25">
      <c r="A212" s="26">
        <v>1.5</v>
      </c>
    </row>
    <row r="213" spans="1:1" x14ac:dyDescent="0.25">
      <c r="A213" s="26">
        <v>0.3</v>
      </c>
    </row>
    <row r="214" spans="1:1" x14ac:dyDescent="0.25">
      <c r="A214" s="26">
        <v>16.2</v>
      </c>
    </row>
    <row r="215" spans="1:1" x14ac:dyDescent="0.25">
      <c r="A215" s="26">
        <v>2.7</v>
      </c>
    </row>
    <row r="216" spans="1:1" x14ac:dyDescent="0.25">
      <c r="A216" s="26">
        <v>3.9</v>
      </c>
    </row>
    <row r="217" spans="1:1" x14ac:dyDescent="0.25">
      <c r="A217" s="26">
        <v>0.4</v>
      </c>
    </row>
    <row r="218" spans="1:1" x14ac:dyDescent="0.25">
      <c r="A218" s="26">
        <v>0.7</v>
      </c>
    </row>
    <row r="219" spans="1:1" x14ac:dyDescent="0.25">
      <c r="A219" s="26">
        <v>8.8000000000000007</v>
      </c>
    </row>
    <row r="220" spans="1:1" x14ac:dyDescent="0.25">
      <c r="A220" s="26">
        <v>2.9</v>
      </c>
    </row>
    <row r="221" spans="1:1" x14ac:dyDescent="0.25">
      <c r="A221" s="26">
        <v>9.1999999999999993</v>
      </c>
    </row>
    <row r="222" spans="1:1" x14ac:dyDescent="0.25">
      <c r="A222" s="26">
        <v>1.2</v>
      </c>
    </row>
    <row r="223" spans="1:1" x14ac:dyDescent="0.25">
      <c r="A223" s="26">
        <v>1.1000000000000001</v>
      </c>
    </row>
    <row r="224" spans="1:1" x14ac:dyDescent="0.25">
      <c r="A224" s="26">
        <v>1.7</v>
      </c>
    </row>
    <row r="225" spans="1:1" x14ac:dyDescent="0.25">
      <c r="A225" s="26">
        <v>8.1</v>
      </c>
    </row>
    <row r="226" spans="1:1" x14ac:dyDescent="0.25">
      <c r="A226" s="26">
        <v>0.9</v>
      </c>
    </row>
    <row r="227" spans="1:1" x14ac:dyDescent="0.25">
      <c r="A227" s="26">
        <v>1.5</v>
      </c>
    </row>
    <row r="228" spans="1:1" x14ac:dyDescent="0.25">
      <c r="A228" s="26">
        <v>0.7</v>
      </c>
    </row>
    <row r="229" spans="1:1" x14ac:dyDescent="0.25">
      <c r="A229" s="26">
        <v>9.8000000000000007</v>
      </c>
    </row>
    <row r="230" spans="1:1" x14ac:dyDescent="0.25">
      <c r="A230" s="26">
        <v>0.7</v>
      </c>
    </row>
    <row r="231" spans="1:1" x14ac:dyDescent="0.25">
      <c r="A231" s="26">
        <v>6.6</v>
      </c>
    </row>
    <row r="232" spans="1:1" x14ac:dyDescent="0.25">
      <c r="A232" s="26">
        <v>6.2</v>
      </c>
    </row>
    <row r="233" spans="1:1" x14ac:dyDescent="0.25">
      <c r="A233" s="26">
        <v>5.2</v>
      </c>
    </row>
    <row r="234" spans="1:1" x14ac:dyDescent="0.25">
      <c r="A234" s="26">
        <v>0.8</v>
      </c>
    </row>
    <row r="235" spans="1:1" x14ac:dyDescent="0.25">
      <c r="A235" s="26">
        <v>1.8</v>
      </c>
    </row>
    <row r="236" spans="1:1" x14ac:dyDescent="0.25">
      <c r="A236" s="26">
        <v>1.1000000000000001</v>
      </c>
    </row>
    <row r="237" spans="1:1" x14ac:dyDescent="0.25">
      <c r="A237" s="26">
        <v>9.9</v>
      </c>
    </row>
    <row r="238" spans="1:1" x14ac:dyDescent="0.25">
      <c r="A238" s="26">
        <v>1.2</v>
      </c>
    </row>
    <row r="239" spans="1:1" x14ac:dyDescent="0.25">
      <c r="A239" s="26">
        <v>1.2</v>
      </c>
    </row>
    <row r="240" spans="1:1" x14ac:dyDescent="0.25">
      <c r="A240" s="26">
        <v>14.3</v>
      </c>
    </row>
    <row r="241" spans="1:1" x14ac:dyDescent="0.25">
      <c r="A241" s="26">
        <v>0.3</v>
      </c>
    </row>
    <row r="242" spans="1:1" x14ac:dyDescent="0.25">
      <c r="A242" s="26">
        <v>3.2</v>
      </c>
    </row>
    <row r="243" spans="1:1" x14ac:dyDescent="0.25">
      <c r="A243" s="26">
        <v>0</v>
      </c>
    </row>
    <row r="244" spans="1:1" x14ac:dyDescent="0.25">
      <c r="A244" s="26">
        <v>1.2</v>
      </c>
    </row>
    <row r="245" spans="1:1" x14ac:dyDescent="0.25">
      <c r="A245" s="26">
        <v>7.6</v>
      </c>
    </row>
    <row r="246" spans="1:1" x14ac:dyDescent="0.25">
      <c r="A246" s="26">
        <v>2.8</v>
      </c>
    </row>
    <row r="247" spans="1:1" x14ac:dyDescent="0.25">
      <c r="A247" s="26">
        <v>1.9</v>
      </c>
    </row>
    <row r="248" spans="1:1" x14ac:dyDescent="0.25">
      <c r="A248" s="26">
        <v>6.4</v>
      </c>
    </row>
    <row r="249" spans="1:1" x14ac:dyDescent="0.25">
      <c r="A249" s="26">
        <v>8.5</v>
      </c>
    </row>
    <row r="250" spans="1:1" x14ac:dyDescent="0.25">
      <c r="A250" s="26">
        <v>2.2000000000000002</v>
      </c>
    </row>
    <row r="251" spans="1:1" x14ac:dyDescent="0.25">
      <c r="A251" s="26">
        <v>6.6</v>
      </c>
    </row>
    <row r="252" spans="1:1" x14ac:dyDescent="0.25">
      <c r="A252" s="26">
        <v>2.8</v>
      </c>
    </row>
    <row r="253" spans="1:1" x14ac:dyDescent="0.25">
      <c r="A253" s="26">
        <v>0.6</v>
      </c>
    </row>
    <row r="254" spans="1:1" x14ac:dyDescent="0.25">
      <c r="A254" s="26">
        <v>2.2999999999999998</v>
      </c>
    </row>
    <row r="255" spans="1:1" x14ac:dyDescent="0.25">
      <c r="A255" s="26">
        <v>10.1</v>
      </c>
    </row>
    <row r="256" spans="1:1" x14ac:dyDescent="0.25">
      <c r="A256" s="26">
        <v>6.4</v>
      </c>
    </row>
    <row r="257" spans="1:1" x14ac:dyDescent="0.25">
      <c r="A257" s="26">
        <v>4.4000000000000004</v>
      </c>
    </row>
    <row r="258" spans="1:1" x14ac:dyDescent="0.25">
      <c r="A258" s="26">
        <v>0.1</v>
      </c>
    </row>
    <row r="259" spans="1:1" x14ac:dyDescent="0.25">
      <c r="A259" s="26">
        <v>6.6</v>
      </c>
    </row>
    <row r="260" spans="1:1" x14ac:dyDescent="0.25">
      <c r="A260" s="26">
        <v>0</v>
      </c>
    </row>
    <row r="261" spans="1:1" x14ac:dyDescent="0.25">
      <c r="A261" s="26">
        <v>0</v>
      </c>
    </row>
    <row r="262" spans="1:1" x14ac:dyDescent="0.25">
      <c r="A262" s="26">
        <v>0.5</v>
      </c>
    </row>
    <row r="263" spans="1:1" x14ac:dyDescent="0.25">
      <c r="A263" s="26">
        <v>5.4</v>
      </c>
    </row>
    <row r="264" spans="1:1" x14ac:dyDescent="0.25">
      <c r="A264" s="26">
        <v>0.5</v>
      </c>
    </row>
    <row r="265" spans="1:1" x14ac:dyDescent="0.25">
      <c r="A265" s="26">
        <v>2.1</v>
      </c>
    </row>
    <row r="266" spans="1:1" x14ac:dyDescent="0.25">
      <c r="A266" s="26">
        <v>3.1</v>
      </c>
    </row>
    <row r="267" spans="1:1" x14ac:dyDescent="0.25">
      <c r="A267" s="26">
        <v>1.7</v>
      </c>
    </row>
    <row r="268" spans="1:1" x14ac:dyDescent="0.25">
      <c r="A268" s="26">
        <v>7.6</v>
      </c>
    </row>
    <row r="269" spans="1:1" x14ac:dyDescent="0.25">
      <c r="A269" s="26">
        <v>1.5</v>
      </c>
    </row>
    <row r="270" spans="1:1" x14ac:dyDescent="0.25">
      <c r="A270" s="26">
        <v>0.9</v>
      </c>
    </row>
    <row r="271" spans="1:1" x14ac:dyDescent="0.25">
      <c r="A271" s="26">
        <v>6.9</v>
      </c>
    </row>
    <row r="272" spans="1:1" x14ac:dyDescent="0.25">
      <c r="A272" s="26">
        <v>2.5</v>
      </c>
    </row>
    <row r="273" spans="1:1" x14ac:dyDescent="0.25">
      <c r="A273" s="26">
        <v>0.6</v>
      </c>
    </row>
    <row r="274" spans="1:1" x14ac:dyDescent="0.25">
      <c r="A274" s="26">
        <v>0</v>
      </c>
    </row>
    <row r="275" spans="1:1" x14ac:dyDescent="0.25">
      <c r="A275" s="26">
        <v>0.6</v>
      </c>
    </row>
    <row r="276" spans="1:1" x14ac:dyDescent="0.25">
      <c r="A276" s="26">
        <v>3.9</v>
      </c>
    </row>
    <row r="277" spans="1:1" x14ac:dyDescent="0.25">
      <c r="A277" s="26">
        <v>7.7</v>
      </c>
    </row>
    <row r="278" spans="1:1" x14ac:dyDescent="0.25">
      <c r="A278" s="26">
        <v>5.5</v>
      </c>
    </row>
    <row r="279" spans="1:1" x14ac:dyDescent="0.25">
      <c r="A279" s="26">
        <v>4.8</v>
      </c>
    </row>
    <row r="280" spans="1:1" x14ac:dyDescent="0.25">
      <c r="A280" s="26">
        <v>2.2000000000000002</v>
      </c>
    </row>
    <row r="281" spans="1:1" x14ac:dyDescent="0.25">
      <c r="A281" s="26">
        <v>5.7</v>
      </c>
    </row>
    <row r="282" spans="1:1" x14ac:dyDescent="0.25">
      <c r="A282" s="26">
        <v>0.4</v>
      </c>
    </row>
    <row r="283" spans="1:1" x14ac:dyDescent="0.25">
      <c r="A283" s="26">
        <v>8.5</v>
      </c>
    </row>
    <row r="284" spans="1:1" x14ac:dyDescent="0.25">
      <c r="A284" s="26">
        <v>0.8</v>
      </c>
    </row>
    <row r="285" spans="1:1" x14ac:dyDescent="0.25">
      <c r="A285" s="26">
        <v>7.2</v>
      </c>
    </row>
    <row r="286" spans="1:1" x14ac:dyDescent="0.25">
      <c r="A286" s="26">
        <v>3.4</v>
      </c>
    </row>
    <row r="287" spans="1:1" x14ac:dyDescent="0.25">
      <c r="A287" s="26">
        <v>0.3</v>
      </c>
    </row>
    <row r="288" spans="1:1" x14ac:dyDescent="0.25">
      <c r="A288" s="26">
        <v>13.7</v>
      </c>
    </row>
    <row r="289" spans="1:1" x14ac:dyDescent="0.25">
      <c r="A289" s="26">
        <v>12.1</v>
      </c>
    </row>
    <row r="290" spans="1:1" x14ac:dyDescent="0.25">
      <c r="A290" s="26">
        <v>5</v>
      </c>
    </row>
    <row r="291" spans="1:1" x14ac:dyDescent="0.25">
      <c r="A291" s="26">
        <v>10.199999999999999</v>
      </c>
    </row>
    <row r="292" spans="1:1" x14ac:dyDescent="0.25">
      <c r="A292" s="26">
        <v>0.2</v>
      </c>
    </row>
    <row r="293" spans="1:1" x14ac:dyDescent="0.25">
      <c r="A293" s="26">
        <v>0.6</v>
      </c>
    </row>
    <row r="294" spans="1:1" x14ac:dyDescent="0.25">
      <c r="A294" s="26">
        <v>29</v>
      </c>
    </row>
    <row r="295" spans="1:1" x14ac:dyDescent="0.25">
      <c r="A295" s="26">
        <v>6.8</v>
      </c>
    </row>
    <row r="296" spans="1:1" x14ac:dyDescent="0.25">
      <c r="A296" s="26">
        <v>1</v>
      </c>
    </row>
    <row r="297" spans="1:1" x14ac:dyDescent="0.25">
      <c r="A297" s="26">
        <v>0.8</v>
      </c>
    </row>
    <row r="298" spans="1:1" x14ac:dyDescent="0.25">
      <c r="A298" s="26">
        <v>7.4</v>
      </c>
    </row>
    <row r="299" spans="1:1" x14ac:dyDescent="0.25">
      <c r="A299" s="26">
        <v>0.1</v>
      </c>
    </row>
    <row r="300" spans="1:1" x14ac:dyDescent="0.25">
      <c r="A300" s="26">
        <v>0.7</v>
      </c>
    </row>
    <row r="301" spans="1:1" x14ac:dyDescent="0.25">
      <c r="A301" s="26">
        <v>0.5</v>
      </c>
    </row>
    <row r="302" spans="1:1" x14ac:dyDescent="0.25">
      <c r="A302" s="26">
        <v>14.8</v>
      </c>
    </row>
    <row r="303" spans="1:1" x14ac:dyDescent="0.25">
      <c r="A303" s="26">
        <v>3.8</v>
      </c>
    </row>
  </sheetData>
  <printOptions headings="1" gridLines="1"/>
  <pageMargins left="0.78740157480314965" right="0.78740157480314965" top="0.98425196850393704" bottom="0.98425196850393704" header="0.51181102362204722" footer="0.51181102362204722"/>
  <pageSetup paperSize="9" orientation="portrait" blackAndWhite="1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164"/>
  <sheetViews>
    <sheetView zoomScaleNormal="100" workbookViewId="0"/>
  </sheetViews>
  <sheetFormatPr defaultColWidth="9.1796875" defaultRowHeight="12.5" x14ac:dyDescent="0.25"/>
  <cols>
    <col min="1" max="1" width="13.7265625" style="61" customWidth="1"/>
    <col min="2" max="2" width="7.1796875" style="61" bestFit="1" customWidth="1"/>
    <col min="3" max="3" width="11.26953125" style="61" customWidth="1"/>
    <col min="4" max="4" width="11.54296875" style="61" bestFit="1" customWidth="1"/>
    <col min="5" max="6" width="9.81640625" style="59" customWidth="1"/>
    <col min="7" max="7" width="9.1796875" style="61"/>
    <col min="8" max="8" width="11.453125" style="61" customWidth="1"/>
    <col min="9" max="15" width="9.1796875" style="61"/>
    <col min="16" max="16" width="11.453125" style="61" customWidth="1"/>
    <col min="17" max="16384" width="9.1796875" style="61"/>
  </cols>
  <sheetData>
    <row r="1" spans="1:20" x14ac:dyDescent="0.25">
      <c r="A1" s="59" t="s">
        <v>148</v>
      </c>
      <c r="B1" s="60" t="s">
        <v>149</v>
      </c>
      <c r="E1" s="61"/>
      <c r="F1" s="61"/>
    </row>
    <row r="2" spans="1:20" ht="19.5" customHeight="1" x14ac:dyDescent="0.25">
      <c r="A2" s="61" t="s">
        <v>150</v>
      </c>
      <c r="B2" s="61" t="s">
        <v>151</v>
      </c>
      <c r="C2" s="62" t="s">
        <v>152</v>
      </c>
      <c r="D2" s="63" t="s">
        <v>153</v>
      </c>
      <c r="E2" s="62" t="s">
        <v>154</v>
      </c>
      <c r="F2" s="62"/>
    </row>
    <row r="3" spans="1:20" ht="13" x14ac:dyDescent="0.3">
      <c r="A3" s="61" t="s">
        <v>155</v>
      </c>
      <c r="B3" s="61">
        <v>1951</v>
      </c>
      <c r="C3" s="64">
        <v>87.094479225953293</v>
      </c>
      <c r="D3" s="64">
        <v>4.2726115481280802</v>
      </c>
      <c r="E3" s="59" t="s">
        <v>156</v>
      </c>
      <c r="H3" s="65" t="s">
        <v>157</v>
      </c>
      <c r="I3" s="59" t="s">
        <v>158</v>
      </c>
      <c r="J3" s="59" t="s">
        <v>159</v>
      </c>
      <c r="K3" s="59" t="s">
        <v>156</v>
      </c>
      <c r="L3" s="59" t="s">
        <v>160</v>
      </c>
      <c r="P3" s="59" t="s">
        <v>161</v>
      </c>
      <c r="Q3" s="59" t="s">
        <v>158</v>
      </c>
      <c r="R3" s="59" t="s">
        <v>159</v>
      </c>
      <c r="S3" s="59" t="s">
        <v>156</v>
      </c>
      <c r="T3" s="59" t="s">
        <v>160</v>
      </c>
    </row>
    <row r="4" spans="1:20" x14ac:dyDescent="0.25">
      <c r="A4" s="61" t="s">
        <v>155</v>
      </c>
      <c r="B4" s="61">
        <v>1952</v>
      </c>
      <c r="C4" s="64">
        <v>86.066438175586597</v>
      </c>
      <c r="D4" s="64">
        <v>0.90465159957429098</v>
      </c>
      <c r="E4" s="59" t="s">
        <v>156</v>
      </c>
      <c r="H4" s="61" t="s">
        <v>155</v>
      </c>
      <c r="I4" s="66">
        <f t="array" ref="I4">AVERAGE(IF(($A$3:$A$1159=$H4)*($E$3:$E$1159=I$3),$D$3:$D$1159,""))</f>
        <v>3.2058846458380259</v>
      </c>
      <c r="J4" s="66">
        <f t="array" ref="J4">AVERAGE(IF(($A$3:$A$1159=$H4)*($E$3:$E$1159=J$3),$D$3:$D$1159,""))</f>
        <v>4.9472053033908452</v>
      </c>
      <c r="K4" s="66">
        <f t="array" ref="K4">AVERAGE(IF(($A$3:$A$1159=$H4)*($E$3:$E$1159=K$3),$D$3:$D$1159,""))</f>
        <v>4.0421747307288376</v>
      </c>
      <c r="L4" s="66"/>
      <c r="P4" s="61" t="s">
        <v>155</v>
      </c>
      <c r="Q4" s="67">
        <f t="array" ref="Q4">COUNT(IF(($A$3:$A$1173=$P4)*($E$3:$E$1173=Q$3),$D$3:$D$1173,""))</f>
        <v>37</v>
      </c>
      <c r="R4" s="67">
        <f t="array" ref="R4">COUNT(IF(($A$3:$A$1173=$P4)*($E$3:$E$1173=R$3),$D$3:$D$1173,""))</f>
        <v>13</v>
      </c>
      <c r="S4" s="67">
        <f t="array" ref="S4">COUNT(IF(($A$3:$A$1173=$P4)*($E$3:$E$1173=S$3),$D$3:$D$1173,""))</f>
        <v>9</v>
      </c>
      <c r="T4" s="67">
        <f t="array" ref="T4">COUNT(IF(($A$3:$A$1173=$P4)*($E$3:$E$1173=T$3),$D$3:$D$1173,""))</f>
        <v>0</v>
      </c>
    </row>
    <row r="5" spans="1:20" x14ac:dyDescent="0.25">
      <c r="A5" s="61" t="s">
        <v>155</v>
      </c>
      <c r="B5" s="61">
        <v>1953</v>
      </c>
      <c r="C5" s="64">
        <v>79.865022108447803</v>
      </c>
      <c r="D5" s="64">
        <v>3.11928028540407</v>
      </c>
      <c r="E5" s="59" t="s">
        <v>156</v>
      </c>
      <c r="H5" s="61" t="s">
        <v>162</v>
      </c>
      <c r="I5" s="66">
        <f t="array" ref="I5">AVERAGE(IF(($A$3:$A$1159=$H5)*($E$3:$E$1159=I$3),$D$3:$D$1159,""))</f>
        <v>5.2074872846779776</v>
      </c>
      <c r="J5" s="66">
        <f t="array" ref="J5">AVERAGE(IF(($A$3:$A$1159=$H5)*($E$3:$E$1159=J$3),$D$3:$D$1159,""))</f>
        <v>3.3915686932987832</v>
      </c>
      <c r="K5" s="66"/>
      <c r="L5" s="66"/>
      <c r="P5" s="61" t="s">
        <v>162</v>
      </c>
      <c r="Q5" s="67">
        <f t="array" ref="Q5">COUNT(IF(($A$3:$A$1173=$P5)*($E$3:$E$1173=Q$3),$D$3:$D$1173,""))</f>
        <v>34</v>
      </c>
      <c r="R5" s="67">
        <f t="array" ref="R5">COUNT(IF(($A$3:$A$1173=$P5)*($E$3:$E$1173=R$3),$D$3:$D$1173,""))</f>
        <v>25</v>
      </c>
      <c r="S5" s="67">
        <f t="array" ref="S5">COUNT(IF(($A$3:$A$1173=$P5)*($E$3:$E$1173=S$3),$D$3:$D$1173,""))</f>
        <v>0</v>
      </c>
      <c r="T5" s="67">
        <f t="array" ref="T5">COUNT(IF(($A$3:$A$1173=$P5)*($E$3:$E$1173=T$3),$D$3:$D$1173,""))</f>
        <v>0</v>
      </c>
    </row>
    <row r="6" spans="1:20" x14ac:dyDescent="0.25">
      <c r="A6" s="61" t="s">
        <v>155</v>
      </c>
      <c r="B6" s="61">
        <v>1954</v>
      </c>
      <c r="C6" s="64">
        <v>76.8467028869713</v>
      </c>
      <c r="D6" s="64">
        <v>6.2168138265068302</v>
      </c>
      <c r="E6" s="59" t="s">
        <v>156</v>
      </c>
      <c r="H6" s="61" t="s">
        <v>163</v>
      </c>
      <c r="I6" s="66"/>
      <c r="J6" s="66">
        <f t="array" ref="J6">AVERAGE(IF(($A$3:$A$1159=$H6)*($E$3:$E$1159=J$3),$D$3:$D$1159,""))</f>
        <v>4.1916545553209863</v>
      </c>
      <c r="K6" s="66">
        <f t="array" ref="K6">AVERAGE(IF(($A$3:$A$1159=$H6)*($E$3:$E$1159=K$3),$D$3:$D$1159,""))</f>
        <v>3.0798680950533051</v>
      </c>
      <c r="L6" s="66">
        <f t="array" ref="L6">AVERAGE(IF(($A$3:$A$1159=$H6)*($E$3:$E$1159=L$3),$D$3:$D$1159,""))</f>
        <v>2.5668283138819659</v>
      </c>
      <c r="P6" s="61" t="s">
        <v>163</v>
      </c>
      <c r="Q6" s="67">
        <f t="array" ref="Q6">COUNT(IF(($A$3:$A$1173=$P6)*($E$3:$E$1173=Q$3),$D$3:$D$1173,""))</f>
        <v>0</v>
      </c>
      <c r="R6" s="67">
        <f t="array" ref="R6">COUNT(IF(($A$3:$A$1173=$P6)*($E$3:$E$1173=R$3),$D$3:$D$1173,""))</f>
        <v>17</v>
      </c>
      <c r="S6" s="67">
        <f t="array" ref="S6">COUNT(IF(($A$3:$A$1173=$P6)*($E$3:$E$1173=S$3),$D$3:$D$1173,""))</f>
        <v>21</v>
      </c>
      <c r="T6" s="67">
        <f t="array" ref="T6">COUNT(IF(($A$3:$A$1173=$P6)*($E$3:$E$1173=T$3),$D$3:$D$1173,""))</f>
        <v>25</v>
      </c>
    </row>
    <row r="7" spans="1:20" x14ac:dyDescent="0.25">
      <c r="A7" s="61" t="s">
        <v>155</v>
      </c>
      <c r="B7" s="61">
        <v>1955</v>
      </c>
      <c r="C7" s="64">
        <v>74.980501949805003</v>
      </c>
      <c r="D7" s="64">
        <v>5.4620896706035502</v>
      </c>
      <c r="E7" s="59" t="s">
        <v>156</v>
      </c>
      <c r="H7" s="61" t="s">
        <v>164</v>
      </c>
      <c r="I7" s="66">
        <f t="array" ref="I7">AVERAGE(IF(($A$3:$A$1159=$H7)*($E$3:$E$1159=I$3),$D$3:$D$1159,""))</f>
        <v>2.5157035420588438</v>
      </c>
      <c r="J7" s="66">
        <f t="array" ref="J7">AVERAGE(IF(($A$3:$A$1159=$H7)*($E$3:$E$1159=J$3),$D$3:$D$1159,""))</f>
        <v>3.5254457621572448</v>
      </c>
      <c r="K7" s="66">
        <f t="array" ref="K7">AVERAGE(IF(($A$3:$A$1159=$H7)*($E$3:$E$1159=K$3),$D$3:$D$1159,""))</f>
        <v>4.5235744792155383</v>
      </c>
      <c r="L7" s="66"/>
      <c r="P7" s="61" t="s">
        <v>164</v>
      </c>
      <c r="Q7" s="67">
        <f t="array" ref="Q7">COUNT(IF(($A$3:$A$1173=$P7)*($E$3:$E$1173=Q$3),$D$3:$D$1173,""))</f>
        <v>3</v>
      </c>
      <c r="R7" s="67">
        <f t="array" ref="R7">COUNT(IF(($A$3:$A$1173=$P7)*($E$3:$E$1173=R$3),$D$3:$D$1173,""))</f>
        <v>42</v>
      </c>
      <c r="S7" s="67">
        <f t="array" ref="S7">COUNT(IF(($A$3:$A$1173=$P7)*($E$3:$E$1173=S$3),$D$3:$D$1173,""))</f>
        <v>14</v>
      </c>
      <c r="T7" s="67">
        <f t="array" ref="T7">COUNT(IF(($A$3:$A$1173=$P7)*($E$3:$E$1173=T$3),$D$3:$D$1173,""))</f>
        <v>0</v>
      </c>
    </row>
    <row r="8" spans="1:20" x14ac:dyDescent="0.25">
      <c r="A8" s="61" t="s">
        <v>155</v>
      </c>
      <c r="B8" s="61">
        <v>1956</v>
      </c>
      <c r="C8" s="64">
        <v>71.818265767845602</v>
      </c>
      <c r="D8" s="64">
        <v>3.4416081427669698</v>
      </c>
      <c r="E8" s="59" t="s">
        <v>156</v>
      </c>
      <c r="H8" s="61" t="s">
        <v>165</v>
      </c>
      <c r="I8" s="66">
        <f t="array" ref="I8">AVERAGE(IF(($A$3:$A$1159=$H8)*($E$3:$E$1159=I$3),$D$3:$D$1159,""))</f>
        <v>3.5185838884698568</v>
      </c>
      <c r="J8" s="66">
        <f t="array" ref="J8">AVERAGE(IF(($A$3:$A$1159=$H8)*($E$3:$E$1159=J$3),$D$3:$D$1159,""))</f>
        <v>1.700033673398099</v>
      </c>
      <c r="K8" s="66">
        <f t="array" ref="K8">AVERAGE(IF(($A$3:$A$1159=$H8)*($E$3:$E$1159=K$3),$D$3:$D$1159,""))</f>
        <v>2.3911471659625025</v>
      </c>
      <c r="L8" s="66"/>
      <c r="P8" s="61" t="s">
        <v>165</v>
      </c>
      <c r="Q8" s="67">
        <f t="array" ref="Q8">COUNT(IF(($A$3:$A$1173=$P8)*($E$3:$E$1173=Q$3),$D$3:$D$1173,""))</f>
        <v>23</v>
      </c>
      <c r="R8" s="67">
        <f t="array" ref="R8">COUNT(IF(($A$3:$A$1173=$P8)*($E$3:$E$1173=R$3),$D$3:$D$1173,""))</f>
        <v>16</v>
      </c>
      <c r="S8" s="67">
        <f t="array" ref="S8">COUNT(IF(($A$3:$A$1173=$P8)*($E$3:$E$1173=S$3),$D$3:$D$1173,""))</f>
        <v>17</v>
      </c>
      <c r="T8" s="67">
        <f t="array" ref="T8">COUNT(IF(($A$3:$A$1173=$P8)*($E$3:$E$1173=T$3),$D$3:$D$1173,""))</f>
        <v>0</v>
      </c>
    </row>
    <row r="9" spans="1:20" x14ac:dyDescent="0.25">
      <c r="A9" s="61" t="s">
        <v>155</v>
      </c>
      <c r="B9" s="61">
        <v>1957</v>
      </c>
      <c r="C9" s="64">
        <v>67.723763468227702</v>
      </c>
      <c r="D9" s="64">
        <v>2.0030116571903198</v>
      </c>
      <c r="E9" s="59" t="s">
        <v>156</v>
      </c>
      <c r="H9" s="61" t="s">
        <v>166</v>
      </c>
      <c r="I9" s="66">
        <f t="array" ref="I9">AVERAGE(IF(($A$3:$A$1159=$H9)*($E$3:$E$1159=I$3),$D$3:$D$1159,""))</f>
        <v>3.8170292608859002</v>
      </c>
      <c r="J9" s="66">
        <f t="array" ref="J9">AVERAGE(IF(($A$3:$A$1159=$H9)*($E$3:$E$1159=J$3),$D$3:$D$1159,""))</f>
        <v>2.418534643990379</v>
      </c>
      <c r="K9" s="66">
        <f t="array" ref="K9">AVERAGE(IF(($A$3:$A$1159=$H9)*($E$3:$E$1159=K$3),$D$3:$D$1159,""))</f>
        <v>5.4888873495957595</v>
      </c>
      <c r="L9" s="66"/>
      <c r="P9" s="61" t="s">
        <v>166</v>
      </c>
      <c r="Q9" s="67">
        <f t="array" ref="Q9">COUNT(IF(($A$3:$A$1173=$P9)*($E$3:$E$1173=Q$3),$D$3:$D$1173,""))</f>
        <v>44</v>
      </c>
      <c r="R9" s="67">
        <f t="array" ref="R9">COUNT(IF(($A$3:$A$1173=$P9)*($E$3:$E$1173=R$3),$D$3:$D$1173,""))</f>
        <v>16</v>
      </c>
      <c r="S9" s="67">
        <f t="array" ref="S9">COUNT(IF(($A$3:$A$1173=$P9)*($E$3:$E$1173=S$3),$D$3:$D$1173,""))</f>
        <v>4</v>
      </c>
      <c r="T9" s="67">
        <f t="array" ref="T9">COUNT(IF(($A$3:$A$1173=$P9)*($E$3:$E$1173=T$3),$D$3:$D$1173,""))</f>
        <v>0</v>
      </c>
    </row>
    <row r="10" spans="1:20" x14ac:dyDescent="0.25">
      <c r="A10" s="61" t="s">
        <v>155</v>
      </c>
      <c r="B10" s="61">
        <v>1958</v>
      </c>
      <c r="C10" s="64">
        <v>66.049751243781103</v>
      </c>
      <c r="D10" s="64">
        <v>4.8029321557198701</v>
      </c>
      <c r="E10" s="59" t="s">
        <v>156</v>
      </c>
      <c r="H10" s="61" t="s">
        <v>167</v>
      </c>
      <c r="I10" s="66">
        <f t="array" ref="I10">AVERAGE(IF(($A$3:$A$1159=$H10)*($E$3:$E$1159=I$3),$D$3:$D$1159,""))</f>
        <v>5.0584756365634975</v>
      </c>
      <c r="J10" s="66">
        <f t="array" ref="J10">AVERAGE(IF(($A$3:$A$1159=$H10)*($E$3:$E$1159=J$3),$D$3:$D$1159,""))</f>
        <v>2.6161590432546395</v>
      </c>
      <c r="K10" s="66">
        <f t="array" ref="K10">AVERAGE(IF(($A$3:$A$1159=$H10)*($E$3:$E$1159=K$3),$D$3:$D$1159,""))</f>
        <v>3.0196305564817143</v>
      </c>
      <c r="L10" s="66"/>
      <c r="P10" s="61" t="s">
        <v>167</v>
      </c>
      <c r="Q10" s="67">
        <f t="array" ref="Q10">COUNT(IF(($A$3:$A$1173=$P10)*($E$3:$E$1173=Q$3),$D$3:$D$1173,""))</f>
        <v>24</v>
      </c>
      <c r="R10" s="67">
        <f t="array" ref="R10">COUNT(IF(($A$3:$A$1173=$P10)*($E$3:$E$1173=R$3),$D$3:$D$1173,""))</f>
        <v>20</v>
      </c>
      <c r="S10" s="67">
        <f t="array" ref="S10">COUNT(IF(($A$3:$A$1173=$P10)*($E$3:$E$1173=S$3),$D$3:$D$1173,""))</f>
        <v>10</v>
      </c>
      <c r="T10" s="67">
        <f t="array" ref="T10">COUNT(IF(($A$3:$A$1173=$P10)*($E$3:$E$1173=T$3),$D$3:$D$1173,""))</f>
        <v>0</v>
      </c>
    </row>
    <row r="11" spans="1:20" x14ac:dyDescent="0.25">
      <c r="A11" s="61" t="s">
        <v>155</v>
      </c>
      <c r="B11" s="61">
        <v>1959</v>
      </c>
      <c r="C11" s="64">
        <v>62.3884514435696</v>
      </c>
      <c r="D11" s="64">
        <v>6.1565736906655602</v>
      </c>
      <c r="E11" s="59" t="s">
        <v>156</v>
      </c>
      <c r="H11" s="61" t="s">
        <v>168</v>
      </c>
      <c r="I11" s="66">
        <f t="array" ref="I11">AVERAGE(IF(($A$3:$A$1159=$H11)*($E$3:$E$1159=I$3),$D$3:$D$1159,""))</f>
        <v>3.8737590917555766</v>
      </c>
      <c r="J11" s="66">
        <f t="array" ref="J11">AVERAGE(IF(($A$3:$A$1159=$H11)*($E$3:$E$1159=J$3),$D$3:$D$1159,""))</f>
        <v>0.87580337752503246</v>
      </c>
      <c r="K11" s="66"/>
      <c r="L11" s="66"/>
      <c r="P11" s="61" t="s">
        <v>168</v>
      </c>
      <c r="Q11" s="67">
        <f t="array" ref="Q11">COUNT(IF(($A$3:$A$1173=$P11)*($E$3:$E$1173=Q$3),$D$3:$D$1173,""))</f>
        <v>48</v>
      </c>
      <c r="R11" s="67">
        <f t="array" ref="R11">COUNT(IF(($A$3:$A$1173=$P11)*($E$3:$E$1173=R$3),$D$3:$D$1173,""))</f>
        <v>11</v>
      </c>
      <c r="S11" s="67">
        <f t="array" ref="S11">COUNT(IF(($A$3:$A$1173=$P11)*($E$3:$E$1173=S$3),$D$3:$D$1173,""))</f>
        <v>0</v>
      </c>
      <c r="T11" s="67">
        <f t="array" ref="T11">COUNT(IF(($A$3:$A$1173=$P11)*($E$3:$E$1173=T$3),$D$3:$D$1173,""))</f>
        <v>0</v>
      </c>
    </row>
    <row r="12" spans="1:20" x14ac:dyDescent="0.25">
      <c r="A12" s="61" t="s">
        <v>155</v>
      </c>
      <c r="B12" s="61">
        <v>1960</v>
      </c>
      <c r="C12" s="64">
        <v>48.336380255941499</v>
      </c>
      <c r="D12" s="64">
        <v>4.1912126376957497</v>
      </c>
      <c r="E12" s="59" t="s">
        <v>159</v>
      </c>
      <c r="H12" s="61" t="s">
        <v>169</v>
      </c>
      <c r="I12" s="66">
        <f t="array" ref="I12">AVERAGE(IF(($A$3:$A$1159=$H12)*($E$3:$E$1159=I$3),$D$3:$D$1159,""))</f>
        <v>4.0012815476872898</v>
      </c>
      <c r="J12" s="66">
        <f t="array" ref="J12">AVERAGE(IF(($A$3:$A$1159=$H12)*($E$3:$E$1159=J$3),$D$3:$D$1159,""))</f>
        <v>0.3402</v>
      </c>
      <c r="K12" s="66">
        <f t="array" ref="K12">AVERAGE(IF(($A$3:$A$1159=$H12)*($E$3:$E$1159=K$3),$D$3:$D$1159,""))</f>
        <v>2.6960000000000002</v>
      </c>
      <c r="L12" s="66">
        <f t="array" ref="L12">AVERAGE(IF(($A$3:$A$1159=$H12)*($E$3:$E$1159=L$3),$D$3:$D$1159,""))</f>
        <v>2.9106315789473687</v>
      </c>
      <c r="P12" s="61" t="s">
        <v>169</v>
      </c>
      <c r="Q12" s="67">
        <f t="array" ref="Q12">COUNT(IF(($A$3:$A$1173=$P12)*($E$3:$E$1173=Q$3),$D$3:$D$1173,""))</f>
        <v>13</v>
      </c>
      <c r="R12" s="67">
        <f t="array" ref="R12">COUNT(IF(($A$3:$A$1173=$P12)*($E$3:$E$1173=R$3),$D$3:$D$1173,""))</f>
        <v>5</v>
      </c>
      <c r="S12" s="67">
        <f t="array" ref="S12">COUNT(IF(($A$3:$A$1173=$P12)*($E$3:$E$1173=S$3),$D$3:$D$1173,""))</f>
        <v>3</v>
      </c>
      <c r="T12" s="67">
        <f t="array" ref="T12">COUNT(IF(($A$3:$A$1173=$P12)*($E$3:$E$1173=T$3),$D$3:$D$1173,""))</f>
        <v>19</v>
      </c>
    </row>
    <row r="13" spans="1:20" x14ac:dyDescent="0.25">
      <c r="A13" s="61" t="s">
        <v>155</v>
      </c>
      <c r="B13" s="61">
        <v>1961</v>
      </c>
      <c r="C13" s="64">
        <v>49.378113826856598</v>
      </c>
      <c r="D13" s="64">
        <v>0.68946588351539395</v>
      </c>
      <c r="E13" s="59" t="s">
        <v>159</v>
      </c>
      <c r="H13" s="61" t="s">
        <v>170</v>
      </c>
      <c r="I13" s="66">
        <f t="array" ref="I13">AVERAGE(IF(($A$3:$A$1159=$H13)*($E$3:$E$1159=I$3),$D$3:$D$1159,""))</f>
        <v>4.2092505341969737</v>
      </c>
      <c r="J13" s="66">
        <f t="array" ref="J13">AVERAGE(IF(($A$3:$A$1159=$H13)*($E$3:$E$1159=J$3),$D$3:$D$1159,""))</f>
        <v>4.4521668732135407</v>
      </c>
      <c r="K13" s="66">
        <f t="array" ref="K13">AVERAGE(IF(($A$3:$A$1159=$H13)*($E$3:$E$1159=K$3),$D$3:$D$1159,""))</f>
        <v>3.9501388892382265</v>
      </c>
      <c r="L13" s="66">
        <f t="array" ref="L13">AVERAGE(IF(($A$3:$A$1159=$H13)*($E$3:$E$1159=L$3),$D$3:$D$1159,""))</f>
        <v>2.4285714285714284</v>
      </c>
      <c r="P13" s="61" t="s">
        <v>170</v>
      </c>
      <c r="Q13" s="67">
        <f t="array" ref="Q13">COUNT(IF(($A$3:$A$1173=$P13)*($E$3:$E$1173=Q$3),$D$3:$D$1173,""))</f>
        <v>10</v>
      </c>
      <c r="R13" s="67">
        <f t="array" ref="R13">COUNT(IF(($A$3:$A$1173=$P13)*($E$3:$E$1173=R$3),$D$3:$D$1173,""))</f>
        <v>14</v>
      </c>
      <c r="S13" s="67">
        <f t="array" ref="S13">COUNT(IF(($A$3:$A$1173=$P13)*($E$3:$E$1173=S$3),$D$3:$D$1173,""))</f>
        <v>32</v>
      </c>
      <c r="T13" s="67">
        <f t="array" ref="T13">COUNT(IF(($A$3:$A$1173=$P13)*($E$3:$E$1173=T$3),$D$3:$D$1173,""))</f>
        <v>7</v>
      </c>
    </row>
    <row r="14" spans="1:20" x14ac:dyDescent="0.25">
      <c r="A14" s="61" t="s">
        <v>155</v>
      </c>
      <c r="B14" s="61">
        <v>1962</v>
      </c>
      <c r="C14" s="64">
        <v>50.330760749724398</v>
      </c>
      <c r="D14" s="64">
        <v>6.24884149466269</v>
      </c>
      <c r="E14" s="59" t="s">
        <v>159</v>
      </c>
      <c r="H14" s="61" t="s">
        <v>171</v>
      </c>
      <c r="I14" s="66">
        <f t="array" ref="I14">AVERAGE(IF(($A$3:$A$1159=$H14)*($E$3:$E$1159=I$3),$D$3:$D$1159,""))</f>
        <v>5.3526316533834448</v>
      </c>
      <c r="J14" s="66">
        <f t="array" ref="J14">AVERAGE(IF(($A$3:$A$1159=$H14)*($E$3:$E$1159=J$3),$D$3:$D$1159,""))</f>
        <v>2.0542842210328485</v>
      </c>
      <c r="K14" s="66">
        <f t="array" ref="K14">AVERAGE(IF(($A$3:$A$1159=$H14)*($E$3:$E$1159=K$3),$D$3:$D$1159,""))</f>
        <v>1.7715294117647058</v>
      </c>
      <c r="L14" s="66">
        <f t="array" ref="L14">AVERAGE(IF(($A$3:$A$1159=$H14)*($E$3:$E$1159=L$3),$D$3:$D$1159,""))</f>
        <v>1.0288999999999999</v>
      </c>
      <c r="P14" s="61" t="s">
        <v>171</v>
      </c>
      <c r="Q14" s="67">
        <f t="array" ref="Q14">COUNT(IF(($A$3:$A$1173=$P14)*($E$3:$E$1173=Q$3),$D$3:$D$1173,""))</f>
        <v>26</v>
      </c>
      <c r="R14" s="67">
        <f t="array" ref="R14">COUNT(IF(($A$3:$A$1173=$P14)*($E$3:$E$1173=R$3),$D$3:$D$1173,""))</f>
        <v>6</v>
      </c>
      <c r="S14" s="67">
        <f t="array" ref="S14">COUNT(IF(($A$3:$A$1173=$P14)*($E$3:$E$1173=S$3),$D$3:$D$1173,""))</f>
        <v>17</v>
      </c>
      <c r="T14" s="67">
        <f t="array" ref="T14">COUNT(IF(($A$3:$A$1173=$P14)*($E$3:$E$1173=T$3),$D$3:$D$1173,""))</f>
        <v>10</v>
      </c>
    </row>
    <row r="15" spans="1:20" x14ac:dyDescent="0.25">
      <c r="A15" s="61" t="s">
        <v>155</v>
      </c>
      <c r="B15" s="61">
        <v>1963</v>
      </c>
      <c r="C15" s="64">
        <v>47.587530945283703</v>
      </c>
      <c r="D15" s="64">
        <v>6.1255695578999099</v>
      </c>
      <c r="E15" s="59" t="s">
        <v>159</v>
      </c>
      <c r="H15" s="61" t="s">
        <v>172</v>
      </c>
      <c r="I15" s="66">
        <f t="array" ref="I15">AVERAGE(IF(($A$3:$A$1159=$H15)*($E$3:$E$1159=I$3),$D$3:$D$1159,""))</f>
        <v>7.331000974134124</v>
      </c>
      <c r="J15" s="66">
        <f t="array" ref="J15">AVERAGE(IF(($A$3:$A$1159=$H15)*($E$3:$E$1159=J$3),$D$3:$D$1159,""))</f>
        <v>3.9571430664109926</v>
      </c>
      <c r="K15" s="66">
        <f t="array" ref="K15">AVERAGE(IF(($A$3:$A$1159=$H15)*($E$3:$E$1159=K$3),$D$3:$D$1159,""))</f>
        <v>1.0084105338068099</v>
      </c>
      <c r="L15" s="66">
        <f t="array" ref="L15">AVERAGE(IF(($A$3:$A$1159=$H15)*($E$3:$E$1159=L$3),$D$3:$D$1159,""))</f>
        <v>0.68725836094954895</v>
      </c>
      <c r="P15" s="61" t="s">
        <v>172</v>
      </c>
      <c r="Q15" s="67">
        <f t="array" ref="Q15">COUNT(IF(($A$3:$A$1173=$P15)*($E$3:$E$1173=Q$3),$D$3:$D$1173,""))</f>
        <v>22</v>
      </c>
      <c r="R15" s="67">
        <f t="array" ref="R15">COUNT(IF(($A$3:$A$1173=$P15)*($E$3:$E$1173=R$3),$D$3:$D$1173,""))</f>
        <v>17</v>
      </c>
      <c r="S15" s="67">
        <f t="array" ref="S15">COUNT(IF(($A$3:$A$1173=$P15)*($E$3:$E$1173=S$3),$D$3:$D$1173,""))</f>
        <v>4</v>
      </c>
      <c r="T15" s="67">
        <f t="array" ref="T15">COUNT(IF(($A$3:$A$1173=$P15)*($E$3:$E$1173=T$3),$D$3:$D$1173,""))</f>
        <v>11</v>
      </c>
    </row>
    <row r="16" spans="1:20" x14ac:dyDescent="0.25">
      <c r="A16" s="61" t="s">
        <v>155</v>
      </c>
      <c r="B16" s="61">
        <v>1964</v>
      </c>
      <c r="C16" s="64">
        <v>45.0115260488705</v>
      </c>
      <c r="D16" s="64">
        <v>6.84149961803642</v>
      </c>
      <c r="E16" s="59" t="s">
        <v>159</v>
      </c>
      <c r="H16" s="61" t="s">
        <v>173</v>
      </c>
      <c r="I16" s="66">
        <f t="array" ref="I16">AVERAGE(IF(($A$3:$A$1159=$H16)*($E$3:$E$1159=I$3),$D$3:$D$1159,""))</f>
        <v>4.0826135854501926</v>
      </c>
      <c r="J16" s="66">
        <f t="array" ref="J16">AVERAGE(IF(($A$3:$A$1159=$H16)*($E$3:$E$1159=J$3),$D$3:$D$1159,""))</f>
        <v>2.6207718194023975</v>
      </c>
      <c r="K16" s="66">
        <f t="array" ref="K16">AVERAGE(IF(($A$3:$A$1159=$H16)*($E$3:$E$1159=K$3),$D$3:$D$1159,""))</f>
        <v>1.07043646158601</v>
      </c>
      <c r="L16" s="66"/>
      <c r="P16" s="61" t="s">
        <v>173</v>
      </c>
      <c r="Q16" s="67">
        <f t="array" ref="Q16">COUNT(IF(($A$3:$A$1173=$P16)*($E$3:$E$1173=Q$3),$D$3:$D$1173,""))</f>
        <v>17</v>
      </c>
      <c r="R16" s="67">
        <f t="array" ref="R16">COUNT(IF(($A$3:$A$1173=$P16)*($E$3:$E$1173=R$3),$D$3:$D$1173,""))</f>
        <v>34</v>
      </c>
      <c r="S16" s="67">
        <f t="array" ref="S16">COUNT(IF(($A$3:$A$1173=$P16)*($E$3:$E$1173=S$3),$D$3:$D$1173,""))</f>
        <v>2</v>
      </c>
      <c r="T16" s="67">
        <f t="array" ref="T16">COUNT(IF(($A$3:$A$1173=$P16)*($E$3:$E$1173=T$3),$D$3:$D$1173,""))</f>
        <v>0</v>
      </c>
    </row>
    <row r="17" spans="1:21" x14ac:dyDescent="0.25">
      <c r="A17" s="61" t="s">
        <v>155</v>
      </c>
      <c r="B17" s="61">
        <v>1965</v>
      </c>
      <c r="C17" s="64">
        <v>43.739037433155097</v>
      </c>
      <c r="D17" s="64">
        <v>5.1073419737890102</v>
      </c>
      <c r="E17" s="59" t="s">
        <v>159</v>
      </c>
      <c r="H17" s="61" t="s">
        <v>174</v>
      </c>
      <c r="I17" s="66">
        <f t="array" ref="I17">AVERAGE(IF(($A$3:$A$1159=$H17)*($E$3:$E$1159=I$3),$D$3:$D$1159,""))</f>
        <v>2.4655555555555555</v>
      </c>
      <c r="J17" s="66">
        <f t="array" ref="J17">AVERAGE(IF(($A$3:$A$1159=$H17)*($E$3:$E$1159=J$3),$D$3:$D$1159,""))</f>
        <v>2.8895716508300104</v>
      </c>
      <c r="K17" s="66">
        <f t="array" ref="K17">AVERAGE(IF(($A$3:$A$1159=$H17)*($E$3:$E$1159=K$3),$D$3:$D$1159,""))</f>
        <v>3.8836833687040042</v>
      </c>
      <c r="L17" s="66">
        <f t="array" ref="L17">AVERAGE(IF(($A$3:$A$1159=$H17)*($E$3:$E$1159=L$3),$D$3:$D$1159,""))</f>
        <v>-7.6351016360932098</v>
      </c>
      <c r="P17" s="61" t="s">
        <v>174</v>
      </c>
      <c r="Q17" s="67">
        <f t="array" ref="Q17">COUNT(IF(($A$3:$A$1173=$P17)*($E$3:$E$1173=Q$3),$D$3:$D$1173,""))</f>
        <v>9</v>
      </c>
      <c r="R17" s="67">
        <f t="array" ref="R17">COUNT(IF(($A$3:$A$1173=$P17)*($E$3:$E$1173=R$3),$D$3:$D$1173,""))</f>
        <v>33</v>
      </c>
      <c r="S17" s="67">
        <f t="array" ref="S17">COUNT(IF(($A$3:$A$1173=$P17)*($E$3:$E$1173=S$3),$D$3:$D$1173,""))</f>
        <v>17</v>
      </c>
      <c r="T17" s="67">
        <f t="array" ref="T17">COUNT(IF(($A$3:$A$1173=$P17)*($E$3:$E$1173=T$3),$D$3:$D$1173,""))</f>
        <v>1</v>
      </c>
    </row>
    <row r="18" spans="1:21" x14ac:dyDescent="0.25">
      <c r="A18" s="61" t="s">
        <v>155</v>
      </c>
      <c r="B18" s="61">
        <v>1966</v>
      </c>
      <c r="C18" s="64">
        <v>42.481233029867397</v>
      </c>
      <c r="D18" s="64">
        <v>2.78306395363856</v>
      </c>
      <c r="E18" s="59" t="s">
        <v>159</v>
      </c>
      <c r="H18" s="61" t="s">
        <v>175</v>
      </c>
      <c r="I18" s="66">
        <f t="array" ref="I18">AVERAGE(IF(($A$3:$A$1159=$H18)*($E$3:$E$1159=I$3),$D$3:$D$1159,""))</f>
        <v>3.4001217818948275</v>
      </c>
      <c r="J18" s="66">
        <f t="array" ref="J18">AVERAGE(IF(($A$3:$A$1159=$H18)*($E$3:$E$1159=J$3),$D$3:$D$1159,""))</f>
        <v>5.1082894538621755</v>
      </c>
      <c r="K18" s="66">
        <f t="array" ref="K18">AVERAGE(IF(($A$3:$A$1159=$H18)*($E$3:$E$1159=K$3),$D$3:$D$1159,""))</f>
        <v>10.201270069762501</v>
      </c>
      <c r="L18" s="66"/>
      <c r="P18" s="61" t="s">
        <v>175</v>
      </c>
      <c r="Q18" s="67">
        <f t="array" ref="Q18">COUNT(IF(($A$3:$A$1173=$P18)*($E$3:$E$1173=Q$3),$D$3:$D$1173,""))</f>
        <v>51</v>
      </c>
      <c r="R18" s="67">
        <f t="array" ref="R18">COUNT(IF(($A$3:$A$1173=$P18)*($E$3:$E$1173=R$3),$D$3:$D$1173,""))</f>
        <v>12</v>
      </c>
      <c r="S18" s="67">
        <f t="array" ref="S18">COUNT(IF(($A$3:$A$1173=$P18)*($E$3:$E$1173=S$3),$D$3:$D$1173,""))</f>
        <v>1</v>
      </c>
      <c r="T18" s="67">
        <f t="array" ref="T18">COUNT(IF(($A$3:$A$1173=$P18)*($E$3:$E$1173=T$3),$D$3:$D$1173,""))</f>
        <v>0</v>
      </c>
    </row>
    <row r="19" spans="1:21" x14ac:dyDescent="0.25">
      <c r="A19" s="61" t="s">
        <v>155</v>
      </c>
      <c r="B19" s="61">
        <v>1967</v>
      </c>
      <c r="C19" s="64">
        <v>40.534480888149602</v>
      </c>
      <c r="D19" s="64">
        <v>6.7516734666521501</v>
      </c>
      <c r="E19" s="59" t="s">
        <v>159</v>
      </c>
      <c r="H19" s="61" t="s">
        <v>176</v>
      </c>
      <c r="I19" s="66">
        <f t="array" ref="I19">AVERAGE(IF(($A$3:$A$1159=$H19)*($E$3:$E$1159=I$3),$D$3:$D$1159,""))</f>
        <v>4.4514190942620999</v>
      </c>
      <c r="J19" s="66">
        <f t="array" ref="J19">AVERAGE(IF(($A$3:$A$1159=$H19)*($E$3:$E$1159=J$3),$D$3:$D$1159,""))</f>
        <v>3.5494820476044922</v>
      </c>
      <c r="K19" s="66">
        <f t="array" ref="K19">AVERAGE(IF(($A$3:$A$1159=$H19)*($E$3:$E$1159=K$3),$D$3:$D$1159,""))</f>
        <v>1.8938989107963731</v>
      </c>
      <c r="L19" s="66"/>
      <c r="P19" s="61" t="s">
        <v>176</v>
      </c>
      <c r="Q19" s="67">
        <f t="array" ref="Q19">COUNT(IF(($A$3:$A$1173=$P19)*($E$3:$E$1173=Q$3),$D$3:$D$1173,""))</f>
        <v>42</v>
      </c>
      <c r="R19" s="67">
        <f t="array" ref="R19">COUNT(IF(($A$3:$A$1173=$P19)*($E$3:$E$1173=R$3),$D$3:$D$1173,""))</f>
        <v>9</v>
      </c>
      <c r="S19" s="67">
        <f t="array" ref="S19">COUNT(IF(($A$3:$A$1173=$P19)*($E$3:$E$1173=S$3),$D$3:$D$1173,""))</f>
        <v>7</v>
      </c>
      <c r="T19" s="67">
        <f t="array" ref="T19">COUNT(IF(($A$3:$A$1173=$P19)*($E$3:$E$1173=T$3),$D$3:$D$1173,""))</f>
        <v>0</v>
      </c>
    </row>
    <row r="20" spans="1:21" x14ac:dyDescent="0.25">
      <c r="A20" s="61" t="s">
        <v>155</v>
      </c>
      <c r="B20" s="61">
        <v>1968</v>
      </c>
      <c r="C20" s="64">
        <v>39.494266587128003</v>
      </c>
      <c r="D20" s="64">
        <v>5.8788906154353198</v>
      </c>
      <c r="E20" s="59" t="s">
        <v>159</v>
      </c>
      <c r="H20" s="61" t="s">
        <v>177</v>
      </c>
      <c r="I20" s="66">
        <f t="array" ref="I20">AVERAGE(IF(($A$3:$A$1159=$H20)*($E$3:$E$1159=I$3),$D$3:$D$1159,""))</f>
        <v>1.5493324435460234</v>
      </c>
      <c r="J20" s="66">
        <f t="array" ref="J20">AVERAGE(IF(($A$3:$A$1159=$H20)*($E$3:$E$1159=J$3),$D$3:$D$1159,""))</f>
        <v>3.3986685030537371</v>
      </c>
      <c r="K20" s="66">
        <f t="array" ref="K20">AVERAGE(IF(($A$3:$A$1159=$H20)*($E$3:$E$1159=K$3),$D$3:$D$1159,""))</f>
        <v>4.1562496723491504</v>
      </c>
      <c r="L20" s="66"/>
      <c r="P20" s="61" t="s">
        <v>177</v>
      </c>
      <c r="Q20" s="67">
        <f t="array" ref="Q20">COUNT(IF(($A$3:$A$1173=$P20)*($E$3:$E$1173=Q$3),$D$3:$D$1173,""))</f>
        <v>5</v>
      </c>
      <c r="R20" s="67">
        <f t="array" ref="R20">COUNT(IF(($A$3:$A$1173=$P20)*($E$3:$E$1173=R$3),$D$3:$D$1173,""))</f>
        <v>36</v>
      </c>
      <c r="S20" s="67">
        <f t="array" ref="S20">COUNT(IF(($A$3:$A$1173=$P20)*($E$3:$E$1173=S$3),$D$3:$D$1173,""))</f>
        <v>1</v>
      </c>
      <c r="T20" s="67">
        <f t="array" ref="T20">COUNT(IF(($A$3:$A$1173=$P20)*($E$3:$E$1173=T$3),$D$3:$D$1173,""))</f>
        <v>0</v>
      </c>
    </row>
    <row r="21" spans="1:21" x14ac:dyDescent="0.25">
      <c r="A21" s="61" t="s">
        <v>155</v>
      </c>
      <c r="B21" s="61">
        <v>1969</v>
      </c>
      <c r="C21" s="64">
        <v>36.800776424916201</v>
      </c>
      <c r="D21" s="64">
        <v>6.0816970936825996</v>
      </c>
      <c r="E21" s="59" t="s">
        <v>159</v>
      </c>
      <c r="H21" s="61" t="s">
        <v>178</v>
      </c>
      <c r="I21" s="66">
        <f t="array" ref="I21">AVERAGE(IF(($A$3:$A$1159=$H21)*($E$3:$E$1159=I$3),$D$3:$D$1159,""))</f>
        <v>3.5673850579357653</v>
      </c>
      <c r="J21" s="66">
        <f t="array" ref="J21">AVERAGE(IF(($A$3:$A$1159=$H21)*($E$3:$E$1159=J$3),$D$3:$D$1159,""))</f>
        <v>2.9322373307583205</v>
      </c>
      <c r="K21" s="66">
        <f t="array" ref="K21">AVERAGE(IF(($A$3:$A$1159=$H21)*($E$3:$E$1159=K$3),$D$3:$D$1159,""))</f>
        <v>2.6658238323873653</v>
      </c>
      <c r="L21" s="66"/>
      <c r="P21" s="61" t="s">
        <v>178</v>
      </c>
      <c r="Q21" s="67">
        <f t="array" ref="Q21">COUNT(IF(($A$3:$A$1173=$P21)*($E$3:$E$1173=Q$3),$D$3:$D$1173,""))</f>
        <v>18</v>
      </c>
      <c r="R21" s="67">
        <f t="array" ref="R21">COUNT(IF(($A$3:$A$1173=$P21)*($E$3:$E$1173=R$3),$D$3:$D$1173,""))</f>
        <v>35</v>
      </c>
      <c r="S21" s="67">
        <f t="array" ref="S21">COUNT(IF(($A$3:$A$1173=$P21)*($E$3:$E$1173=S$3),$D$3:$D$1173,""))</f>
        <v>11</v>
      </c>
      <c r="T21" s="67">
        <f t="array" ref="T21">COUNT(IF(($A$3:$A$1173=$P21)*($E$3:$E$1173=T$3),$D$3:$D$1173,""))</f>
        <v>0</v>
      </c>
    </row>
    <row r="22" spans="1:21" x14ac:dyDescent="0.25">
      <c r="A22" s="61" t="s">
        <v>155</v>
      </c>
      <c r="B22" s="61">
        <v>1970</v>
      </c>
      <c r="C22" s="64">
        <v>34.963590626241199</v>
      </c>
      <c r="D22" s="64">
        <v>6.35978702888527</v>
      </c>
      <c r="E22" s="59" t="s">
        <v>159</v>
      </c>
      <c r="H22" s="61" t="s">
        <v>179</v>
      </c>
      <c r="I22" s="66"/>
      <c r="J22" s="66">
        <f t="array" ref="J22">AVERAGE(IF(($A$3:$A$1159=$H22)*($E$3:$E$1159=J$3),$D$3:$D$1159,""))</f>
        <v>2.405718465277257</v>
      </c>
      <c r="K22" s="66">
        <f t="array" ref="K22">AVERAGE(IF(($A$3:$A$1159=$H22)*($E$3:$E$1159=K$3),$D$3:$D$1159,""))</f>
        <v>2.5221331923818799</v>
      </c>
      <c r="L22" s="66">
        <f t="array" ref="L22">AVERAGE(IF(($A$3:$A$1159=$H22)*($E$3:$E$1159=L$3),$D$3:$D$1159,""))</f>
        <v>2.3990957872956171</v>
      </c>
      <c r="P22" s="61" t="s">
        <v>179</v>
      </c>
      <c r="Q22" s="67">
        <f t="array" ref="Q22">COUNT(IF(($A$3:$A$1173=$P22)*($E$3:$E$1173=Q$3),$D$3:$D$1173,""))</f>
        <v>0</v>
      </c>
      <c r="R22" s="67">
        <f t="array" ref="R22">COUNT(IF(($A$3:$A$1173=$P22)*($E$3:$E$1173=R$3),$D$3:$D$1173,""))</f>
        <v>38</v>
      </c>
      <c r="S22" s="67">
        <f t="array" ref="S22">COUNT(IF(($A$3:$A$1173=$P22)*($E$3:$E$1173=S$3),$D$3:$D$1173,""))</f>
        <v>6</v>
      </c>
      <c r="T22" s="67">
        <f t="array" ref="T22">COUNT(IF(($A$3:$A$1173=$P22)*($E$3:$E$1173=T$3),$D$3:$D$1173,""))</f>
        <v>19</v>
      </c>
    </row>
    <row r="23" spans="1:21" x14ac:dyDescent="0.25">
      <c r="A23" s="61" t="s">
        <v>155</v>
      </c>
      <c r="B23" s="61">
        <v>1971</v>
      </c>
      <c r="C23" s="64">
        <v>32.289871721232998</v>
      </c>
      <c r="D23" s="64">
        <v>4.4488240704243998</v>
      </c>
      <c r="E23" s="59" t="s">
        <v>159</v>
      </c>
      <c r="H23" s="61" t="s">
        <v>180</v>
      </c>
      <c r="I23" s="66"/>
      <c r="J23" s="66">
        <f t="array" ref="J23">AVERAGE(IF(($A$3:$A$1159=$H23)*($E$3:$E$1159=J$3),$D$3:$D$1159,""))</f>
        <v>3.370207643969195</v>
      </c>
      <c r="K23" s="66">
        <f t="array" ref="K23">AVERAGE(IF(($A$3:$A$1159=$H23)*($E$3:$E$1159=K$3),$D$3:$D$1159,""))</f>
        <v>3.2640675604611711</v>
      </c>
      <c r="L23" s="66">
        <f t="array" ref="L23">AVERAGE(IF(($A$3:$A$1159=$H23)*($E$3:$E$1159=L$3),$D$3:$D$1159,""))</f>
        <v>-1.988892816820073</v>
      </c>
      <c r="P23" s="61" t="s">
        <v>180</v>
      </c>
      <c r="Q23" s="67">
        <f t="array" ref="Q23">COUNT(IF(($A$3:$A$1173=$P23)*($E$3:$E$1173=Q$3),$D$3:$D$1173,""))</f>
        <v>0</v>
      </c>
      <c r="R23" s="67">
        <f t="array" ref="R23">COUNT(IF(($A$3:$A$1173=$P23)*($E$3:$E$1173=R$3),$D$3:$D$1173,""))</f>
        <v>37</v>
      </c>
      <c r="S23" s="67">
        <f t="array" ref="S23">COUNT(IF(($A$3:$A$1173=$P23)*($E$3:$E$1173=S$3),$D$3:$D$1173,""))</f>
        <v>23</v>
      </c>
      <c r="T23" s="67">
        <f t="array" ref="T23">COUNT(IF(($A$3:$A$1173=$P23)*($E$3:$E$1173=T$3),$D$3:$D$1173,""))</f>
        <v>4</v>
      </c>
    </row>
    <row r="24" spans="1:21" x14ac:dyDescent="0.25">
      <c r="A24" s="61" t="s">
        <v>155</v>
      </c>
      <c r="B24" s="61">
        <v>1972</v>
      </c>
      <c r="C24" s="64">
        <v>30.721744270046599</v>
      </c>
      <c r="D24" s="64">
        <v>2.80580154976351</v>
      </c>
      <c r="E24" s="59" t="s">
        <v>159</v>
      </c>
      <c r="H24" s="59" t="s">
        <v>181</v>
      </c>
      <c r="I24" s="66">
        <f>AVERAGE(I4:I23)</f>
        <v>3.9769126810762336</v>
      </c>
      <c r="J24" s="66">
        <f>AVERAGE(J4:J23)</f>
        <v>3.0372573063875494</v>
      </c>
      <c r="K24" s="66">
        <f>AVERAGE(K4:K23)</f>
        <v>3.4238291266819925</v>
      </c>
      <c r="L24" s="68">
        <f>AVERAGE(L4:L23)</f>
        <v>0.29966137709158081</v>
      </c>
      <c r="M24" s="68">
        <f>L24-L29</f>
        <v>-1.6202729653327688</v>
      </c>
      <c r="N24" s="61" t="s">
        <v>182</v>
      </c>
      <c r="P24" s="59" t="s">
        <v>183</v>
      </c>
      <c r="Q24" s="67">
        <f>SUM(Q4:Q23)</f>
        <v>426</v>
      </c>
      <c r="R24" s="67">
        <f>SUM(R4:R23)</f>
        <v>436</v>
      </c>
      <c r="S24" s="67">
        <f>SUM(S4:S23)</f>
        <v>199</v>
      </c>
      <c r="T24" s="67">
        <f>SUM(T4:T23)</f>
        <v>96</v>
      </c>
      <c r="U24" s="67">
        <f>SUM(Q24:T24)</f>
        <v>1157</v>
      </c>
    </row>
    <row r="25" spans="1:21" x14ac:dyDescent="0.25">
      <c r="A25" s="61" t="s">
        <v>155</v>
      </c>
      <c r="B25" s="61">
        <v>1973</v>
      </c>
      <c r="C25" s="64">
        <v>27.361466800282098</v>
      </c>
      <c r="D25" s="64">
        <v>5.4211302331557096</v>
      </c>
      <c r="E25" s="59" t="s">
        <v>158</v>
      </c>
      <c r="H25" s="59" t="s">
        <v>147</v>
      </c>
      <c r="I25" s="66">
        <f>MEDIAN(I4:I23)</f>
        <v>3.8737590917555766</v>
      </c>
      <c r="J25" s="66">
        <f>MEDIAN(J4:J23)</f>
        <v>3.151222487363758</v>
      </c>
      <c r="K25" s="66">
        <f>MEDIAN(K4:K23)</f>
        <v>3.0497493257675097</v>
      </c>
      <c r="L25" s="66">
        <f>MEDIAN(L4:L23)</f>
        <v>1.7139978936478086</v>
      </c>
    </row>
    <row r="26" spans="1:21" x14ac:dyDescent="0.25">
      <c r="A26" s="61" t="s">
        <v>155</v>
      </c>
      <c r="B26" s="61">
        <v>1974</v>
      </c>
      <c r="C26" s="64">
        <v>22.3663943990665</v>
      </c>
      <c r="D26" s="64">
        <v>2.4791949580417199</v>
      </c>
      <c r="E26" s="59" t="s">
        <v>158</v>
      </c>
      <c r="H26" s="59"/>
      <c r="I26" s="66"/>
      <c r="J26" s="66"/>
      <c r="K26" s="66"/>
      <c r="L26" s="66"/>
    </row>
    <row r="27" spans="1:21" x14ac:dyDescent="0.25">
      <c r="A27" s="61" t="s">
        <v>155</v>
      </c>
      <c r="B27" s="61">
        <v>1975</v>
      </c>
      <c r="C27" s="64">
        <v>23.6368473561689</v>
      </c>
      <c r="D27" s="64">
        <v>2.70746265275843</v>
      </c>
      <c r="E27" s="59" t="s">
        <v>158</v>
      </c>
      <c r="H27" s="59"/>
      <c r="I27" s="66"/>
      <c r="J27" s="66"/>
      <c r="K27" s="66"/>
      <c r="L27" s="66"/>
    </row>
    <row r="28" spans="1:21" ht="13" x14ac:dyDescent="0.3">
      <c r="A28" s="61" t="s">
        <v>155</v>
      </c>
      <c r="B28" s="61">
        <v>1976</v>
      </c>
      <c r="C28" s="64">
        <v>22.982349085813699</v>
      </c>
      <c r="D28" s="64">
        <v>4.0310530581638204</v>
      </c>
      <c r="E28" s="59" t="s">
        <v>158</v>
      </c>
      <c r="H28" s="65" t="s">
        <v>184</v>
      </c>
      <c r="I28" s="59" t="s">
        <v>158</v>
      </c>
      <c r="J28" s="59" t="s">
        <v>159</v>
      </c>
      <c r="K28" s="59" t="s">
        <v>156</v>
      </c>
      <c r="L28" s="59" t="s">
        <v>160</v>
      </c>
    </row>
    <row r="29" spans="1:21" x14ac:dyDescent="0.25">
      <c r="A29" s="61" t="s">
        <v>155</v>
      </c>
      <c r="B29" s="61">
        <v>1977</v>
      </c>
      <c r="C29" s="64">
        <v>23.638910316268099</v>
      </c>
      <c r="D29" s="64">
        <v>1.0467569085955899</v>
      </c>
      <c r="E29" s="59" t="s">
        <v>158</v>
      </c>
      <c r="H29" s="61" t="s">
        <v>116</v>
      </c>
      <c r="I29" s="66">
        <f t="array" ref="I29">AVERAGE(IF($E$3:$E$1159=I28,$D$3:$D$1159,""))</f>
        <v>4.1735197787007268</v>
      </c>
      <c r="J29" s="66">
        <f t="array" ref="J29">AVERAGE(IF($E$3:$E$1159=J28,$D$3:$D$1159,""))</f>
        <v>3.1163178805266027</v>
      </c>
      <c r="K29" s="66">
        <f t="array" ref="K29">AVERAGE(IF($E$3:$E$1159=K28,$D$3:$D$1159,""))</f>
        <v>3.2218040510909294</v>
      </c>
      <c r="L29" s="68">
        <f t="array" ref="L29">AVERAGE(IF($E$3:$E$1159=L28,$D$3:$D$1159,""))</f>
        <v>1.9199343424243496</v>
      </c>
      <c r="M29" s="66"/>
    </row>
    <row r="30" spans="1:21" x14ac:dyDescent="0.25">
      <c r="A30" s="61" t="s">
        <v>155</v>
      </c>
      <c r="B30" s="61">
        <v>1978</v>
      </c>
      <c r="C30" s="64">
        <v>24.7328917511093</v>
      </c>
      <c r="D30" s="64">
        <v>2.9010820705680098</v>
      </c>
      <c r="E30" s="59" t="s">
        <v>158</v>
      </c>
      <c r="H30" s="61" t="s">
        <v>147</v>
      </c>
      <c r="I30" s="66">
        <f t="array" ref="I30">MEDIAN(IF($E$3:$E$1159=I28,$D$3:$D$1159,""))</f>
        <v>4.1453758189089598</v>
      </c>
      <c r="J30" s="66">
        <f t="array" ref="J30">MEDIAN(IF($E$3:$E$1159=J28,$D$3:$D$1159,""))</f>
        <v>3.1055152355672799</v>
      </c>
      <c r="K30" s="66">
        <f t="array" ref="K30">MEDIAN(IF($E$3:$E$1159=K28,$D$3:$D$1159,""))</f>
        <v>2.9</v>
      </c>
      <c r="L30" s="66">
        <f t="array" ref="L30">MEDIAN(IF($E$3:$E$1159=L28,$D$3:$D$1159,""))</f>
        <v>2.1611837912432601</v>
      </c>
    </row>
    <row r="31" spans="1:21" x14ac:dyDescent="0.25">
      <c r="A31" s="61" t="s">
        <v>155</v>
      </c>
      <c r="B31" s="61">
        <v>1979</v>
      </c>
      <c r="C31" s="64">
        <v>20.872195114121499</v>
      </c>
      <c r="D31" s="64">
        <v>5.2659747991681298</v>
      </c>
      <c r="E31" s="59" t="s">
        <v>158</v>
      </c>
      <c r="H31" s="61" t="s">
        <v>185</v>
      </c>
      <c r="I31" s="66">
        <f t="array" ref="I31">STDEV(IF($E$3:$E$1159=I28,$D$3:$D$1159,""))</f>
        <v>2.858750360445915</v>
      </c>
      <c r="J31" s="66">
        <f t="array" ref="J31">STDEV(IF($E$3:$E$1159=J28,$D$3:$D$1159,""))</f>
        <v>2.8843214615240962</v>
      </c>
      <c r="K31" s="66">
        <f t="array" ref="K31">STDEV(IF($E$3:$E$1159=K28,$D$3:$D$1159,""))</f>
        <v>2.7548418590512549</v>
      </c>
      <c r="L31" s="66">
        <f t="array" ref="L31">STDEV(IF($E$3:$E$1159=L28,$D$3:$D$1159,""))</f>
        <v>2.9936116583336307</v>
      </c>
    </row>
    <row r="32" spans="1:21" x14ac:dyDescent="0.25">
      <c r="A32" s="61" t="s">
        <v>155</v>
      </c>
      <c r="B32" s="61">
        <v>1980</v>
      </c>
      <c r="C32" s="64">
        <v>19.124087591240901</v>
      </c>
      <c r="D32" s="64">
        <v>1.99840205311963</v>
      </c>
      <c r="E32" s="59" t="s">
        <v>158</v>
      </c>
    </row>
    <row r="33" spans="1:5" x14ac:dyDescent="0.25">
      <c r="A33" s="61" t="s">
        <v>155</v>
      </c>
      <c r="B33" s="61">
        <v>1981</v>
      </c>
      <c r="C33" s="64">
        <v>16.176844981216401</v>
      </c>
      <c r="D33" s="64">
        <v>4.1557516378179198</v>
      </c>
      <c r="E33" s="59" t="s">
        <v>158</v>
      </c>
    </row>
    <row r="34" spans="1:5" x14ac:dyDescent="0.25">
      <c r="A34" s="61" t="s">
        <v>155</v>
      </c>
      <c r="B34" s="61">
        <v>1982</v>
      </c>
      <c r="C34" s="64">
        <v>15.043615122865001</v>
      </c>
      <c r="D34" s="64">
        <v>-9.7400067530673002E-3</v>
      </c>
      <c r="E34" s="59" t="s">
        <v>158</v>
      </c>
    </row>
    <row r="35" spans="1:5" x14ac:dyDescent="0.25">
      <c r="A35" s="61" t="s">
        <v>155</v>
      </c>
      <c r="B35" s="61">
        <v>1983</v>
      </c>
      <c r="C35" s="64">
        <v>17.579695577254501</v>
      </c>
      <c r="D35" s="64">
        <v>-0.52601159823104604</v>
      </c>
      <c r="E35" s="59" t="s">
        <v>158</v>
      </c>
    </row>
    <row r="36" spans="1:5" x14ac:dyDescent="0.25">
      <c r="A36" s="61" t="s">
        <v>155</v>
      </c>
      <c r="B36" s="61">
        <v>1984</v>
      </c>
      <c r="C36" s="64">
        <v>20.062923963846</v>
      </c>
      <c r="D36" s="64">
        <v>6.4144998117670697</v>
      </c>
      <c r="E36" s="59" t="s">
        <v>158</v>
      </c>
    </row>
    <row r="37" spans="1:5" x14ac:dyDescent="0.25">
      <c r="A37" s="61" t="s">
        <v>155</v>
      </c>
      <c r="B37" s="61">
        <v>1985</v>
      </c>
      <c r="C37" s="64">
        <v>21.424017003188101</v>
      </c>
      <c r="D37" s="64">
        <v>5.7161962643196302</v>
      </c>
      <c r="E37" s="59" t="s">
        <v>158</v>
      </c>
    </row>
    <row r="38" spans="1:5" x14ac:dyDescent="0.25">
      <c r="A38" s="61" t="s">
        <v>155</v>
      </c>
      <c r="B38" s="61">
        <v>1986</v>
      </c>
      <c r="C38" s="64">
        <v>21.4917077070434</v>
      </c>
      <c r="D38" s="64">
        <v>2.1105795921209798</v>
      </c>
      <c r="E38" s="59" t="s">
        <v>158</v>
      </c>
    </row>
    <row r="39" spans="1:5" x14ac:dyDescent="0.25">
      <c r="A39" s="61" t="s">
        <v>155</v>
      </c>
      <c r="B39" s="61">
        <v>1987</v>
      </c>
      <c r="C39" s="64">
        <v>19.993912351237299</v>
      </c>
      <c r="D39" s="64">
        <v>4.3962809588579104</v>
      </c>
      <c r="E39" s="59" t="s">
        <v>158</v>
      </c>
    </row>
    <row r="40" spans="1:5" x14ac:dyDescent="0.25">
      <c r="A40" s="61" t="s">
        <v>155</v>
      </c>
      <c r="B40" s="61">
        <v>1988</v>
      </c>
      <c r="C40" s="64">
        <v>16.293593411407699</v>
      </c>
      <c r="D40" s="64">
        <v>4.0304127312483597</v>
      </c>
      <c r="E40" s="59" t="s">
        <v>158</v>
      </c>
    </row>
    <row r="41" spans="1:5" x14ac:dyDescent="0.25">
      <c r="A41" s="61" t="s">
        <v>155</v>
      </c>
      <c r="B41" s="61">
        <v>1989</v>
      </c>
      <c r="C41" s="64">
        <v>12.498329765800399</v>
      </c>
      <c r="D41" s="64">
        <v>4.5749490664508397</v>
      </c>
      <c r="E41" s="59" t="s">
        <v>158</v>
      </c>
    </row>
    <row r="42" spans="1:5" x14ac:dyDescent="0.25">
      <c r="A42" s="61" t="s">
        <v>155</v>
      </c>
      <c r="B42" s="61">
        <v>1990</v>
      </c>
      <c r="C42" s="64">
        <v>10.3312013888377</v>
      </c>
      <c r="D42" s="64">
        <v>1.6044395220208101</v>
      </c>
      <c r="E42" s="59" t="s">
        <v>158</v>
      </c>
    </row>
    <row r="43" spans="1:5" x14ac:dyDescent="0.25">
      <c r="A43" s="61" t="s">
        <v>155</v>
      </c>
      <c r="B43" s="61">
        <v>1991</v>
      </c>
      <c r="C43" s="64">
        <v>9.3083213927147597</v>
      </c>
      <c r="D43" s="64">
        <v>-1.2501169676085899</v>
      </c>
      <c r="E43" s="59" t="s">
        <v>158</v>
      </c>
    </row>
    <row r="44" spans="1:5" x14ac:dyDescent="0.25">
      <c r="A44" s="61" t="s">
        <v>155</v>
      </c>
      <c r="B44" s="61">
        <v>1992</v>
      </c>
      <c r="C44" s="64">
        <v>10.8657169152173</v>
      </c>
      <c r="D44" s="64">
        <v>2.11228737481879</v>
      </c>
      <c r="E44" s="59" t="s">
        <v>158</v>
      </c>
    </row>
    <row r="45" spans="1:5" x14ac:dyDescent="0.25">
      <c r="A45" s="61" t="s">
        <v>155</v>
      </c>
      <c r="B45" s="61">
        <v>1993</v>
      </c>
      <c r="C45" s="64">
        <v>13.8149624320372</v>
      </c>
      <c r="D45" s="64">
        <v>3.89721181178508</v>
      </c>
      <c r="E45" s="59" t="s">
        <v>158</v>
      </c>
    </row>
    <row r="46" spans="1:5" x14ac:dyDescent="0.25">
      <c r="A46" s="61" t="s">
        <v>155</v>
      </c>
      <c r="B46" s="61">
        <v>1994</v>
      </c>
      <c r="C46" s="64">
        <v>15.9184748817064</v>
      </c>
      <c r="D46" s="64">
        <v>5.0135386698256799</v>
      </c>
      <c r="E46" s="59" t="s">
        <v>158</v>
      </c>
    </row>
    <row r="47" spans="1:5" x14ac:dyDescent="0.25">
      <c r="A47" s="61" t="s">
        <v>155</v>
      </c>
      <c r="B47" s="61">
        <v>1995</v>
      </c>
      <c r="C47" s="64">
        <v>18.3834558684011</v>
      </c>
      <c r="D47" s="64">
        <v>3.4888318881711502</v>
      </c>
      <c r="E47" s="59" t="s">
        <v>158</v>
      </c>
    </row>
    <row r="48" spans="1:5" x14ac:dyDescent="0.25">
      <c r="A48" s="61" t="s">
        <v>155</v>
      </c>
      <c r="B48" s="61">
        <v>1996</v>
      </c>
      <c r="C48" s="64">
        <v>17.775323368892</v>
      </c>
      <c r="D48" s="64">
        <v>4.28160704089695</v>
      </c>
      <c r="E48" s="59" t="s">
        <v>158</v>
      </c>
    </row>
    <row r="49" spans="1:5" x14ac:dyDescent="0.25">
      <c r="A49" s="61" t="s">
        <v>155</v>
      </c>
      <c r="B49" s="61">
        <v>1997</v>
      </c>
      <c r="C49" s="64">
        <v>17.412324573503401</v>
      </c>
      <c r="D49" s="64">
        <v>3.99699685997652</v>
      </c>
      <c r="E49" s="59" t="s">
        <v>158</v>
      </c>
    </row>
    <row r="50" spans="1:5" x14ac:dyDescent="0.25">
      <c r="A50" s="61" t="s">
        <v>155</v>
      </c>
      <c r="B50" s="61">
        <v>1998</v>
      </c>
      <c r="C50" s="64">
        <v>14.586137695048899</v>
      </c>
      <c r="D50" s="64">
        <v>5.0513793108032798</v>
      </c>
      <c r="E50" s="59" t="s">
        <v>158</v>
      </c>
    </row>
    <row r="51" spans="1:5" x14ac:dyDescent="0.25">
      <c r="A51" s="61" t="s">
        <v>155</v>
      </c>
      <c r="B51" s="61">
        <v>1999</v>
      </c>
      <c r="C51" s="64">
        <v>13.2160492638041</v>
      </c>
      <c r="D51" s="64">
        <v>4.4017237342513198</v>
      </c>
      <c r="E51" s="59" t="s">
        <v>158</v>
      </c>
    </row>
    <row r="52" spans="1:5" x14ac:dyDescent="0.25">
      <c r="A52" s="61" t="s">
        <v>155</v>
      </c>
      <c r="B52" s="61">
        <v>2000</v>
      </c>
      <c r="C52" s="64">
        <v>11.1060178708496</v>
      </c>
      <c r="D52" s="64">
        <v>3.4261296481498298</v>
      </c>
      <c r="E52" s="59" t="s">
        <v>158</v>
      </c>
    </row>
    <row r="53" spans="1:5" x14ac:dyDescent="0.25">
      <c r="A53" s="61" t="s">
        <v>155</v>
      </c>
      <c r="B53" s="61">
        <v>2001</v>
      </c>
      <c r="C53" s="64">
        <v>9.23978259677442</v>
      </c>
      <c r="D53" s="64">
        <v>2.0893402157554899</v>
      </c>
      <c r="E53" s="59" t="s">
        <v>158</v>
      </c>
    </row>
    <row r="54" spans="1:5" x14ac:dyDescent="0.25">
      <c r="A54" s="61" t="s">
        <v>155</v>
      </c>
      <c r="B54" s="61">
        <v>2002</v>
      </c>
      <c r="C54" s="64">
        <v>8.2277779250169303</v>
      </c>
      <c r="D54" s="64">
        <v>4.2473484926763598</v>
      </c>
      <c r="E54" s="59" t="s">
        <v>158</v>
      </c>
    </row>
    <row r="55" spans="1:5" x14ac:dyDescent="0.25">
      <c r="A55" s="61" t="s">
        <v>155</v>
      </c>
      <c r="B55" s="61">
        <v>2003</v>
      </c>
      <c r="C55" s="64">
        <v>7.0313350387232996</v>
      </c>
      <c r="D55" s="64">
        <v>2.9659397649142201</v>
      </c>
      <c r="E55" s="59" t="s">
        <v>158</v>
      </c>
    </row>
    <row r="56" spans="1:5" x14ac:dyDescent="0.25">
      <c r="A56" s="61" t="s">
        <v>155</v>
      </c>
      <c r="B56" s="61">
        <v>2004</v>
      </c>
      <c r="C56" s="64">
        <v>6.2713509513717796</v>
      </c>
      <c r="D56" s="64">
        <v>3.8422786488972598</v>
      </c>
      <c r="E56" s="59" t="s">
        <v>158</v>
      </c>
    </row>
    <row r="57" spans="1:5" x14ac:dyDescent="0.25">
      <c r="A57" s="61" t="s">
        <v>155</v>
      </c>
      <c r="B57" s="61">
        <v>2005</v>
      </c>
      <c r="C57" s="64">
        <v>5.89201334254395</v>
      </c>
      <c r="D57" s="64">
        <v>2.75919465465262</v>
      </c>
      <c r="E57" s="59" t="s">
        <v>158</v>
      </c>
    </row>
    <row r="58" spans="1:5" x14ac:dyDescent="0.25">
      <c r="A58" s="61" t="s">
        <v>155</v>
      </c>
      <c r="B58" s="61">
        <v>2006</v>
      </c>
      <c r="C58" s="64">
        <v>5.3925663627476403</v>
      </c>
      <c r="D58" s="64">
        <v>2.8403720339076601</v>
      </c>
      <c r="E58" s="59" t="s">
        <v>158</v>
      </c>
    </row>
    <row r="59" spans="1:5" x14ac:dyDescent="0.25">
      <c r="A59" s="61" t="s">
        <v>155</v>
      </c>
      <c r="B59" s="61">
        <v>2007</v>
      </c>
      <c r="C59" s="64">
        <v>4.9054301034460499</v>
      </c>
      <c r="D59" s="64">
        <v>4.0487802976253198</v>
      </c>
      <c r="E59" s="59" t="s">
        <v>158</v>
      </c>
    </row>
    <row r="60" spans="1:5" x14ac:dyDescent="0.25">
      <c r="A60" s="61" t="s">
        <v>155</v>
      </c>
      <c r="B60" s="61">
        <v>2008</v>
      </c>
      <c r="C60" s="64">
        <v>4.6778870663392302</v>
      </c>
      <c r="D60" s="64">
        <v>2.3542239641489502</v>
      </c>
      <c r="E60" s="59" t="s">
        <v>158</v>
      </c>
    </row>
    <row r="61" spans="1:5" x14ac:dyDescent="0.25">
      <c r="A61" s="61" t="s">
        <v>155</v>
      </c>
      <c r="B61" s="61">
        <v>2009</v>
      </c>
      <c r="C61" s="64">
        <v>8.41826984160015</v>
      </c>
      <c r="D61" s="64">
        <v>0.73224973916863301</v>
      </c>
      <c r="E61" s="59" t="s">
        <v>158</v>
      </c>
    </row>
    <row r="62" spans="1:5" x14ac:dyDescent="0.25">
      <c r="A62" s="61" t="s">
        <v>162</v>
      </c>
      <c r="B62" s="61">
        <v>1948</v>
      </c>
      <c r="C62" s="64">
        <v>35.202283290183701</v>
      </c>
      <c r="D62" s="64">
        <v>27.329192546583901</v>
      </c>
      <c r="E62" s="59" t="s">
        <v>159</v>
      </c>
    </row>
    <row r="63" spans="1:5" x14ac:dyDescent="0.25">
      <c r="A63" s="61" t="s">
        <v>162</v>
      </c>
      <c r="B63" s="61">
        <v>1949</v>
      </c>
      <c r="C63" s="64">
        <v>26.448141371340501</v>
      </c>
      <c r="D63" s="64">
        <v>18.902439024390201</v>
      </c>
      <c r="E63" s="59" t="s">
        <v>158</v>
      </c>
    </row>
    <row r="64" spans="1:5" x14ac:dyDescent="0.25">
      <c r="A64" s="61" t="s">
        <v>162</v>
      </c>
      <c r="B64" s="61">
        <v>1950</v>
      </c>
      <c r="C64" s="64">
        <v>22.144398212359398</v>
      </c>
      <c r="D64" s="64">
        <v>12.4089618396898</v>
      </c>
      <c r="E64" s="59" t="s">
        <v>158</v>
      </c>
    </row>
    <row r="65" spans="1:5" x14ac:dyDescent="0.25">
      <c r="A65" s="61" t="s">
        <v>162</v>
      </c>
      <c r="B65" s="61">
        <v>1951</v>
      </c>
      <c r="C65" s="64">
        <v>15.2643312101911</v>
      </c>
      <c r="D65" s="64">
        <v>6.8399346354369301</v>
      </c>
      <c r="E65" s="59" t="s">
        <v>158</v>
      </c>
    </row>
    <row r="66" spans="1:5" x14ac:dyDescent="0.25">
      <c r="A66" s="61" t="s">
        <v>162</v>
      </c>
      <c r="B66" s="61">
        <v>1952</v>
      </c>
      <c r="C66" s="64">
        <v>13.580401224923399</v>
      </c>
      <c r="D66" s="64">
        <v>8.7399854333569699E-2</v>
      </c>
      <c r="E66" s="59" t="s">
        <v>158</v>
      </c>
    </row>
    <row r="67" spans="1:5" x14ac:dyDescent="0.25">
      <c r="A67" s="61" t="s">
        <v>162</v>
      </c>
      <c r="B67" s="61">
        <v>1953</v>
      </c>
      <c r="C67" s="64">
        <v>16.565805896537899</v>
      </c>
      <c r="D67" s="64">
        <v>4.3516227623344497</v>
      </c>
      <c r="E67" s="59" t="s">
        <v>158</v>
      </c>
    </row>
    <row r="68" spans="1:5" x14ac:dyDescent="0.25">
      <c r="A68" s="61" t="s">
        <v>162</v>
      </c>
      <c r="B68" s="61">
        <v>1954</v>
      </c>
      <c r="C68" s="64">
        <v>14.268099837593001</v>
      </c>
      <c r="D68" s="64">
        <v>10.2196652719665</v>
      </c>
      <c r="E68" s="59" t="s">
        <v>158</v>
      </c>
    </row>
    <row r="69" spans="1:5" x14ac:dyDescent="0.25">
      <c r="A69" s="61" t="s">
        <v>162</v>
      </c>
      <c r="B69" s="61">
        <v>1955</v>
      </c>
      <c r="C69" s="64">
        <v>11.8947319303812</v>
      </c>
      <c r="D69" s="64">
        <v>11.053114422194801</v>
      </c>
      <c r="E69" s="59" t="s">
        <v>158</v>
      </c>
    </row>
    <row r="70" spans="1:5" x14ac:dyDescent="0.25">
      <c r="A70" s="61" t="s">
        <v>162</v>
      </c>
      <c r="B70" s="61">
        <v>1956</v>
      </c>
      <c r="C70" s="64">
        <v>10.923819112341601</v>
      </c>
      <c r="D70" s="64">
        <v>6.8793619142572204</v>
      </c>
      <c r="E70" s="59" t="s">
        <v>158</v>
      </c>
    </row>
    <row r="71" spans="1:5" x14ac:dyDescent="0.25">
      <c r="A71" s="61" t="s">
        <v>162</v>
      </c>
      <c r="B71" s="61">
        <v>1957</v>
      </c>
      <c r="C71" s="64">
        <v>8.3042690736572506</v>
      </c>
      <c r="D71" s="64">
        <v>6.1247334754797498</v>
      </c>
      <c r="E71" s="59" t="s">
        <v>158</v>
      </c>
    </row>
    <row r="72" spans="1:5" x14ac:dyDescent="0.25">
      <c r="A72" s="61" t="s">
        <v>162</v>
      </c>
      <c r="B72" s="61">
        <v>1958</v>
      </c>
      <c r="C72" s="64">
        <v>11.5927580736709</v>
      </c>
      <c r="D72" s="64">
        <v>3.6516148475563801</v>
      </c>
      <c r="E72" s="59" t="s">
        <v>158</v>
      </c>
    </row>
    <row r="73" spans="1:5" x14ac:dyDescent="0.25">
      <c r="A73" s="61" t="s">
        <v>162</v>
      </c>
      <c r="B73" s="61">
        <v>1959</v>
      </c>
      <c r="C73" s="64">
        <v>13.5199043225696</v>
      </c>
      <c r="D73" s="64">
        <v>2.8421205660011699</v>
      </c>
      <c r="E73" s="59" t="s">
        <v>158</v>
      </c>
    </row>
    <row r="74" spans="1:5" x14ac:dyDescent="0.25">
      <c r="A74" s="61" t="s">
        <v>162</v>
      </c>
      <c r="B74" s="61">
        <v>1960</v>
      </c>
      <c r="C74" s="64">
        <v>13.568510226458301</v>
      </c>
      <c r="D74" s="64">
        <v>8.2318294263164198</v>
      </c>
      <c r="E74" s="59" t="s">
        <v>158</v>
      </c>
    </row>
    <row r="75" spans="1:5" x14ac:dyDescent="0.25">
      <c r="A75" s="61" t="s">
        <v>162</v>
      </c>
      <c r="B75" s="61">
        <v>1961</v>
      </c>
      <c r="C75" s="64">
        <v>12.392053595631801</v>
      </c>
      <c r="D75" s="64">
        <v>5.3092143929994098</v>
      </c>
      <c r="E75" s="59" t="s">
        <v>158</v>
      </c>
    </row>
    <row r="76" spans="1:5" x14ac:dyDescent="0.25">
      <c r="A76" s="61" t="s">
        <v>162</v>
      </c>
      <c r="B76" s="61">
        <v>1962</v>
      </c>
      <c r="C76" s="64">
        <v>11.9662696452802</v>
      </c>
      <c r="D76" s="64">
        <v>2.42258878002397</v>
      </c>
      <c r="E76" s="59" t="s">
        <v>158</v>
      </c>
    </row>
    <row r="77" spans="1:5" x14ac:dyDescent="0.25">
      <c r="A77" s="61" t="s">
        <v>162</v>
      </c>
      <c r="B77" s="61">
        <v>1963</v>
      </c>
      <c r="C77" s="64">
        <v>12.088617058735601</v>
      </c>
      <c r="D77" s="64">
        <v>4.0706357214934403</v>
      </c>
      <c r="E77" s="59" t="s">
        <v>158</v>
      </c>
    </row>
    <row r="78" spans="1:5" x14ac:dyDescent="0.25">
      <c r="A78" s="61" t="s">
        <v>162</v>
      </c>
      <c r="B78" s="61">
        <v>1964</v>
      </c>
      <c r="C78" s="64">
        <v>12.043660418963601</v>
      </c>
      <c r="D78" s="64">
        <v>6.0019004402040101</v>
      </c>
      <c r="E78" s="59" t="s">
        <v>158</v>
      </c>
    </row>
    <row r="79" spans="1:5" x14ac:dyDescent="0.25">
      <c r="A79" s="61" t="s">
        <v>162</v>
      </c>
      <c r="B79" s="61">
        <v>1965</v>
      </c>
      <c r="C79" s="64">
        <v>11.4713995943205</v>
      </c>
      <c r="D79" s="64">
        <v>2.8758552559364801</v>
      </c>
      <c r="E79" s="59" t="s">
        <v>158</v>
      </c>
    </row>
    <row r="80" spans="1:5" x14ac:dyDescent="0.25">
      <c r="A80" s="61" t="s">
        <v>162</v>
      </c>
      <c r="B80" s="61">
        <v>1966</v>
      </c>
      <c r="C80" s="64">
        <v>10.978289204185799</v>
      </c>
      <c r="D80" s="64">
        <v>5.6282675961162303</v>
      </c>
      <c r="E80" s="59" t="s">
        <v>158</v>
      </c>
    </row>
    <row r="81" spans="1:5" x14ac:dyDescent="0.25">
      <c r="A81" s="61" t="s">
        <v>162</v>
      </c>
      <c r="B81" s="61">
        <v>1967</v>
      </c>
      <c r="C81" s="64">
        <v>12.1070690802143</v>
      </c>
      <c r="D81" s="64">
        <v>3.0404552265189699</v>
      </c>
      <c r="E81" s="59" t="s">
        <v>158</v>
      </c>
    </row>
    <row r="82" spans="1:5" x14ac:dyDescent="0.25">
      <c r="A82" s="61" t="s">
        <v>162</v>
      </c>
      <c r="B82" s="61">
        <v>1968</v>
      </c>
      <c r="C82" s="64">
        <v>12.984291487420199</v>
      </c>
      <c r="D82" s="64">
        <v>4.4440813659014902</v>
      </c>
      <c r="E82" s="59" t="s">
        <v>158</v>
      </c>
    </row>
    <row r="83" spans="1:5" x14ac:dyDescent="0.25">
      <c r="A83" s="61" t="s">
        <v>162</v>
      </c>
      <c r="B83" s="61">
        <v>1969</v>
      </c>
      <c r="C83" s="64">
        <v>13.016119402985099</v>
      </c>
      <c r="D83" s="64">
        <v>6.2886194759483898</v>
      </c>
      <c r="E83" s="59" t="s">
        <v>158</v>
      </c>
    </row>
    <row r="84" spans="1:5" x14ac:dyDescent="0.25">
      <c r="A84" s="61" t="s">
        <v>162</v>
      </c>
      <c r="B84" s="61">
        <v>1970</v>
      </c>
      <c r="C84" s="64">
        <v>10.583438065339999</v>
      </c>
      <c r="D84" s="64">
        <v>7.1234086393406404</v>
      </c>
      <c r="E84" s="59" t="s">
        <v>158</v>
      </c>
    </row>
    <row r="85" spans="1:5" x14ac:dyDescent="0.25">
      <c r="A85" s="61" t="s">
        <v>162</v>
      </c>
      <c r="B85" s="61">
        <v>1971</v>
      </c>
      <c r="C85" s="64">
        <v>9.2769384204756697</v>
      </c>
      <c r="D85" s="64">
        <v>5.1123170983032198</v>
      </c>
      <c r="E85" s="59" t="s">
        <v>158</v>
      </c>
    </row>
    <row r="86" spans="1:5" x14ac:dyDescent="0.25">
      <c r="A86" s="61" t="s">
        <v>162</v>
      </c>
      <c r="B86" s="61">
        <v>1972</v>
      </c>
      <c r="C86" s="64">
        <v>8.9382410593264492</v>
      </c>
      <c r="D86" s="64">
        <v>6.2086633728073704</v>
      </c>
      <c r="E86" s="59" t="s">
        <v>158</v>
      </c>
    </row>
    <row r="87" spans="1:5" x14ac:dyDescent="0.25">
      <c r="A87" s="61" t="s">
        <v>162</v>
      </c>
      <c r="B87" s="61">
        <v>1973</v>
      </c>
      <c r="C87" s="64">
        <v>9.1861933940564899</v>
      </c>
      <c r="D87" s="64">
        <v>4.8870237274785797</v>
      </c>
      <c r="E87" s="59" t="s">
        <v>158</v>
      </c>
    </row>
    <row r="88" spans="1:5" x14ac:dyDescent="0.25">
      <c r="A88" s="61" t="s">
        <v>162</v>
      </c>
      <c r="B88" s="61">
        <v>1974</v>
      </c>
      <c r="C88" s="64">
        <v>8.8758906833503097</v>
      </c>
      <c r="D88" s="64">
        <v>3.9435859528083901</v>
      </c>
      <c r="E88" s="59" t="s">
        <v>158</v>
      </c>
    </row>
    <row r="89" spans="1:5" x14ac:dyDescent="0.25">
      <c r="A89" s="61" t="s">
        <v>162</v>
      </c>
      <c r="B89" s="61">
        <v>1975</v>
      </c>
      <c r="C89" s="64">
        <v>12.7993524050479</v>
      </c>
      <c r="D89" s="64">
        <v>-0.36235156003070501</v>
      </c>
      <c r="E89" s="59" t="s">
        <v>158</v>
      </c>
    </row>
    <row r="90" spans="1:5" x14ac:dyDescent="0.25">
      <c r="A90" s="61" t="s">
        <v>162</v>
      </c>
      <c r="B90" s="61">
        <v>1976</v>
      </c>
      <c r="C90" s="64">
        <v>15.181059141508999</v>
      </c>
      <c r="D90" s="64">
        <v>4.5770219900982196</v>
      </c>
      <c r="E90" s="59" t="s">
        <v>158</v>
      </c>
    </row>
    <row r="91" spans="1:5" x14ac:dyDescent="0.25">
      <c r="A91" s="61" t="s">
        <v>162</v>
      </c>
      <c r="B91" s="61">
        <v>1977</v>
      </c>
      <c r="C91" s="64">
        <v>16.425514206175698</v>
      </c>
      <c r="D91" s="64">
        <v>4.6767850758880698</v>
      </c>
      <c r="E91" s="59" t="s">
        <v>158</v>
      </c>
    </row>
    <row r="92" spans="1:5" x14ac:dyDescent="0.25">
      <c r="A92" s="61" t="s">
        <v>162</v>
      </c>
      <c r="B92" s="61">
        <v>1978</v>
      </c>
      <c r="C92" s="64">
        <v>18.8560477240556</v>
      </c>
      <c r="D92" s="64">
        <v>-0.36326378539492898</v>
      </c>
      <c r="E92" s="59" t="s">
        <v>158</v>
      </c>
    </row>
    <row r="93" spans="1:5" x14ac:dyDescent="0.25">
      <c r="A93" s="61" t="s">
        <v>162</v>
      </c>
      <c r="B93" s="61">
        <v>1979</v>
      </c>
      <c r="C93" s="64">
        <v>23.588178013241802</v>
      </c>
      <c r="D93" s="64">
        <v>5.4553197677438003</v>
      </c>
      <c r="E93" s="59" t="s">
        <v>158</v>
      </c>
    </row>
    <row r="94" spans="1:5" x14ac:dyDescent="0.25">
      <c r="A94" s="61" t="s">
        <v>162</v>
      </c>
      <c r="B94" s="61">
        <v>1980</v>
      </c>
      <c r="C94" s="64">
        <v>25.201147136142801</v>
      </c>
      <c r="D94" s="64">
        <v>2.3137158335385402</v>
      </c>
      <c r="E94" s="59" t="s">
        <v>158</v>
      </c>
    </row>
    <row r="95" spans="1:5" x14ac:dyDescent="0.25">
      <c r="A95" s="61" t="s">
        <v>162</v>
      </c>
      <c r="B95" s="61">
        <v>1981</v>
      </c>
      <c r="C95" s="64">
        <v>26.762284859067101</v>
      </c>
      <c r="D95" s="64">
        <v>-9.9158595991300003E-2</v>
      </c>
      <c r="E95" s="59" t="s">
        <v>158</v>
      </c>
    </row>
    <row r="96" spans="1:5" x14ac:dyDescent="0.25">
      <c r="A96" s="61" t="s">
        <v>162</v>
      </c>
      <c r="B96" s="61">
        <v>1982</v>
      </c>
      <c r="C96" s="64">
        <v>28.842310731049899</v>
      </c>
      <c r="D96" s="64">
        <v>1.90708386736178</v>
      </c>
      <c r="E96" s="59" t="s">
        <v>158</v>
      </c>
    </row>
    <row r="97" spans="1:5" x14ac:dyDescent="0.25">
      <c r="A97" s="61" t="s">
        <v>162</v>
      </c>
      <c r="B97" s="61">
        <v>1983</v>
      </c>
      <c r="C97" s="64">
        <v>32.977528702421601</v>
      </c>
      <c r="D97" s="64">
        <v>2.8047281323876998</v>
      </c>
      <c r="E97" s="59" t="s">
        <v>159</v>
      </c>
    </row>
    <row r="98" spans="1:5" x14ac:dyDescent="0.25">
      <c r="A98" s="61" t="s">
        <v>162</v>
      </c>
      <c r="B98" s="61">
        <v>1984</v>
      </c>
      <c r="C98" s="64">
        <v>35.458274913018599</v>
      </c>
      <c r="D98" s="64">
        <v>0.33205783877259298</v>
      </c>
      <c r="E98" s="59" t="s">
        <v>159</v>
      </c>
    </row>
    <row r="99" spans="1:5" x14ac:dyDescent="0.25">
      <c r="A99" s="61" t="s">
        <v>162</v>
      </c>
      <c r="B99" s="61">
        <v>1985</v>
      </c>
      <c r="C99" s="64">
        <v>37.640914465904601</v>
      </c>
      <c r="D99" s="64">
        <v>2.2442861464836898</v>
      </c>
      <c r="E99" s="59" t="s">
        <v>159</v>
      </c>
    </row>
    <row r="100" spans="1:5" x14ac:dyDescent="0.25">
      <c r="A100" s="61" t="s">
        <v>162</v>
      </c>
      <c r="B100" s="61">
        <v>1986</v>
      </c>
      <c r="C100" s="64">
        <v>42.027844185065398</v>
      </c>
      <c r="D100" s="64">
        <v>2.3402824478816502</v>
      </c>
      <c r="E100" s="59" t="s">
        <v>159</v>
      </c>
    </row>
    <row r="101" spans="1:5" x14ac:dyDescent="0.25">
      <c r="A101" s="61" t="s">
        <v>162</v>
      </c>
      <c r="B101" s="61">
        <v>1987</v>
      </c>
      <c r="C101" s="64">
        <v>45.771894498270797</v>
      </c>
      <c r="D101" s="64">
        <v>1.6804661146887501</v>
      </c>
      <c r="E101" s="59" t="s">
        <v>159</v>
      </c>
    </row>
    <row r="102" spans="1:5" x14ac:dyDescent="0.25">
      <c r="A102" s="61" t="s">
        <v>162</v>
      </c>
      <c r="B102" s="61">
        <v>1988</v>
      </c>
      <c r="C102" s="64">
        <v>45.759896105648401</v>
      </c>
      <c r="D102" s="64">
        <v>3.1683799643266402</v>
      </c>
      <c r="E102" s="59" t="s">
        <v>159</v>
      </c>
    </row>
    <row r="103" spans="1:5" x14ac:dyDescent="0.25">
      <c r="A103" s="61" t="s">
        <v>162</v>
      </c>
      <c r="B103" s="61">
        <v>1989</v>
      </c>
      <c r="C103" s="64">
        <v>45.847393484499698</v>
      </c>
      <c r="D103" s="64">
        <v>4.2270107742420304</v>
      </c>
      <c r="E103" s="59" t="s">
        <v>159</v>
      </c>
    </row>
    <row r="104" spans="1:5" x14ac:dyDescent="0.25">
      <c r="A104" s="61" t="s">
        <v>162</v>
      </c>
      <c r="B104" s="61">
        <v>1990</v>
      </c>
      <c r="C104" s="64">
        <v>45.969180621526597</v>
      </c>
      <c r="D104" s="64">
        <v>4.5556169916099796</v>
      </c>
      <c r="E104" s="59" t="s">
        <v>159</v>
      </c>
    </row>
    <row r="105" spans="1:5" x14ac:dyDescent="0.25">
      <c r="A105" s="61" t="s">
        <v>162</v>
      </c>
      <c r="B105" s="61">
        <v>1991</v>
      </c>
      <c r="C105" s="64">
        <v>46.650876556478202</v>
      </c>
      <c r="D105" s="64">
        <v>3.5967549587663701</v>
      </c>
      <c r="E105" s="59" t="s">
        <v>159</v>
      </c>
    </row>
    <row r="106" spans="1:5" x14ac:dyDescent="0.25">
      <c r="A106" s="61" t="s">
        <v>162</v>
      </c>
      <c r="B106" s="61">
        <v>1992</v>
      </c>
      <c r="C106" s="64">
        <v>46.749499049978297</v>
      </c>
      <c r="D106" s="64">
        <v>2.3614329574120698</v>
      </c>
      <c r="E106" s="59" t="s">
        <v>159</v>
      </c>
    </row>
    <row r="107" spans="1:5" x14ac:dyDescent="0.25">
      <c r="A107" s="61" t="s">
        <v>162</v>
      </c>
      <c r="B107" s="61">
        <v>1993</v>
      </c>
      <c r="C107" s="64">
        <v>50.591228951997998</v>
      </c>
      <c r="D107" s="64">
        <v>0.33318173695480202</v>
      </c>
      <c r="E107" s="59" t="s">
        <v>159</v>
      </c>
    </row>
    <row r="108" spans="1:5" x14ac:dyDescent="0.25">
      <c r="A108" s="61" t="s">
        <v>162</v>
      </c>
      <c r="B108" s="61">
        <v>1994</v>
      </c>
      <c r="C108" s="64">
        <v>53.330339500628703</v>
      </c>
      <c r="D108" s="64">
        <v>2.6609109815864702</v>
      </c>
      <c r="E108" s="59" t="s">
        <v>159</v>
      </c>
    </row>
    <row r="109" spans="1:5" x14ac:dyDescent="0.25">
      <c r="A109" s="61" t="s">
        <v>162</v>
      </c>
      <c r="B109" s="61">
        <v>1995</v>
      </c>
      <c r="C109" s="64">
        <v>55.869837870032597</v>
      </c>
      <c r="D109" s="64">
        <v>1.9099047885538001</v>
      </c>
      <c r="E109" s="59" t="s">
        <v>159</v>
      </c>
    </row>
    <row r="110" spans="1:5" x14ac:dyDescent="0.25">
      <c r="A110" s="61" t="s">
        <v>162</v>
      </c>
      <c r="B110" s="61">
        <v>1996</v>
      </c>
      <c r="C110" s="64">
        <v>56.349153483208397</v>
      </c>
      <c r="D110" s="64">
        <v>2.6191189340164298</v>
      </c>
      <c r="E110" s="59" t="s">
        <v>159</v>
      </c>
    </row>
    <row r="111" spans="1:5" x14ac:dyDescent="0.25">
      <c r="A111" s="61" t="s">
        <v>162</v>
      </c>
      <c r="B111" s="61">
        <v>1997</v>
      </c>
      <c r="C111" s="64">
        <v>58.458687595378201</v>
      </c>
      <c r="D111" s="64">
        <v>1.8395011245349899</v>
      </c>
      <c r="E111" s="59" t="s">
        <v>159</v>
      </c>
    </row>
    <row r="112" spans="1:5" x14ac:dyDescent="0.25">
      <c r="A112" s="61" t="s">
        <v>162</v>
      </c>
      <c r="B112" s="61">
        <v>1998</v>
      </c>
      <c r="C112" s="64">
        <v>58.476507851674903</v>
      </c>
      <c r="D112" s="64">
        <v>3.5904975192021502</v>
      </c>
      <c r="E112" s="59" t="s">
        <v>159</v>
      </c>
    </row>
    <row r="113" spans="1:5" x14ac:dyDescent="0.25">
      <c r="A113" s="61" t="s">
        <v>162</v>
      </c>
      <c r="B113" s="61">
        <v>1999</v>
      </c>
      <c r="C113" s="64">
        <v>59.589148344016301</v>
      </c>
      <c r="D113" s="64">
        <v>3.29256580997628</v>
      </c>
      <c r="E113" s="59" t="s">
        <v>159</v>
      </c>
    </row>
    <row r="114" spans="1:5" x14ac:dyDescent="0.25">
      <c r="A114" s="61" t="s">
        <v>162</v>
      </c>
      <c r="B114" s="61">
        <v>2000</v>
      </c>
      <c r="C114" s="64">
        <v>58.163437399110499</v>
      </c>
      <c r="D114" s="64">
        <v>3.3667877593744202</v>
      </c>
      <c r="E114" s="59" t="s">
        <v>159</v>
      </c>
    </row>
    <row r="115" spans="1:5" x14ac:dyDescent="0.25">
      <c r="A115" s="61" t="s">
        <v>162</v>
      </c>
      <c r="B115" s="61">
        <v>2001</v>
      </c>
      <c r="C115" s="64">
        <v>57.135798286109598</v>
      </c>
      <c r="D115" s="64">
        <v>0.81368612921288697</v>
      </c>
      <c r="E115" s="59" t="s">
        <v>159</v>
      </c>
    </row>
    <row r="116" spans="1:5" x14ac:dyDescent="0.25">
      <c r="A116" s="61" t="s">
        <v>162</v>
      </c>
      <c r="B116" s="61">
        <v>2002</v>
      </c>
      <c r="C116" s="64">
        <v>56.6388543646732</v>
      </c>
      <c r="D116" s="64">
        <v>0.89279383611826602</v>
      </c>
      <c r="E116" s="59" t="s">
        <v>159</v>
      </c>
    </row>
    <row r="117" spans="1:5" x14ac:dyDescent="0.25">
      <c r="A117" s="61" t="s">
        <v>162</v>
      </c>
      <c r="B117" s="61">
        <v>2003</v>
      </c>
      <c r="C117" s="64">
        <v>56.8190163993157</v>
      </c>
      <c r="D117" s="64">
        <v>1.17595385201019</v>
      </c>
      <c r="E117" s="59" t="s">
        <v>159</v>
      </c>
    </row>
    <row r="118" spans="1:5" x14ac:dyDescent="0.25">
      <c r="A118" s="61" t="s">
        <v>162</v>
      </c>
      <c r="B118" s="61">
        <v>2004</v>
      </c>
      <c r="C118" s="64">
        <v>58.230876957840401</v>
      </c>
      <c r="D118" s="64">
        <v>2.3338330545313402</v>
      </c>
      <c r="E118" s="59" t="s">
        <v>159</v>
      </c>
    </row>
    <row r="119" spans="1:5" x14ac:dyDescent="0.25">
      <c r="A119" s="61" t="s">
        <v>162</v>
      </c>
      <c r="B119" s="61">
        <v>2005</v>
      </c>
      <c r="C119" s="64">
        <v>58.020403555227098</v>
      </c>
      <c r="D119" s="64">
        <v>2.07358805396081</v>
      </c>
      <c r="E119" s="59" t="s">
        <v>159</v>
      </c>
    </row>
    <row r="120" spans="1:5" x14ac:dyDescent="0.25">
      <c r="A120" s="61" t="s">
        <v>162</v>
      </c>
      <c r="B120" s="61">
        <v>2006</v>
      </c>
      <c r="C120" s="64">
        <v>56.708254932425596</v>
      </c>
      <c r="D120" s="64">
        <v>3.24668487928139</v>
      </c>
      <c r="E120" s="59" t="s">
        <v>159</v>
      </c>
    </row>
    <row r="121" spans="1:5" x14ac:dyDescent="0.25">
      <c r="A121" s="61" t="s">
        <v>163</v>
      </c>
      <c r="B121" s="61">
        <v>1947</v>
      </c>
      <c r="C121" s="64">
        <v>98.642059671516293</v>
      </c>
      <c r="D121" s="64">
        <v>15.216302109895899</v>
      </c>
      <c r="E121" s="59" t="s">
        <v>160</v>
      </c>
    </row>
    <row r="122" spans="1:5" x14ac:dyDescent="0.25">
      <c r="A122" s="61" t="s">
        <v>163</v>
      </c>
      <c r="B122" s="61">
        <v>1948</v>
      </c>
      <c r="C122" s="64">
        <v>74.240510823068604</v>
      </c>
      <c r="D122" s="64">
        <v>11.4405542270448</v>
      </c>
      <c r="E122" s="59" t="s">
        <v>156</v>
      </c>
    </row>
    <row r="123" spans="1:5" x14ac:dyDescent="0.25">
      <c r="A123" s="61" t="s">
        <v>163</v>
      </c>
      <c r="B123" s="61">
        <v>1949</v>
      </c>
      <c r="C123" s="64">
        <v>78.254068488458003</v>
      </c>
      <c r="D123" s="64">
        <v>-1.3066289150527099</v>
      </c>
      <c r="E123" s="59" t="s">
        <v>156</v>
      </c>
    </row>
    <row r="124" spans="1:5" x14ac:dyDescent="0.25">
      <c r="A124" s="61" t="s">
        <v>163</v>
      </c>
      <c r="B124" s="61">
        <v>1950</v>
      </c>
      <c r="C124" s="64">
        <v>73.6828782387758</v>
      </c>
      <c r="D124" s="64">
        <v>5.6413171212609203</v>
      </c>
      <c r="E124" s="59" t="s">
        <v>156</v>
      </c>
    </row>
    <row r="125" spans="1:5" x14ac:dyDescent="0.25">
      <c r="A125" s="61" t="s">
        <v>163</v>
      </c>
      <c r="B125" s="61">
        <v>1951</v>
      </c>
      <c r="C125" s="64">
        <v>64.471669015544705</v>
      </c>
      <c r="D125" s="64">
        <v>7.0330626053679799</v>
      </c>
      <c r="E125" s="59" t="s">
        <v>156</v>
      </c>
    </row>
    <row r="126" spans="1:5" x14ac:dyDescent="0.25">
      <c r="A126" s="61" t="s">
        <v>163</v>
      </c>
      <c r="B126" s="61">
        <v>1952</v>
      </c>
      <c r="C126" s="64">
        <v>66.253863539503797</v>
      </c>
      <c r="D126" s="64">
        <v>-0.429523563443024</v>
      </c>
      <c r="E126" s="59" t="s">
        <v>156</v>
      </c>
    </row>
    <row r="127" spans="1:5" x14ac:dyDescent="0.25">
      <c r="A127" s="61" t="s">
        <v>163</v>
      </c>
      <c r="B127" s="61">
        <v>1953</v>
      </c>
      <c r="C127" s="64">
        <v>68.460094601256102</v>
      </c>
      <c r="D127" s="64">
        <v>2.9310774977337402</v>
      </c>
      <c r="E127" s="59" t="s">
        <v>156</v>
      </c>
    </row>
    <row r="128" spans="1:5" x14ac:dyDescent="0.25">
      <c r="A128" s="61" t="s">
        <v>163</v>
      </c>
      <c r="B128" s="61">
        <v>1954</v>
      </c>
      <c r="C128" s="64">
        <v>69.861413809550996</v>
      </c>
      <c r="D128" s="64">
        <v>-1.2687253497462101</v>
      </c>
      <c r="E128" s="59" t="s">
        <v>156</v>
      </c>
    </row>
    <row r="129" spans="1:5" x14ac:dyDescent="0.25">
      <c r="A129" s="61" t="s">
        <v>163</v>
      </c>
      <c r="B129" s="61">
        <v>1955</v>
      </c>
      <c r="C129" s="64">
        <v>68.624334910860995</v>
      </c>
      <c r="D129" s="64">
        <v>5.1495118189969</v>
      </c>
      <c r="E129" s="59" t="s">
        <v>156</v>
      </c>
    </row>
    <row r="130" spans="1:5" x14ac:dyDescent="0.25">
      <c r="A130" s="61" t="s">
        <v>163</v>
      </c>
      <c r="B130" s="61">
        <v>1956</v>
      </c>
      <c r="C130" s="64">
        <v>65.889976732087803</v>
      </c>
      <c r="D130" s="64">
        <v>2.4321598311860502</v>
      </c>
      <c r="E130" s="59" t="s">
        <v>156</v>
      </c>
    </row>
    <row r="131" spans="1:5" x14ac:dyDescent="0.25">
      <c r="A131" s="61" t="s">
        <v>163</v>
      </c>
      <c r="B131" s="61">
        <v>1957</v>
      </c>
      <c r="C131" s="64">
        <v>62.838307313098397</v>
      </c>
      <c r="D131" s="64">
        <v>3.0461368771075499</v>
      </c>
      <c r="E131" s="59" t="s">
        <v>156</v>
      </c>
    </row>
    <row r="132" spans="1:5" x14ac:dyDescent="0.25">
      <c r="A132" s="61" t="s">
        <v>163</v>
      </c>
      <c r="B132" s="61">
        <v>1958</v>
      </c>
      <c r="C132" s="64">
        <v>67.168595020982593</v>
      </c>
      <c r="D132" s="64">
        <v>-1.49460344449001</v>
      </c>
      <c r="E132" s="59" t="s">
        <v>156</v>
      </c>
    </row>
    <row r="133" spans="1:5" x14ac:dyDescent="0.25">
      <c r="A133" s="61" t="s">
        <v>163</v>
      </c>
      <c r="B133" s="61">
        <v>1959</v>
      </c>
      <c r="C133" s="64">
        <v>70.280214598995499</v>
      </c>
      <c r="D133" s="64">
        <v>2.58742235278915</v>
      </c>
      <c r="E133" s="59" t="s">
        <v>156</v>
      </c>
    </row>
    <row r="134" spans="1:5" x14ac:dyDescent="0.25">
      <c r="A134" s="61" t="s">
        <v>163</v>
      </c>
      <c r="B134" s="61">
        <v>1960</v>
      </c>
      <c r="C134" s="64">
        <v>69.669191599903499</v>
      </c>
      <c r="D134" s="64">
        <v>6.4281620748630504</v>
      </c>
      <c r="E134" s="59" t="s">
        <v>156</v>
      </c>
    </row>
    <row r="135" spans="1:5" x14ac:dyDescent="0.25">
      <c r="A135" s="61" t="s">
        <v>163</v>
      </c>
      <c r="B135" s="61">
        <v>1961</v>
      </c>
      <c r="C135" s="64">
        <v>67.975231038114998</v>
      </c>
      <c r="D135" s="64">
        <v>4.9635867212578297</v>
      </c>
      <c r="E135" s="59" t="s">
        <v>156</v>
      </c>
    </row>
    <row r="136" spans="1:5" x14ac:dyDescent="0.25">
      <c r="A136" s="61" t="s">
        <v>163</v>
      </c>
      <c r="B136" s="61">
        <v>1962</v>
      </c>
      <c r="C136" s="64">
        <v>65.6615735000196</v>
      </c>
      <c r="D136" s="64">
        <v>4.6009621371026999</v>
      </c>
      <c r="E136" s="59" t="s">
        <v>156</v>
      </c>
    </row>
    <row r="137" spans="1:5" x14ac:dyDescent="0.25">
      <c r="A137" s="61" t="s">
        <v>163</v>
      </c>
      <c r="B137" s="61">
        <v>1963</v>
      </c>
      <c r="C137" s="64">
        <v>63.850104255489299</v>
      </c>
      <c r="D137" s="64">
        <v>6.1846252660934198</v>
      </c>
      <c r="E137" s="59" t="s">
        <v>156</v>
      </c>
    </row>
    <row r="138" spans="1:5" x14ac:dyDescent="0.25">
      <c r="A138" s="61" t="s">
        <v>163</v>
      </c>
      <c r="B138" s="61">
        <v>1964</v>
      </c>
      <c r="C138" s="64">
        <v>59.3687226097245</v>
      </c>
      <c r="D138" s="64">
        <v>7.1510436596956604</v>
      </c>
      <c r="E138" s="59" t="s">
        <v>159</v>
      </c>
    </row>
    <row r="139" spans="1:5" x14ac:dyDescent="0.25">
      <c r="A139" s="61" t="s">
        <v>163</v>
      </c>
      <c r="B139" s="61">
        <v>1965</v>
      </c>
      <c r="C139" s="64">
        <v>57.698704729492498</v>
      </c>
      <c r="D139" s="64">
        <v>3.4424740643145699</v>
      </c>
      <c r="E139" s="59" t="s">
        <v>159</v>
      </c>
    </row>
    <row r="140" spans="1:5" x14ac:dyDescent="0.25">
      <c r="A140" s="61" t="s">
        <v>163</v>
      </c>
      <c r="B140" s="61">
        <v>1966</v>
      </c>
      <c r="C140" s="64">
        <v>55.332604898258097</v>
      </c>
      <c r="D140" s="64">
        <v>3.7586734638934201</v>
      </c>
      <c r="E140" s="59" t="s">
        <v>159</v>
      </c>
    </row>
    <row r="141" spans="1:5" x14ac:dyDescent="0.25">
      <c r="A141" s="61" t="s">
        <v>163</v>
      </c>
      <c r="B141" s="61">
        <v>1967</v>
      </c>
      <c r="C141" s="64">
        <v>54.076771501309999</v>
      </c>
      <c r="D141" s="64">
        <v>3.3451107385932501</v>
      </c>
      <c r="E141" s="59" t="s">
        <v>159</v>
      </c>
    </row>
    <row r="142" spans="1:5" x14ac:dyDescent="0.25">
      <c r="A142" s="61" t="s">
        <v>163</v>
      </c>
      <c r="B142" s="61">
        <v>1968</v>
      </c>
      <c r="C142" s="64">
        <v>54.794020619100102</v>
      </c>
      <c r="D142" s="64">
        <v>5.2039910147866797</v>
      </c>
      <c r="E142" s="59" t="s">
        <v>159</v>
      </c>
    </row>
    <row r="143" spans="1:5" x14ac:dyDescent="0.25">
      <c r="A143" s="61" t="s">
        <v>163</v>
      </c>
      <c r="B143" s="61">
        <v>1969</v>
      </c>
      <c r="C143" s="64">
        <v>52.217864069399198</v>
      </c>
      <c r="D143" s="64">
        <v>7.5291207136430396</v>
      </c>
      <c r="E143" s="59" t="s">
        <v>159</v>
      </c>
    </row>
    <row r="144" spans="1:5" x14ac:dyDescent="0.25">
      <c r="A144" s="61" t="s">
        <v>163</v>
      </c>
      <c r="B144" s="61">
        <v>1970</v>
      </c>
      <c r="C144" s="64">
        <v>48.327892238895998</v>
      </c>
      <c r="D144" s="64">
        <v>5.09117765248648</v>
      </c>
      <c r="E144" s="59" t="s">
        <v>159</v>
      </c>
    </row>
    <row r="145" spans="1:5" x14ac:dyDescent="0.25">
      <c r="A145" s="61" t="s">
        <v>163</v>
      </c>
      <c r="B145" s="61">
        <v>1971</v>
      </c>
      <c r="C145" s="64">
        <v>45.483162802896899</v>
      </c>
      <c r="D145" s="64">
        <v>4.9097583669177203</v>
      </c>
      <c r="E145" s="59" t="s">
        <v>159</v>
      </c>
    </row>
    <row r="146" spans="1:5" x14ac:dyDescent="0.25">
      <c r="A146" s="61" t="s">
        <v>163</v>
      </c>
      <c r="B146" s="61">
        <v>1972</v>
      </c>
      <c r="C146" s="64">
        <v>44.809805427224099</v>
      </c>
      <c r="D146" s="64">
        <v>6.3275475429018098</v>
      </c>
      <c r="E146" s="59" t="s">
        <v>159</v>
      </c>
    </row>
    <row r="147" spans="1:5" x14ac:dyDescent="0.25">
      <c r="A147" s="61" t="s">
        <v>163</v>
      </c>
      <c r="B147" s="61">
        <v>1973</v>
      </c>
      <c r="C147" s="64">
        <v>42.1708778814453</v>
      </c>
      <c r="D147" s="64">
        <v>7.4020976038171797</v>
      </c>
      <c r="E147" s="59" t="s">
        <v>159</v>
      </c>
    </row>
    <row r="148" spans="1:5" x14ac:dyDescent="0.25">
      <c r="A148" s="61" t="s">
        <v>163</v>
      </c>
      <c r="B148" s="61">
        <v>1974</v>
      </c>
      <c r="C148" s="64">
        <v>38.682665813751697</v>
      </c>
      <c r="D148" s="64">
        <v>3.1286926610649699</v>
      </c>
      <c r="E148" s="59" t="s">
        <v>159</v>
      </c>
    </row>
    <row r="149" spans="1:5" x14ac:dyDescent="0.25">
      <c r="A149" s="61" t="s">
        <v>163</v>
      </c>
      <c r="B149" s="61">
        <v>1975</v>
      </c>
      <c r="C149" s="64">
        <v>39.633803165543497</v>
      </c>
      <c r="D149" s="64">
        <v>-2.89670245254842</v>
      </c>
      <c r="E149" s="59" t="s">
        <v>159</v>
      </c>
    </row>
    <row r="150" spans="1:5" x14ac:dyDescent="0.25">
      <c r="A150" s="61" t="s">
        <v>163</v>
      </c>
      <c r="B150" s="61">
        <v>1976</v>
      </c>
      <c r="C150" s="64">
        <v>39.384231084809301</v>
      </c>
      <c r="D150" s="64">
        <v>5.71506251165117</v>
      </c>
      <c r="E150" s="59" t="s">
        <v>159</v>
      </c>
    </row>
    <row r="151" spans="1:5" x14ac:dyDescent="0.25">
      <c r="A151" s="61" t="s">
        <v>163</v>
      </c>
      <c r="B151" s="61">
        <v>1977</v>
      </c>
      <c r="C151" s="64">
        <v>42.209039364269799</v>
      </c>
      <c r="D151" s="64">
        <v>1.11662664694456</v>
      </c>
      <c r="E151" s="59" t="s">
        <v>159</v>
      </c>
    </row>
    <row r="152" spans="1:5" x14ac:dyDescent="0.25">
      <c r="A152" s="61" t="s">
        <v>163</v>
      </c>
      <c r="B152" s="61">
        <v>1978</v>
      </c>
      <c r="C152" s="64">
        <v>45.534303736471401</v>
      </c>
      <c r="D152" s="64">
        <v>3.0823595623346001</v>
      </c>
      <c r="E152" s="59" t="s">
        <v>159</v>
      </c>
    </row>
    <row r="153" spans="1:5" x14ac:dyDescent="0.25">
      <c r="A153" s="61" t="s">
        <v>163</v>
      </c>
      <c r="B153" s="61">
        <v>1979</v>
      </c>
      <c r="C153" s="64">
        <v>49.233083362050998</v>
      </c>
      <c r="D153" s="64">
        <v>2.9432527621352298</v>
      </c>
      <c r="E153" s="59" t="s">
        <v>159</v>
      </c>
    </row>
    <row r="154" spans="1:5" x14ac:dyDescent="0.25">
      <c r="A154" s="61" t="s">
        <v>163</v>
      </c>
      <c r="B154" s="61">
        <v>1980</v>
      </c>
      <c r="C154" s="64">
        <v>55.245145492853503</v>
      </c>
      <c r="D154" s="64">
        <v>4.0078409278248497</v>
      </c>
      <c r="E154" s="59" t="s">
        <v>159</v>
      </c>
    </row>
    <row r="155" spans="1:5" x14ac:dyDescent="0.25">
      <c r="A155" s="61" t="s">
        <v>163</v>
      </c>
      <c r="B155" s="61">
        <v>1981</v>
      </c>
      <c r="C155" s="64">
        <v>65.401505646173106</v>
      </c>
      <c r="D155" s="64">
        <v>0.14606595689430299</v>
      </c>
      <c r="E155" s="59" t="s">
        <v>156</v>
      </c>
    </row>
    <row r="156" spans="1:5" x14ac:dyDescent="0.25">
      <c r="A156" s="61" t="s">
        <v>163</v>
      </c>
      <c r="B156" s="61">
        <v>1982</v>
      </c>
      <c r="C156" s="64">
        <v>76.446714715555203</v>
      </c>
      <c r="D156" s="64">
        <v>0.58071068183536101</v>
      </c>
      <c r="E156" s="59" t="s">
        <v>156</v>
      </c>
    </row>
    <row r="157" spans="1:5" x14ac:dyDescent="0.25">
      <c r="A157" s="61" t="s">
        <v>163</v>
      </c>
      <c r="B157" s="61">
        <v>1983</v>
      </c>
      <c r="C157" s="64">
        <v>86.851087099998097</v>
      </c>
      <c r="D157" s="64">
        <v>0.39743706798858203</v>
      </c>
      <c r="E157" s="59" t="s">
        <v>156</v>
      </c>
    </row>
    <row r="158" spans="1:5" x14ac:dyDescent="0.25">
      <c r="A158" s="61" t="s">
        <v>163</v>
      </c>
      <c r="B158" s="61">
        <v>1984</v>
      </c>
      <c r="C158" s="64">
        <v>92.555985502425003</v>
      </c>
      <c r="D158" s="64">
        <v>2.10182257814298</v>
      </c>
      <c r="E158" s="59" t="s">
        <v>160</v>
      </c>
    </row>
    <row r="159" spans="1:5" x14ac:dyDescent="0.25">
      <c r="A159" s="61" t="s">
        <v>163</v>
      </c>
      <c r="B159" s="61">
        <v>1985</v>
      </c>
      <c r="C159" s="64">
        <v>100.131504327314</v>
      </c>
      <c r="D159" s="64">
        <v>1.8474080749441899</v>
      </c>
      <c r="E159" s="59" t="s">
        <v>160</v>
      </c>
    </row>
    <row r="160" spans="1:5" x14ac:dyDescent="0.25">
      <c r="A160" s="61" t="s">
        <v>163</v>
      </c>
      <c r="B160" s="61">
        <v>1986</v>
      </c>
      <c r="C160" s="64">
        <v>105.440985987361</v>
      </c>
      <c r="D160" s="64">
        <v>1.8535094758935799</v>
      </c>
      <c r="E160" s="59" t="s">
        <v>160</v>
      </c>
    </row>
    <row r="161" spans="1:23" x14ac:dyDescent="0.25">
      <c r="A161" s="61" t="s">
        <v>163</v>
      </c>
      <c r="B161" s="61">
        <v>1987</v>
      </c>
      <c r="C161" s="64">
        <v>109.76429960942799</v>
      </c>
      <c r="D161" s="64">
        <v>2.3733402023324199</v>
      </c>
      <c r="E161" s="59" t="s">
        <v>160</v>
      </c>
    </row>
    <row r="162" spans="1:23" x14ac:dyDescent="0.25">
      <c r="A162" s="61" t="s">
        <v>163</v>
      </c>
      <c r="B162" s="61">
        <v>1988</v>
      </c>
      <c r="C162" s="64">
        <v>111.297254193512</v>
      </c>
      <c r="D162" s="64">
        <v>4.5655927771473603</v>
      </c>
      <c r="E162" s="59" t="s">
        <v>160</v>
      </c>
    </row>
    <row r="163" spans="1:23" x14ac:dyDescent="0.25">
      <c r="A163" s="61" t="s">
        <v>163</v>
      </c>
      <c r="B163" s="61">
        <v>1989</v>
      </c>
      <c r="C163" s="64">
        <v>109.34900707007699</v>
      </c>
      <c r="D163" s="64">
        <v>3.6179368134979102</v>
      </c>
      <c r="E163" s="59" t="s">
        <v>160</v>
      </c>
    </row>
    <row r="164" spans="1:23" x14ac:dyDescent="0.25">
      <c r="A164" s="61" t="s">
        <v>163</v>
      </c>
      <c r="B164" s="61">
        <v>1990</v>
      </c>
      <c r="C164" s="64">
        <v>109.82982246343499</v>
      </c>
      <c r="D164" s="64">
        <v>3.0899950822359501</v>
      </c>
      <c r="E164" s="59" t="s">
        <v>160</v>
      </c>
    </row>
    <row r="165" spans="1:23" x14ac:dyDescent="0.25">
      <c r="A165" s="61" t="s">
        <v>163</v>
      </c>
      <c r="B165" s="61">
        <v>1991</v>
      </c>
      <c r="C165" s="64">
        <v>112.519764350382</v>
      </c>
      <c r="D165" s="64">
        <v>1.8003692612125599</v>
      </c>
      <c r="E165" s="59" t="s">
        <v>160</v>
      </c>
    </row>
    <row r="166" spans="1:23" x14ac:dyDescent="0.25">
      <c r="A166" s="61" t="s">
        <v>163</v>
      </c>
      <c r="B166" s="61">
        <v>1992</v>
      </c>
      <c r="C166" s="64">
        <v>114.815125252153</v>
      </c>
      <c r="D166" s="64">
        <v>1.3316035648272699</v>
      </c>
      <c r="E166" s="59" t="s">
        <v>160</v>
      </c>
    </row>
    <row r="167" spans="1:23" x14ac:dyDescent="0.25">
      <c r="A167" s="61" t="s">
        <v>163</v>
      </c>
      <c r="B167" s="61">
        <v>1993</v>
      </c>
      <c r="C167" s="64">
        <v>121.692222787331</v>
      </c>
      <c r="D167" s="64">
        <v>-0.69237784904706601</v>
      </c>
      <c r="E167" s="59" t="s">
        <v>160</v>
      </c>
      <c r="W167" s="59"/>
    </row>
    <row r="168" spans="1:23" x14ac:dyDescent="0.25">
      <c r="A168" s="61" t="s">
        <v>163</v>
      </c>
      <c r="B168" s="61">
        <v>1994</v>
      </c>
      <c r="C168" s="64">
        <v>118.74486905837</v>
      </c>
      <c r="D168" s="64">
        <v>3.2915671377939502</v>
      </c>
      <c r="E168" s="59" t="s">
        <v>160</v>
      </c>
      <c r="W168" s="59"/>
    </row>
    <row r="169" spans="1:23" x14ac:dyDescent="0.25">
      <c r="A169" s="61" t="s">
        <v>163</v>
      </c>
      <c r="B169" s="61">
        <v>1995</v>
      </c>
      <c r="C169" s="64">
        <v>117.027231879678</v>
      </c>
      <c r="D169" s="64">
        <v>4.2774252796793997</v>
      </c>
      <c r="E169" s="59" t="s">
        <v>160</v>
      </c>
      <c r="W169" s="59"/>
    </row>
    <row r="170" spans="1:23" x14ac:dyDescent="0.25">
      <c r="A170" s="61" t="s">
        <v>163</v>
      </c>
      <c r="B170" s="61">
        <v>1996</v>
      </c>
      <c r="C170" s="64">
        <v>112.84012396576701</v>
      </c>
      <c r="D170" s="64">
        <v>0.89028730179698801</v>
      </c>
      <c r="E170" s="59" t="s">
        <v>160</v>
      </c>
      <c r="W170" s="59"/>
    </row>
    <row r="171" spans="1:23" x14ac:dyDescent="0.25">
      <c r="A171" s="61" t="s">
        <v>163</v>
      </c>
      <c r="B171" s="61">
        <v>1997</v>
      </c>
      <c r="C171" s="64">
        <v>109.890462606746</v>
      </c>
      <c r="D171" s="64">
        <v>3.6872448230574899</v>
      </c>
      <c r="E171" s="59" t="s">
        <v>160</v>
      </c>
      <c r="W171" s="59"/>
    </row>
    <row r="172" spans="1:23" x14ac:dyDescent="0.25">
      <c r="A172" s="61" t="s">
        <v>163</v>
      </c>
      <c r="B172" s="61">
        <v>1998</v>
      </c>
      <c r="C172" s="64">
        <v>105.341932449616</v>
      </c>
      <c r="D172" s="64">
        <v>1.73003627680581</v>
      </c>
      <c r="E172" s="59" t="s">
        <v>160</v>
      </c>
      <c r="W172" s="59"/>
    </row>
    <row r="173" spans="1:23" x14ac:dyDescent="0.25">
      <c r="A173" s="61" t="s">
        <v>163</v>
      </c>
      <c r="B173" s="61">
        <v>1999</v>
      </c>
      <c r="C173" s="64">
        <v>103.64025066361999</v>
      </c>
      <c r="D173" s="64">
        <v>3.3797889747785299</v>
      </c>
      <c r="E173" s="59" t="s">
        <v>160</v>
      </c>
      <c r="W173" s="59"/>
    </row>
    <row r="174" spans="1:23" x14ac:dyDescent="0.25">
      <c r="A174" s="61" t="s">
        <v>163</v>
      </c>
      <c r="B174" s="61">
        <v>2000</v>
      </c>
      <c r="C174" s="64">
        <v>99.724731285302298</v>
      </c>
      <c r="D174" s="64">
        <v>3.7958010406432998</v>
      </c>
      <c r="E174" s="59" t="s">
        <v>160</v>
      </c>
      <c r="W174" s="59"/>
    </row>
    <row r="175" spans="1:23" x14ac:dyDescent="0.25">
      <c r="A175" s="61" t="s">
        <v>163</v>
      </c>
      <c r="B175" s="61">
        <v>2001</v>
      </c>
      <c r="C175" s="64">
        <v>99.332156527986498</v>
      </c>
      <c r="D175" s="64">
        <v>0.76526140881014704</v>
      </c>
      <c r="E175" s="59" t="s">
        <v>160</v>
      </c>
      <c r="W175" s="59"/>
    </row>
    <row r="176" spans="1:23" x14ac:dyDescent="0.25">
      <c r="A176" s="61" t="s">
        <v>163</v>
      </c>
      <c r="B176" s="61">
        <v>2002</v>
      </c>
      <c r="C176" s="64">
        <v>98.186513007929605</v>
      </c>
      <c r="D176" s="64">
        <v>1.49489467550314</v>
      </c>
      <c r="E176" s="59" t="s">
        <v>160</v>
      </c>
      <c r="W176" s="59"/>
    </row>
    <row r="177" spans="1:23" x14ac:dyDescent="0.25">
      <c r="A177" s="61" t="s">
        <v>163</v>
      </c>
      <c r="B177" s="61">
        <v>2003</v>
      </c>
      <c r="C177" s="64">
        <v>95.734481578813302</v>
      </c>
      <c r="D177" s="64">
        <v>1.0132240129977901</v>
      </c>
      <c r="E177" s="59" t="s">
        <v>160</v>
      </c>
      <c r="W177" s="59"/>
    </row>
    <row r="178" spans="1:23" x14ac:dyDescent="0.25">
      <c r="A178" s="61" t="s">
        <v>163</v>
      </c>
      <c r="B178" s="61">
        <v>2004</v>
      </c>
      <c r="C178" s="64">
        <v>93.349803978560502</v>
      </c>
      <c r="D178" s="64">
        <v>2.7825095521516898</v>
      </c>
      <c r="E178" s="59" t="s">
        <v>160</v>
      </c>
      <c r="W178" s="59"/>
    </row>
    <row r="179" spans="1:23" x14ac:dyDescent="0.25">
      <c r="A179" s="61" t="s">
        <v>163</v>
      </c>
      <c r="B179" s="61">
        <v>2005</v>
      </c>
      <c r="C179" s="64">
        <v>91.841253056638706</v>
      </c>
      <c r="D179" s="64">
        <v>2.1703675824865201</v>
      </c>
      <c r="E179" s="59" t="s">
        <v>160</v>
      </c>
      <c r="W179" s="59"/>
    </row>
    <row r="180" spans="1:23" x14ac:dyDescent="0.25">
      <c r="A180" s="61" t="s">
        <v>163</v>
      </c>
      <c r="B180" s="61">
        <v>2006</v>
      </c>
      <c r="C180" s="64">
        <v>87.389390940486805</v>
      </c>
      <c r="D180" s="64">
        <v>3.0151354565194999</v>
      </c>
      <c r="E180" s="59" t="s">
        <v>156</v>
      </c>
      <c r="W180" s="59"/>
    </row>
    <row r="181" spans="1:23" x14ac:dyDescent="0.25">
      <c r="A181" s="61" t="s">
        <v>163</v>
      </c>
      <c r="B181" s="61">
        <v>2007</v>
      </c>
      <c r="C181" s="64">
        <v>85.341383449486699</v>
      </c>
      <c r="D181" s="64">
        <v>2.59878357480952</v>
      </c>
      <c r="E181" s="59" t="s">
        <v>156</v>
      </c>
      <c r="W181" s="59"/>
    </row>
    <row r="182" spans="1:23" x14ac:dyDescent="0.25">
      <c r="A182" s="61" t="s">
        <v>163</v>
      </c>
      <c r="B182" s="61">
        <v>2008</v>
      </c>
      <c r="C182" s="64">
        <v>90.373058169860499</v>
      </c>
      <c r="D182" s="64">
        <v>0.96915814704299197</v>
      </c>
      <c r="E182" s="59" t="s">
        <v>160</v>
      </c>
      <c r="W182" s="59"/>
    </row>
    <row r="183" spans="1:23" x14ac:dyDescent="0.25">
      <c r="A183" s="61" t="s">
        <v>163</v>
      </c>
      <c r="B183" s="61">
        <v>2009</v>
      </c>
      <c r="C183" s="64">
        <v>96.610996702655697</v>
      </c>
      <c r="D183" s="64">
        <v>-3.18236045758165</v>
      </c>
      <c r="E183" s="59" t="s">
        <v>160</v>
      </c>
      <c r="W183" s="59"/>
    </row>
    <row r="184" spans="1:23" s="59" customFormat="1" x14ac:dyDescent="0.25">
      <c r="A184" s="61" t="s">
        <v>164</v>
      </c>
      <c r="B184" s="61">
        <v>1951</v>
      </c>
      <c r="C184" s="64">
        <v>89.091393551825206</v>
      </c>
      <c r="D184" s="64">
        <v>5.6732312752045804</v>
      </c>
      <c r="E184" s="59" t="s">
        <v>156</v>
      </c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</row>
    <row r="185" spans="1:23" s="59" customFormat="1" x14ac:dyDescent="0.25">
      <c r="A185" s="61" t="s">
        <v>164</v>
      </c>
      <c r="B185" s="61">
        <v>1952</v>
      </c>
      <c r="C185" s="64">
        <v>81.125795871117106</v>
      </c>
      <c r="D185" s="64">
        <v>7.27676917376807</v>
      </c>
      <c r="E185" s="59" t="s">
        <v>156</v>
      </c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</row>
    <row r="186" spans="1:23" s="59" customFormat="1" x14ac:dyDescent="0.25">
      <c r="A186" s="61" t="s">
        <v>164</v>
      </c>
      <c r="B186" s="61">
        <v>1953</v>
      </c>
      <c r="C186" s="64">
        <v>82.601246847189799</v>
      </c>
      <c r="D186" s="64">
        <v>4.6729294743386198</v>
      </c>
      <c r="E186" s="59" t="s">
        <v>156</v>
      </c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</row>
    <row r="187" spans="1:23" s="59" customFormat="1" x14ac:dyDescent="0.25">
      <c r="A187" s="61" t="s">
        <v>164</v>
      </c>
      <c r="B187" s="61">
        <v>1954</v>
      </c>
      <c r="C187" s="64">
        <v>77.012149655686699</v>
      </c>
      <c r="D187" s="64">
        <v>-0.69125944501270398</v>
      </c>
      <c r="E187" s="59" t="s">
        <v>156</v>
      </c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</row>
    <row r="188" spans="1:23" s="59" customFormat="1" x14ac:dyDescent="0.25">
      <c r="A188" s="61" t="s">
        <v>164</v>
      </c>
      <c r="B188" s="61">
        <v>1955</v>
      </c>
      <c r="C188" s="64">
        <v>72.332976357195804</v>
      </c>
      <c r="D188" s="64">
        <v>9.3388155162389008</v>
      </c>
      <c r="E188" s="59" t="s">
        <v>156</v>
      </c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</row>
    <row r="189" spans="1:23" s="59" customFormat="1" x14ac:dyDescent="0.25">
      <c r="A189" s="61" t="s">
        <v>164</v>
      </c>
      <c r="B189" s="61">
        <v>1956</v>
      </c>
      <c r="C189" s="64">
        <v>68.086810865923795</v>
      </c>
      <c r="D189" s="64">
        <v>8.0899166622351508</v>
      </c>
      <c r="E189" s="59" t="s">
        <v>156</v>
      </c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</row>
    <row r="190" spans="1:23" s="59" customFormat="1" x14ac:dyDescent="0.25">
      <c r="A190" s="61" t="s">
        <v>164</v>
      </c>
      <c r="B190" s="61">
        <v>1957</v>
      </c>
      <c r="C190" s="64">
        <v>61.412746170678297</v>
      </c>
      <c r="D190" s="64">
        <v>2.8956579187810099</v>
      </c>
      <c r="E190" s="59" t="s">
        <v>156</v>
      </c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</row>
    <row r="191" spans="1:23" s="59" customFormat="1" x14ac:dyDescent="0.25">
      <c r="A191" s="61" t="s">
        <v>164</v>
      </c>
      <c r="B191" s="61">
        <v>1958</v>
      </c>
      <c r="C191" s="64">
        <v>61.731776628890302</v>
      </c>
      <c r="D191" s="64">
        <v>1.78890998756847</v>
      </c>
      <c r="E191" s="59" t="s">
        <v>156</v>
      </c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</row>
    <row r="192" spans="1:23" s="59" customFormat="1" x14ac:dyDescent="0.25">
      <c r="A192" s="61" t="s">
        <v>164</v>
      </c>
      <c r="B192" s="61">
        <v>1959</v>
      </c>
      <c r="C192" s="64">
        <v>63.660443181083998</v>
      </c>
      <c r="D192" s="64">
        <v>4.0537910764254699</v>
      </c>
      <c r="E192" s="59" t="s">
        <v>156</v>
      </c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</row>
    <row r="193" spans="1:22" s="59" customFormat="1" x14ac:dyDescent="0.25">
      <c r="A193" s="61" t="s">
        <v>164</v>
      </c>
      <c r="B193" s="61">
        <v>1960</v>
      </c>
      <c r="C193" s="64">
        <v>61.706697319862101</v>
      </c>
      <c r="D193" s="64">
        <v>3.10714423907856</v>
      </c>
      <c r="E193" s="59" t="s">
        <v>156</v>
      </c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</row>
    <row r="194" spans="1:22" s="59" customFormat="1" x14ac:dyDescent="0.25">
      <c r="A194" s="61" t="s">
        <v>164</v>
      </c>
      <c r="B194" s="61">
        <v>1961</v>
      </c>
      <c r="C194" s="64">
        <v>53.163460313415698</v>
      </c>
      <c r="D194" s="64">
        <v>2.9509632224168101</v>
      </c>
      <c r="E194" s="59" t="s">
        <v>159</v>
      </c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</row>
    <row r="195" spans="1:22" s="59" customFormat="1" x14ac:dyDescent="0.25">
      <c r="A195" s="61" t="s">
        <v>164</v>
      </c>
      <c r="B195" s="61">
        <v>1962</v>
      </c>
      <c r="C195" s="64">
        <v>53.847972573590297</v>
      </c>
      <c r="D195" s="64">
        <v>7.0061604636751298</v>
      </c>
      <c r="E195" s="59" t="s">
        <v>159</v>
      </c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</row>
    <row r="196" spans="1:22" s="59" customFormat="1" x14ac:dyDescent="0.25">
      <c r="A196" s="61" t="s">
        <v>164</v>
      </c>
      <c r="B196" s="61">
        <v>1963</v>
      </c>
      <c r="C196" s="64">
        <v>53.643152799982502</v>
      </c>
      <c r="D196" s="64">
        <v>5.0593311758360304</v>
      </c>
      <c r="E196" s="59" t="s">
        <v>159</v>
      </c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</row>
    <row r="197" spans="1:22" s="59" customFormat="1" x14ac:dyDescent="0.25">
      <c r="A197" s="61" t="s">
        <v>164</v>
      </c>
      <c r="B197" s="61">
        <v>1964</v>
      </c>
      <c r="C197" s="64">
        <v>52.076131441967703</v>
      </c>
      <c r="D197" s="64">
        <v>6.5158532433352603</v>
      </c>
      <c r="E197" s="59" t="s">
        <v>159</v>
      </c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</row>
    <row r="198" spans="1:22" s="59" customFormat="1" x14ac:dyDescent="0.25">
      <c r="A198" s="61" t="s">
        <v>164</v>
      </c>
      <c r="B198" s="61">
        <v>1965</v>
      </c>
      <c r="C198" s="64">
        <v>48.072651715984797</v>
      </c>
      <c r="D198" s="64">
        <v>6.6489766512090496</v>
      </c>
      <c r="E198" s="59" t="s">
        <v>159</v>
      </c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</row>
    <row r="199" spans="1:22" s="59" customFormat="1" x14ac:dyDescent="0.25">
      <c r="A199" s="61" t="s">
        <v>164</v>
      </c>
      <c r="B199" s="61">
        <v>1966</v>
      </c>
      <c r="C199" s="64">
        <v>50.8310579266617</v>
      </c>
      <c r="D199" s="64">
        <v>6.4837323920210501</v>
      </c>
      <c r="E199" s="59" t="s">
        <v>159</v>
      </c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</row>
    <row r="200" spans="1:22" s="59" customFormat="1" x14ac:dyDescent="0.25">
      <c r="A200" s="61" t="s">
        <v>164</v>
      </c>
      <c r="B200" s="61">
        <v>1967</v>
      </c>
      <c r="C200" s="64">
        <v>49.989949748743697</v>
      </c>
      <c r="D200" s="64">
        <v>3.0446942349619399</v>
      </c>
      <c r="E200" s="59" t="s">
        <v>159</v>
      </c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</row>
    <row r="201" spans="1:22" s="59" customFormat="1" x14ac:dyDescent="0.25">
      <c r="A201" s="61" t="s">
        <v>164</v>
      </c>
      <c r="B201" s="61">
        <v>1968</v>
      </c>
      <c r="C201" s="64">
        <v>50.208627450980401</v>
      </c>
      <c r="D201" s="64">
        <v>5.2270352530056696</v>
      </c>
      <c r="E201" s="59" t="s">
        <v>159</v>
      </c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</row>
    <row r="202" spans="1:22" s="59" customFormat="1" x14ac:dyDescent="0.25">
      <c r="A202" s="61" t="s">
        <v>164</v>
      </c>
      <c r="B202" s="61">
        <v>1969</v>
      </c>
      <c r="C202" s="64">
        <v>49.490045809444197</v>
      </c>
      <c r="D202" s="64">
        <v>5.2714634759356098</v>
      </c>
      <c r="E202" s="59" t="s">
        <v>159</v>
      </c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</row>
    <row r="203" spans="1:22" s="59" customFormat="1" x14ac:dyDescent="0.25">
      <c r="A203" s="61" t="s">
        <v>164</v>
      </c>
      <c r="B203" s="61">
        <v>1970</v>
      </c>
      <c r="C203" s="64">
        <v>44.8439475693879</v>
      </c>
      <c r="D203" s="64">
        <v>2.5835919795535802</v>
      </c>
      <c r="E203" s="59" t="s">
        <v>159</v>
      </c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</row>
    <row r="204" spans="1:22" s="59" customFormat="1" x14ac:dyDescent="0.25">
      <c r="A204" s="61" t="s">
        <v>164</v>
      </c>
      <c r="B204" s="61">
        <v>1971</v>
      </c>
      <c r="C204" s="64">
        <v>44.812300095393098</v>
      </c>
      <c r="D204" s="64">
        <v>5.5689093392547804</v>
      </c>
      <c r="E204" s="59" t="s">
        <v>159</v>
      </c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</row>
    <row r="205" spans="1:22" s="59" customFormat="1" x14ac:dyDescent="0.25">
      <c r="A205" s="61" t="s">
        <v>164</v>
      </c>
      <c r="B205" s="61">
        <v>1972</v>
      </c>
      <c r="C205" s="64">
        <v>44.470865597626201</v>
      </c>
      <c r="D205" s="64">
        <v>5.2838153339067597</v>
      </c>
      <c r="E205" s="59" t="s">
        <v>159</v>
      </c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</row>
    <row r="206" spans="1:22" s="59" customFormat="1" x14ac:dyDescent="0.25">
      <c r="A206" s="61" t="s">
        <v>164</v>
      </c>
      <c r="B206" s="61">
        <v>1973</v>
      </c>
      <c r="C206" s="64">
        <v>41.314415477595396</v>
      </c>
      <c r="D206" s="64">
        <v>7.1613448032020504</v>
      </c>
      <c r="E206" s="59" t="s">
        <v>159</v>
      </c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</row>
    <row r="207" spans="1:22" s="59" customFormat="1" x14ac:dyDescent="0.25">
      <c r="A207" s="61" t="s">
        <v>164</v>
      </c>
      <c r="B207" s="61">
        <v>1974</v>
      </c>
      <c r="C207" s="64">
        <v>37.814692052724901</v>
      </c>
      <c r="D207" s="64">
        <v>4.0848751986059204</v>
      </c>
      <c r="E207" s="59" t="s">
        <v>159</v>
      </c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</row>
    <row r="208" spans="1:22" s="59" customFormat="1" x14ac:dyDescent="0.25">
      <c r="A208" s="61" t="s">
        <v>164</v>
      </c>
      <c r="B208" s="61">
        <v>1975</v>
      </c>
      <c r="C208" s="64">
        <v>37.070785867036101</v>
      </c>
      <c r="D208" s="64">
        <v>2.2592697459129498</v>
      </c>
      <c r="E208" s="59" t="s">
        <v>159</v>
      </c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</row>
    <row r="209" spans="1:22" s="59" customFormat="1" x14ac:dyDescent="0.25">
      <c r="A209" s="61" t="s">
        <v>164</v>
      </c>
      <c r="B209" s="61">
        <v>1976</v>
      </c>
      <c r="C209" s="64">
        <v>36.276939118617101</v>
      </c>
      <c r="D209" s="64">
        <v>5.47688770243386</v>
      </c>
      <c r="E209" s="59" t="s">
        <v>159</v>
      </c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</row>
    <row r="210" spans="1:22" s="59" customFormat="1" x14ac:dyDescent="0.25">
      <c r="A210" s="61" t="s">
        <v>164</v>
      </c>
      <c r="B210" s="61">
        <v>1977</v>
      </c>
      <c r="C210" s="64">
        <v>36.409059582732901</v>
      </c>
      <c r="D210" s="64">
        <v>3.3606587781445998</v>
      </c>
      <c r="E210" s="59" t="s">
        <v>159</v>
      </c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</row>
    <row r="211" spans="1:22" s="59" customFormat="1" x14ac:dyDescent="0.25">
      <c r="A211" s="61" t="s">
        <v>164</v>
      </c>
      <c r="B211" s="61">
        <v>1978</v>
      </c>
      <c r="C211" s="64">
        <v>34.140325422323599</v>
      </c>
      <c r="D211" s="64">
        <v>4.0439481566343103</v>
      </c>
      <c r="E211" s="59" t="s">
        <v>159</v>
      </c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</row>
    <row r="212" spans="1:22" s="59" customFormat="1" x14ac:dyDescent="0.25">
      <c r="A212" s="61" t="s">
        <v>164</v>
      </c>
      <c r="B212" s="61">
        <v>1979</v>
      </c>
      <c r="C212" s="64">
        <v>37.763756684341303</v>
      </c>
      <c r="D212" s="64">
        <v>4.1568716933673597</v>
      </c>
      <c r="E212" s="59" t="s">
        <v>159</v>
      </c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</row>
    <row r="213" spans="1:22" s="59" customFormat="1" x14ac:dyDescent="0.25">
      <c r="A213" s="61" t="s">
        <v>164</v>
      </c>
      <c r="B213" s="61">
        <v>1980</v>
      </c>
      <c r="C213" s="64">
        <v>35.148300910714397</v>
      </c>
      <c r="D213" s="64">
        <v>1.3381359839617299</v>
      </c>
      <c r="E213" s="59" t="s">
        <v>159</v>
      </c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</row>
    <row r="214" spans="1:22" s="59" customFormat="1" x14ac:dyDescent="0.25">
      <c r="A214" s="61" t="s">
        <v>164</v>
      </c>
      <c r="B214" s="61">
        <v>1981</v>
      </c>
      <c r="C214" s="64">
        <v>35.3812214717857</v>
      </c>
      <c r="D214" s="64">
        <v>1.5475053130301</v>
      </c>
      <c r="E214" s="59" t="s">
        <v>159</v>
      </c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</row>
    <row r="215" spans="1:22" s="59" customFormat="1" x14ac:dyDescent="0.25">
      <c r="A215" s="61" t="s">
        <v>164</v>
      </c>
      <c r="B215" s="61">
        <v>1982</v>
      </c>
      <c r="C215" s="64">
        <v>36.2000075153124</v>
      </c>
      <c r="D215" s="64">
        <v>0.12499351992121301</v>
      </c>
      <c r="E215" s="59" t="s">
        <v>159</v>
      </c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</row>
    <row r="216" spans="1:22" s="59" customFormat="1" x14ac:dyDescent="0.25">
      <c r="A216" s="61" t="s">
        <v>164</v>
      </c>
      <c r="B216" s="61">
        <v>1983</v>
      </c>
      <c r="C216" s="64">
        <v>39.030610519195001</v>
      </c>
      <c r="D216" s="64">
        <v>3.8668937136369999</v>
      </c>
      <c r="E216" s="59" t="s">
        <v>159</v>
      </c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</row>
    <row r="217" spans="1:22" s="59" customFormat="1" x14ac:dyDescent="0.25">
      <c r="A217" s="61" t="s">
        <v>164</v>
      </c>
      <c r="B217" s="61">
        <v>1984</v>
      </c>
      <c r="C217" s="64">
        <v>41.973625104280302</v>
      </c>
      <c r="D217" s="64">
        <v>5.8941036808377403</v>
      </c>
      <c r="E217" s="59" t="s">
        <v>159</v>
      </c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</row>
    <row r="218" spans="1:22" s="59" customFormat="1" x14ac:dyDescent="0.25">
      <c r="A218" s="61" t="s">
        <v>164</v>
      </c>
      <c r="B218" s="61">
        <v>1985</v>
      </c>
      <c r="C218" s="64">
        <v>45.347662698757503</v>
      </c>
      <c r="D218" s="64">
        <v>5.3540295135014597</v>
      </c>
      <c r="E218" s="59" t="s">
        <v>159</v>
      </c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</row>
    <row r="219" spans="1:22" s="59" customFormat="1" x14ac:dyDescent="0.25">
      <c r="A219" s="61" t="s">
        <v>164</v>
      </c>
      <c r="B219" s="61">
        <v>1986</v>
      </c>
      <c r="C219" s="64">
        <v>49.753106098690999</v>
      </c>
      <c r="D219" s="64">
        <v>4.0375523145842003</v>
      </c>
      <c r="E219" s="59" t="s">
        <v>159</v>
      </c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</row>
    <row r="220" spans="1:22" s="59" customFormat="1" x14ac:dyDescent="0.25">
      <c r="A220" s="61" t="s">
        <v>164</v>
      </c>
      <c r="B220" s="61">
        <v>1987</v>
      </c>
      <c r="C220" s="64">
        <v>51.098709676383599</v>
      </c>
      <c r="D220" s="64">
        <v>1.78001352049946</v>
      </c>
      <c r="E220" s="59" t="s">
        <v>159</v>
      </c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</row>
    <row r="221" spans="1:22" s="59" customFormat="1" x14ac:dyDescent="0.25">
      <c r="A221" s="61" t="s">
        <v>164</v>
      </c>
      <c r="B221" s="61">
        <v>1988</v>
      </c>
      <c r="C221" s="64">
        <v>53.658716125341797</v>
      </c>
      <c r="D221" s="64">
        <v>-0.17284882526092901</v>
      </c>
      <c r="E221" s="59" t="s">
        <v>159</v>
      </c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</row>
    <row r="222" spans="1:22" s="59" customFormat="1" x14ac:dyDescent="0.25">
      <c r="A222" s="61" t="s">
        <v>164</v>
      </c>
      <c r="B222" s="61">
        <v>1989</v>
      </c>
      <c r="C222" s="64">
        <v>54.614664882554699</v>
      </c>
      <c r="D222" s="64">
        <v>0.99755854903136298</v>
      </c>
      <c r="E222" s="59" t="s">
        <v>159</v>
      </c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</row>
    <row r="223" spans="1:22" s="59" customFormat="1" x14ac:dyDescent="0.25">
      <c r="A223" s="61" t="s">
        <v>164</v>
      </c>
      <c r="B223" s="61">
        <v>1990</v>
      </c>
      <c r="C223" s="64">
        <v>55.223246117385003</v>
      </c>
      <c r="D223" s="64">
        <v>1.9275140029591</v>
      </c>
      <c r="E223" s="59" t="s">
        <v>159</v>
      </c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</row>
    <row r="224" spans="1:22" s="59" customFormat="1" x14ac:dyDescent="0.25">
      <c r="A224" s="61" t="s">
        <v>164</v>
      </c>
      <c r="B224" s="61">
        <v>1991</v>
      </c>
      <c r="C224" s="64">
        <v>57.308434539470703</v>
      </c>
      <c r="D224" s="64">
        <v>3.1046289614814699</v>
      </c>
      <c r="E224" s="59" t="s">
        <v>159</v>
      </c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</row>
    <row r="225" spans="1:22" s="59" customFormat="1" x14ac:dyDescent="0.25">
      <c r="A225" s="61" t="s">
        <v>164</v>
      </c>
      <c r="B225" s="61">
        <v>1992</v>
      </c>
      <c r="C225" s="64">
        <v>59.713488036081102</v>
      </c>
      <c r="D225" s="64">
        <v>3.5231049814781001</v>
      </c>
      <c r="E225" s="59" t="s">
        <v>159</v>
      </c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</row>
    <row r="226" spans="1:22" s="59" customFormat="1" x14ac:dyDescent="0.25">
      <c r="A226" s="61" t="s">
        <v>164</v>
      </c>
      <c r="B226" s="61">
        <v>1993</v>
      </c>
      <c r="C226" s="64">
        <v>61.357370955639801</v>
      </c>
      <c r="D226" s="64">
        <v>2.7866370789358501</v>
      </c>
      <c r="E226" s="59" t="s">
        <v>156</v>
      </c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</row>
    <row r="227" spans="1:22" s="59" customFormat="1" x14ac:dyDescent="0.25">
      <c r="A227" s="61" t="s">
        <v>164</v>
      </c>
      <c r="B227" s="61">
        <v>1994</v>
      </c>
      <c r="C227" s="64">
        <v>63.450181268675898</v>
      </c>
      <c r="D227" s="64">
        <v>5.0513843415679496</v>
      </c>
      <c r="E227" s="59" t="s">
        <v>156</v>
      </c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</row>
    <row r="228" spans="1:22" s="59" customFormat="1" x14ac:dyDescent="0.25">
      <c r="A228" s="61" t="s">
        <v>164</v>
      </c>
      <c r="B228" s="61">
        <v>1995</v>
      </c>
      <c r="C228" s="64">
        <v>63.160232214763703</v>
      </c>
      <c r="D228" s="64">
        <v>4.1863490739812104</v>
      </c>
      <c r="E228" s="59" t="s">
        <v>156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</row>
    <row r="229" spans="1:22" s="59" customFormat="1" x14ac:dyDescent="0.25">
      <c r="A229" s="61" t="s">
        <v>164</v>
      </c>
      <c r="B229" s="61">
        <v>1996</v>
      </c>
      <c r="C229" s="64">
        <v>61.466132295569203</v>
      </c>
      <c r="D229" s="64">
        <v>5.0997663359063896</v>
      </c>
      <c r="E229" s="59" t="s">
        <v>156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</row>
    <row r="230" spans="1:22" s="59" customFormat="1" x14ac:dyDescent="0.25">
      <c r="A230" s="61" t="s">
        <v>164</v>
      </c>
      <c r="B230" s="61">
        <v>1997</v>
      </c>
      <c r="C230" s="64">
        <v>58.178666523704898</v>
      </c>
      <c r="D230" s="64">
        <v>5.3926403470454503</v>
      </c>
      <c r="E230" s="59" t="s">
        <v>159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</row>
    <row r="231" spans="1:22" s="59" customFormat="1" x14ac:dyDescent="0.25">
      <c r="A231" s="61" t="s">
        <v>164</v>
      </c>
      <c r="B231" s="61">
        <v>1998</v>
      </c>
      <c r="C231" s="64">
        <v>56.624662387316299</v>
      </c>
      <c r="D231" s="64">
        <v>2.6827834907742201</v>
      </c>
      <c r="E231" s="59" t="s">
        <v>159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</row>
    <row r="232" spans="1:22" s="59" customFormat="1" x14ac:dyDescent="0.25">
      <c r="A232" s="61" t="s">
        <v>164</v>
      </c>
      <c r="B232" s="61">
        <v>1999</v>
      </c>
      <c r="C232" s="64">
        <v>52.2713091427973</v>
      </c>
      <c r="D232" s="64">
        <v>2.0257705900823799</v>
      </c>
      <c r="E232" s="59" t="s">
        <v>159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</row>
    <row r="233" spans="1:22" s="59" customFormat="1" x14ac:dyDescent="0.25">
      <c r="A233" s="61" t="s">
        <v>164</v>
      </c>
      <c r="B233" s="61">
        <v>2000</v>
      </c>
      <c r="C233" s="64">
        <v>43.761443115227799</v>
      </c>
      <c r="D233" s="64">
        <v>3.2535679946216902</v>
      </c>
      <c r="E233" s="59" t="s">
        <v>159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</row>
    <row r="234" spans="1:22" s="59" customFormat="1" x14ac:dyDescent="0.25">
      <c r="A234" s="61" t="s">
        <v>164</v>
      </c>
      <c r="B234" s="61">
        <v>2001</v>
      </c>
      <c r="C234" s="64">
        <v>41.9613635328488</v>
      </c>
      <c r="D234" s="64">
        <v>1.99015413560657</v>
      </c>
      <c r="E234" s="59" t="s">
        <v>159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</row>
    <row r="235" spans="1:22" s="59" customFormat="1" x14ac:dyDescent="0.25">
      <c r="A235" s="61" t="s">
        <v>164</v>
      </c>
      <c r="B235" s="61">
        <v>2002</v>
      </c>
      <c r="C235" s="64">
        <v>41.801332628515098</v>
      </c>
      <c r="D235" s="64">
        <v>1.5020556300011001</v>
      </c>
      <c r="E235" s="59" t="s">
        <v>159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</row>
    <row r="236" spans="1:22" s="59" customFormat="1" x14ac:dyDescent="0.25">
      <c r="A236" s="61" t="s">
        <v>164</v>
      </c>
      <c r="B236" s="61">
        <v>2003</v>
      </c>
      <c r="C236" s="64">
        <v>39.504715057440301</v>
      </c>
      <c r="D236" s="64">
        <v>1.0135240342473499</v>
      </c>
      <c r="E236" s="59" t="s">
        <v>159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</row>
    <row r="237" spans="1:22" s="59" customFormat="1" x14ac:dyDescent="0.25">
      <c r="A237" s="61" t="s">
        <v>164</v>
      </c>
      <c r="B237" s="61">
        <v>2004</v>
      </c>
      <c r="C237" s="64">
        <v>36.0766247475675</v>
      </c>
      <c r="D237" s="64">
        <v>3.8641263641794299</v>
      </c>
      <c r="E237" s="59" t="s">
        <v>159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</row>
    <row r="238" spans="1:22" s="59" customFormat="1" x14ac:dyDescent="0.25">
      <c r="A238" s="61" t="s">
        <v>164</v>
      </c>
      <c r="B238" s="61">
        <v>2005</v>
      </c>
      <c r="C238" s="64">
        <v>32.184332791974199</v>
      </c>
      <c r="D238" s="64">
        <v>2.73920744287439</v>
      </c>
      <c r="E238" s="59" t="s">
        <v>159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</row>
    <row r="239" spans="1:22" s="59" customFormat="1" x14ac:dyDescent="0.25">
      <c r="A239" s="61" t="s">
        <v>164</v>
      </c>
      <c r="B239" s="61">
        <v>2006</v>
      </c>
      <c r="C239" s="64">
        <v>28.695573655866699</v>
      </c>
      <c r="D239" s="64">
        <v>2.2808885419912901</v>
      </c>
      <c r="E239" s="59" t="s">
        <v>158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</row>
    <row r="240" spans="1:22" s="59" customFormat="1" x14ac:dyDescent="0.25">
      <c r="A240" s="61" t="s">
        <v>164</v>
      </c>
      <c r="B240" s="61">
        <v>2007</v>
      </c>
      <c r="C240" s="64">
        <v>27.173259087176302</v>
      </c>
      <c r="D240" s="64">
        <v>3.1340917857372701</v>
      </c>
      <c r="E240" s="59" t="s">
        <v>158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</row>
    <row r="241" spans="1:22" s="59" customFormat="1" x14ac:dyDescent="0.25">
      <c r="A241" s="61" t="s">
        <v>164</v>
      </c>
      <c r="B241" s="61">
        <v>2008</v>
      </c>
      <c r="C241" s="64">
        <v>23.324778677717099</v>
      </c>
      <c r="D241" s="64">
        <v>2.13213029844797</v>
      </c>
      <c r="E241" s="59" t="s">
        <v>158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</row>
    <row r="242" spans="1:22" s="59" customFormat="1" x14ac:dyDescent="0.25">
      <c r="A242" s="61" t="s">
        <v>164</v>
      </c>
      <c r="B242" s="61">
        <v>2009</v>
      </c>
      <c r="C242" s="64">
        <v>30.237190853550899</v>
      </c>
      <c r="D242" s="64">
        <v>-1.9066760919030901</v>
      </c>
      <c r="E242" s="59" t="s">
        <v>159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</row>
    <row r="243" spans="1:22" s="59" customFormat="1" x14ac:dyDescent="0.25">
      <c r="A243" s="61" t="s">
        <v>165</v>
      </c>
      <c r="B243" s="61">
        <v>1950</v>
      </c>
      <c r="C243" s="64">
        <v>46.339020771513397</v>
      </c>
      <c r="D243" s="64">
        <v>7.9458545282728998</v>
      </c>
      <c r="E243" s="59" t="s">
        <v>159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</row>
    <row r="244" spans="1:22" s="59" customFormat="1" x14ac:dyDescent="0.25">
      <c r="A244" s="61" t="s">
        <v>165</v>
      </c>
      <c r="B244" s="61">
        <v>1951</v>
      </c>
      <c r="C244" s="64">
        <v>41.085274668280199</v>
      </c>
      <c r="D244" s="64">
        <v>0.66770081607876497</v>
      </c>
      <c r="E244" s="59" t="s">
        <v>159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</row>
    <row r="245" spans="1:22" s="59" customFormat="1" x14ac:dyDescent="0.25">
      <c r="A245" s="61" t="s">
        <v>165</v>
      </c>
      <c r="B245" s="61">
        <v>1952</v>
      </c>
      <c r="C245" s="64">
        <v>38.7250769978927</v>
      </c>
      <c r="D245" s="64">
        <v>0.978158917325467</v>
      </c>
      <c r="E245" s="59" t="s">
        <v>159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</row>
    <row r="246" spans="1:22" s="59" customFormat="1" x14ac:dyDescent="0.25">
      <c r="A246" s="61" t="s">
        <v>165</v>
      </c>
      <c r="B246" s="61">
        <v>1953</v>
      </c>
      <c r="C246" s="64">
        <v>36.1387711864407</v>
      </c>
      <c r="D246" s="64">
        <v>5.6893577494692096</v>
      </c>
      <c r="E246" s="59" t="s">
        <v>159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</row>
    <row r="247" spans="1:22" s="59" customFormat="1" x14ac:dyDescent="0.25">
      <c r="A247" s="61" t="s">
        <v>165</v>
      </c>
      <c r="B247" s="61">
        <v>1954</v>
      </c>
      <c r="C247" s="64">
        <v>29.3954159898935</v>
      </c>
      <c r="D247" s="64">
        <v>1.9429360620232901</v>
      </c>
      <c r="E247" s="59" t="s">
        <v>158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</row>
    <row r="248" spans="1:22" s="59" customFormat="1" x14ac:dyDescent="0.25">
      <c r="A248" s="61" t="s">
        <v>165</v>
      </c>
      <c r="B248" s="61">
        <v>1955</v>
      </c>
      <c r="C248" s="64">
        <v>29.840940525587801</v>
      </c>
      <c r="D248" s="64">
        <v>1.0776525648131099</v>
      </c>
      <c r="E248" s="59" t="s">
        <v>158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</row>
    <row r="249" spans="1:22" s="59" customFormat="1" x14ac:dyDescent="0.25">
      <c r="A249" s="61" t="s">
        <v>165</v>
      </c>
      <c r="B249" s="61">
        <v>1956</v>
      </c>
      <c r="C249" s="64">
        <v>28.607455785832101</v>
      </c>
      <c r="D249" s="64">
        <v>1.20933349579626</v>
      </c>
      <c r="E249" s="59" t="s">
        <v>158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</row>
    <row r="250" spans="1:22" s="59" customFormat="1" x14ac:dyDescent="0.25">
      <c r="A250" s="61" t="s">
        <v>165</v>
      </c>
      <c r="B250" s="61">
        <v>1957</v>
      </c>
      <c r="C250" s="64">
        <v>27.085488287192</v>
      </c>
      <c r="D250" s="64">
        <v>7.5876598946576399</v>
      </c>
      <c r="E250" s="59" t="s">
        <v>158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</row>
    <row r="251" spans="1:22" s="59" customFormat="1" x14ac:dyDescent="0.25">
      <c r="A251" s="61" t="s">
        <v>165</v>
      </c>
      <c r="B251" s="61">
        <v>1958</v>
      </c>
      <c r="C251" s="64">
        <v>26.147350029120599</v>
      </c>
      <c r="D251" s="64">
        <v>2.2520002238012502</v>
      </c>
      <c r="E251" s="59" t="s">
        <v>158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</row>
    <row r="252" spans="1:22" s="59" customFormat="1" x14ac:dyDescent="0.25">
      <c r="A252" s="61" t="s">
        <v>165</v>
      </c>
      <c r="B252" s="61">
        <v>1959</v>
      </c>
      <c r="C252" s="64">
        <v>23.119945383888201</v>
      </c>
      <c r="D252" s="64">
        <v>7.4389209597548698</v>
      </c>
      <c r="E252" s="59" t="s">
        <v>158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</row>
    <row r="253" spans="1:22" s="59" customFormat="1" x14ac:dyDescent="0.25">
      <c r="A253" s="61" t="s">
        <v>165</v>
      </c>
      <c r="B253" s="61">
        <v>1960</v>
      </c>
      <c r="C253" s="64">
        <v>19.925954984553499</v>
      </c>
      <c r="D253" s="64">
        <v>2.7934810287751501</v>
      </c>
      <c r="E253" s="59" t="s">
        <v>158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</row>
    <row r="254" spans="1:22" s="59" customFormat="1" x14ac:dyDescent="0.25">
      <c r="A254" s="61" t="s">
        <v>165</v>
      </c>
      <c r="B254" s="61">
        <v>1961</v>
      </c>
      <c r="C254" s="64">
        <v>16.404331813398802</v>
      </c>
      <c r="D254" s="64">
        <v>6.3393365868159597</v>
      </c>
      <c r="E254" s="59" t="s">
        <v>158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</row>
    <row r="255" spans="1:22" s="59" customFormat="1" x14ac:dyDescent="0.25">
      <c r="A255" s="61" t="s">
        <v>165</v>
      </c>
      <c r="B255" s="61">
        <v>1962</v>
      </c>
      <c r="C255" s="64">
        <v>15.0816354330862</v>
      </c>
      <c r="D255" s="64">
        <v>5.5187997949960304</v>
      </c>
      <c r="E255" s="59" t="s">
        <v>158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</row>
    <row r="256" spans="1:22" s="59" customFormat="1" x14ac:dyDescent="0.25">
      <c r="A256" s="61" t="s">
        <v>165</v>
      </c>
      <c r="B256" s="61">
        <v>1963</v>
      </c>
      <c r="C256" s="64">
        <v>13.4740798054604</v>
      </c>
      <c r="D256" s="64">
        <v>0.62700077271222698</v>
      </c>
      <c r="E256" s="59" t="s">
        <v>158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</row>
    <row r="257" spans="1:22" s="59" customFormat="1" x14ac:dyDescent="0.25">
      <c r="A257" s="61" t="s">
        <v>165</v>
      </c>
      <c r="B257" s="61">
        <v>1964</v>
      </c>
      <c r="C257" s="64">
        <v>10.754403777659601</v>
      </c>
      <c r="D257" s="64">
        <v>9.3551855020952601</v>
      </c>
      <c r="E257" s="59" t="s">
        <v>158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</row>
    <row r="258" spans="1:22" s="59" customFormat="1" x14ac:dyDescent="0.25">
      <c r="A258" s="61" t="s">
        <v>165</v>
      </c>
      <c r="B258" s="61">
        <v>1965</v>
      </c>
      <c r="C258" s="64">
        <v>7.86657101865136</v>
      </c>
      <c r="D258" s="64">
        <v>4.5623257027064898</v>
      </c>
      <c r="E258" s="59" t="s">
        <v>158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</row>
    <row r="259" spans="1:22" s="59" customFormat="1" x14ac:dyDescent="0.25">
      <c r="A259" s="61" t="s">
        <v>165</v>
      </c>
      <c r="B259" s="61">
        <v>1966</v>
      </c>
      <c r="C259" s="64">
        <v>6.0962160106484102</v>
      </c>
      <c r="D259" s="64">
        <v>2.7284763129113299</v>
      </c>
      <c r="E259" s="59" t="s">
        <v>158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</row>
    <row r="260" spans="1:22" s="59" customFormat="1" x14ac:dyDescent="0.25">
      <c r="A260" s="61" t="s">
        <v>165</v>
      </c>
      <c r="B260" s="61">
        <v>1967</v>
      </c>
      <c r="C260" s="64">
        <v>5.8197343890257098</v>
      </c>
      <c r="D260" s="64">
        <v>3.3620351519453102</v>
      </c>
      <c r="E260" s="59" t="s">
        <v>158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</row>
    <row r="261" spans="1:22" s="59" customFormat="1" x14ac:dyDescent="0.25">
      <c r="A261" s="61" t="s">
        <v>165</v>
      </c>
      <c r="B261" s="61">
        <v>1968</v>
      </c>
      <c r="C261" s="64">
        <v>5.2929998140995203</v>
      </c>
      <c r="D261" s="64">
        <v>4.1092177307143301</v>
      </c>
      <c r="E261" s="59" t="s">
        <v>158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</row>
    <row r="262" spans="1:22" s="59" customFormat="1" x14ac:dyDescent="0.25">
      <c r="A262" s="61" t="s">
        <v>165</v>
      </c>
      <c r="B262" s="61">
        <v>1969</v>
      </c>
      <c r="C262" s="64">
        <v>4.7524142554309403</v>
      </c>
      <c r="D262" s="64">
        <v>6.3700900838352403</v>
      </c>
      <c r="E262" s="59" t="s">
        <v>158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</row>
    <row r="263" spans="1:22" s="59" customFormat="1" x14ac:dyDescent="0.25">
      <c r="A263" s="61" t="s">
        <v>165</v>
      </c>
      <c r="B263" s="61">
        <v>1970</v>
      </c>
      <c r="C263" s="64">
        <v>4.8066610448408804</v>
      </c>
      <c r="D263" s="64">
        <v>2.0250314116475998</v>
      </c>
      <c r="E263" s="59" t="s">
        <v>158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</row>
    <row r="264" spans="1:22" s="59" customFormat="1" x14ac:dyDescent="0.25">
      <c r="A264" s="61" t="s">
        <v>165</v>
      </c>
      <c r="B264" s="61">
        <v>1971</v>
      </c>
      <c r="C264" s="64">
        <v>5.0172268472651496</v>
      </c>
      <c r="D264" s="64">
        <v>2.6661761883436799</v>
      </c>
      <c r="E264" s="59" t="s">
        <v>158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</row>
    <row r="265" spans="1:22" s="59" customFormat="1" x14ac:dyDescent="0.25">
      <c r="A265" s="61" t="s">
        <v>165</v>
      </c>
      <c r="B265" s="61">
        <v>1972</v>
      </c>
      <c r="C265" s="64">
        <v>5.2844717137835397</v>
      </c>
      <c r="D265" s="64">
        <v>5.27644062251718</v>
      </c>
      <c r="E265" s="59" t="s">
        <v>158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</row>
    <row r="266" spans="1:22" s="59" customFormat="1" x14ac:dyDescent="0.25">
      <c r="A266" s="61" t="s">
        <v>165</v>
      </c>
      <c r="B266" s="61">
        <v>1973</v>
      </c>
      <c r="C266" s="64">
        <v>4.9619713171114999</v>
      </c>
      <c r="D266" s="64">
        <v>3.63135931812129</v>
      </c>
      <c r="E266" s="59" t="s">
        <v>158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</row>
    <row r="267" spans="1:22" s="59" customFormat="1" x14ac:dyDescent="0.25">
      <c r="A267" s="61" t="s">
        <v>165</v>
      </c>
      <c r="B267" s="61">
        <v>1974</v>
      </c>
      <c r="C267" s="64">
        <v>4.5608446528028201</v>
      </c>
      <c r="D267" s="64">
        <v>-0.93243088873657998</v>
      </c>
      <c r="E267" s="59" t="s">
        <v>158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</row>
    <row r="268" spans="1:22" s="59" customFormat="1" x14ac:dyDescent="0.25">
      <c r="A268" s="61" t="s">
        <v>165</v>
      </c>
      <c r="B268" s="61">
        <v>1975</v>
      </c>
      <c r="C268" s="64">
        <v>4.3378801240929201</v>
      </c>
      <c r="D268" s="64">
        <v>-0.660142117931939</v>
      </c>
      <c r="E268" s="59" t="s">
        <v>158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</row>
    <row r="269" spans="1:22" s="59" customFormat="1" x14ac:dyDescent="0.25">
      <c r="A269" s="61" t="s">
        <v>165</v>
      </c>
      <c r="B269" s="61">
        <v>1980</v>
      </c>
      <c r="C269" s="64">
        <v>34.972999999999999</v>
      </c>
      <c r="D269" s="64">
        <v>-0.44157435295318898</v>
      </c>
      <c r="E269" s="59" t="s">
        <v>159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</row>
    <row r="270" spans="1:22" s="59" customFormat="1" x14ac:dyDescent="0.25">
      <c r="A270" s="61" t="s">
        <v>165</v>
      </c>
      <c r="B270" s="61">
        <v>1981</v>
      </c>
      <c r="C270" s="64">
        <v>45.433</v>
      </c>
      <c r="D270" s="64">
        <v>-0.88690382023519598</v>
      </c>
      <c r="E270" s="59" t="s">
        <v>159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</row>
    <row r="271" spans="1:22" s="59" customFormat="1" x14ac:dyDescent="0.25">
      <c r="A271" s="61" t="s">
        <v>165</v>
      </c>
      <c r="B271" s="61">
        <v>1982</v>
      </c>
      <c r="C271" s="64">
        <v>58.548000000000002</v>
      </c>
      <c r="D271" s="64">
        <v>3.7139827441353499</v>
      </c>
      <c r="E271" s="59" t="s">
        <v>159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</row>
    <row r="272" spans="1:22" s="59" customFormat="1" x14ac:dyDescent="0.25">
      <c r="A272" s="61" t="s">
        <v>165</v>
      </c>
      <c r="B272" s="61">
        <v>1983</v>
      </c>
      <c r="C272" s="64">
        <v>70.274000000000001</v>
      </c>
      <c r="D272" s="64">
        <v>2.65185724255999</v>
      </c>
      <c r="E272" s="59" t="s">
        <v>156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</row>
    <row r="273" spans="1:22" s="59" customFormat="1" x14ac:dyDescent="0.25">
      <c r="A273" s="61" t="s">
        <v>165</v>
      </c>
      <c r="B273" s="61">
        <v>1984</v>
      </c>
      <c r="C273" s="64">
        <v>72.978999999999999</v>
      </c>
      <c r="D273" s="64">
        <v>4.1655770989722498</v>
      </c>
      <c r="E273" s="59" t="s">
        <v>156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</row>
    <row r="274" spans="1:22" s="59" customFormat="1" x14ac:dyDescent="0.25">
      <c r="A274" s="61" t="s">
        <v>165</v>
      </c>
      <c r="B274" s="61">
        <v>1985</v>
      </c>
      <c r="C274" s="64">
        <v>70.83</v>
      </c>
      <c r="D274" s="64">
        <v>4.0244344648684898</v>
      </c>
      <c r="E274" s="59" t="s">
        <v>156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</row>
    <row r="275" spans="1:22" s="59" customFormat="1" x14ac:dyDescent="0.25">
      <c r="A275" s="61" t="s">
        <v>165</v>
      </c>
      <c r="B275" s="61">
        <v>1986</v>
      </c>
      <c r="C275" s="64">
        <v>67.730999999999995</v>
      </c>
      <c r="D275" s="64">
        <v>4.9492408925880396</v>
      </c>
      <c r="E275" s="59" t="s">
        <v>156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</row>
    <row r="276" spans="1:22" s="59" customFormat="1" x14ac:dyDescent="0.25">
      <c r="A276" s="61" t="s">
        <v>165</v>
      </c>
      <c r="B276" s="61">
        <v>1987</v>
      </c>
      <c r="C276" s="64">
        <v>64.852000000000004</v>
      </c>
      <c r="D276" s="64">
        <v>0.28993683117541902</v>
      </c>
      <c r="E276" s="59" t="s">
        <v>156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</row>
    <row r="277" spans="1:22" s="59" customFormat="1" x14ac:dyDescent="0.25">
      <c r="A277" s="61" t="s">
        <v>165</v>
      </c>
      <c r="B277" s="61">
        <v>1988</v>
      </c>
      <c r="C277" s="64">
        <v>62.68</v>
      </c>
      <c r="D277" s="64">
        <v>-0.142664109582336</v>
      </c>
      <c r="E277" s="59" t="s">
        <v>156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</row>
    <row r="278" spans="1:22" s="59" customFormat="1" x14ac:dyDescent="0.25">
      <c r="A278" s="61" t="s">
        <v>165</v>
      </c>
      <c r="B278" s="61">
        <v>1989</v>
      </c>
      <c r="C278" s="64">
        <v>61.198</v>
      </c>
      <c r="D278" s="64">
        <v>0.57290040268345199</v>
      </c>
      <c r="E278" s="59" t="s">
        <v>156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</row>
    <row r="279" spans="1:22" s="59" customFormat="1" x14ac:dyDescent="0.25">
      <c r="A279" s="61" t="s">
        <v>165</v>
      </c>
      <c r="B279" s="61">
        <v>1990</v>
      </c>
      <c r="C279" s="64">
        <v>62.523196391355199</v>
      </c>
      <c r="D279" s="64">
        <v>1.60744363496155</v>
      </c>
      <c r="E279" s="59" t="s">
        <v>156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</row>
    <row r="280" spans="1:22" s="59" customFormat="1" x14ac:dyDescent="0.25">
      <c r="A280" s="61" t="s">
        <v>165</v>
      </c>
      <c r="B280" s="61">
        <v>1991</v>
      </c>
      <c r="C280" s="64">
        <v>63.44047037672</v>
      </c>
      <c r="D280" s="64">
        <v>1.3004028432706001</v>
      </c>
      <c r="E280" s="59" t="s">
        <v>156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</row>
    <row r="281" spans="1:22" s="59" customFormat="1" x14ac:dyDescent="0.25">
      <c r="A281" s="61" t="s">
        <v>165</v>
      </c>
      <c r="B281" s="61">
        <v>1992</v>
      </c>
      <c r="C281" s="64">
        <v>67.957577529106203</v>
      </c>
      <c r="D281" s="64">
        <v>1.97544568041923</v>
      </c>
      <c r="E281" s="59" t="s">
        <v>156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</row>
    <row r="282" spans="1:22" s="59" customFormat="1" x14ac:dyDescent="0.25">
      <c r="A282" s="61" t="s">
        <v>165</v>
      </c>
      <c r="B282" s="61">
        <v>1993</v>
      </c>
      <c r="C282" s="64">
        <v>79.819348131023006</v>
      </c>
      <c r="D282" s="64">
        <v>-8.9613444143366E-2</v>
      </c>
      <c r="E282" s="59" t="s">
        <v>156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</row>
    <row r="283" spans="1:22" s="59" customFormat="1" x14ac:dyDescent="0.25">
      <c r="A283" s="61" t="s">
        <v>165</v>
      </c>
      <c r="B283" s="61">
        <v>1994</v>
      </c>
      <c r="C283" s="64">
        <v>76.800638725823902</v>
      </c>
      <c r="D283" s="64">
        <v>5.52541034681611</v>
      </c>
      <c r="E283" s="59" t="s">
        <v>156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</row>
    <row r="284" spans="1:22" s="59" customFormat="1" x14ac:dyDescent="0.25">
      <c r="A284" s="61" t="s">
        <v>165</v>
      </c>
      <c r="B284" s="61">
        <v>1995</v>
      </c>
      <c r="C284" s="64">
        <v>75.524256037036295</v>
      </c>
      <c r="D284" s="64">
        <v>3.0652233312733301</v>
      </c>
      <c r="E284" s="59" t="s">
        <v>156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</row>
    <row r="285" spans="1:22" s="59" customFormat="1" x14ac:dyDescent="0.25">
      <c r="A285" s="61" t="s">
        <v>165</v>
      </c>
      <c r="B285" s="61">
        <v>1996</v>
      </c>
      <c r="C285" s="64">
        <v>73.736079813743004</v>
      </c>
      <c r="D285" s="64">
        <v>2.8345663723742498</v>
      </c>
      <c r="E285" s="59" t="s">
        <v>156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</row>
    <row r="286" spans="1:22" s="59" customFormat="1" x14ac:dyDescent="0.25">
      <c r="A286" s="61" t="s">
        <v>165</v>
      </c>
      <c r="B286" s="61">
        <v>1997</v>
      </c>
      <c r="C286" s="64">
        <v>69.054049251981098</v>
      </c>
      <c r="D286" s="64">
        <v>3.19850784746962</v>
      </c>
      <c r="E286" s="59" t="s">
        <v>156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</row>
    <row r="287" spans="1:22" s="59" customFormat="1" x14ac:dyDescent="0.25">
      <c r="A287" s="61" t="s">
        <v>165</v>
      </c>
      <c r="B287" s="61">
        <v>1998</v>
      </c>
      <c r="C287" s="64">
        <v>63.998556229697002</v>
      </c>
      <c r="D287" s="64">
        <v>2.1603908504249398</v>
      </c>
      <c r="E287" s="59" t="s">
        <v>156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</row>
    <row r="288" spans="1:22" s="59" customFormat="1" x14ac:dyDescent="0.25">
      <c r="A288" s="61" t="s">
        <v>165</v>
      </c>
      <c r="B288" s="61">
        <v>1999</v>
      </c>
      <c r="C288" s="64">
        <v>60.866770501124897</v>
      </c>
      <c r="D288" s="64">
        <v>2.5604415352309799</v>
      </c>
      <c r="E288" s="59" t="s">
        <v>156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</row>
    <row r="289" spans="1:22" s="59" customFormat="1" x14ac:dyDescent="0.25">
      <c r="A289" s="61" t="s">
        <v>165</v>
      </c>
      <c r="B289" s="61">
        <v>2000</v>
      </c>
      <c r="C289" s="64">
        <v>54.963059136294802</v>
      </c>
      <c r="D289" s="64">
        <v>3.5287152161042101</v>
      </c>
      <c r="E289" s="59" t="s">
        <v>159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</row>
    <row r="290" spans="1:22" s="59" customFormat="1" x14ac:dyDescent="0.25">
      <c r="A290" s="61" t="s">
        <v>165</v>
      </c>
      <c r="B290" s="61">
        <v>2001</v>
      </c>
      <c r="C290" s="64">
        <v>52.021173845658502</v>
      </c>
      <c r="D290" s="64">
        <v>0.70488823491226005</v>
      </c>
      <c r="E290" s="59" t="s">
        <v>159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</row>
    <row r="291" spans="1:22" s="59" customFormat="1" x14ac:dyDescent="0.25">
      <c r="A291" s="61" t="s">
        <v>165</v>
      </c>
      <c r="B291" s="61">
        <v>2002</v>
      </c>
      <c r="C291" s="64">
        <v>51.619388959307699</v>
      </c>
      <c r="D291" s="64">
        <v>0.46581765579374301</v>
      </c>
      <c r="E291" s="59" t="s">
        <v>159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</row>
    <row r="292" spans="1:22" s="59" customFormat="1" x14ac:dyDescent="0.25">
      <c r="A292" s="61" t="s">
        <v>165</v>
      </c>
      <c r="B292" s="61">
        <v>2003</v>
      </c>
      <c r="C292" s="64">
        <v>49.611263020368497</v>
      </c>
      <c r="D292" s="64">
        <v>0.38375898957725402</v>
      </c>
      <c r="E292" s="59" t="s">
        <v>159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</row>
    <row r="293" spans="1:22" s="59" customFormat="1" x14ac:dyDescent="0.25">
      <c r="A293" s="61" t="s">
        <v>165</v>
      </c>
      <c r="B293" s="61">
        <v>2004</v>
      </c>
      <c r="C293" s="64">
        <v>46.958763589736598</v>
      </c>
      <c r="D293" s="64">
        <v>2.2964908128953399</v>
      </c>
      <c r="E293" s="59" t="s">
        <v>159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</row>
    <row r="294" spans="1:22" s="59" customFormat="1" x14ac:dyDescent="0.25">
      <c r="A294" s="61" t="s">
        <v>165</v>
      </c>
      <c r="B294" s="61">
        <v>2005</v>
      </c>
      <c r="C294" s="64">
        <v>39.291769669829002</v>
      </c>
      <c r="D294" s="64">
        <v>2.4451801936833801</v>
      </c>
      <c r="E294" s="59" t="s">
        <v>159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</row>
    <row r="295" spans="1:22" s="59" customFormat="1" x14ac:dyDescent="0.25">
      <c r="A295" s="61" t="s">
        <v>165</v>
      </c>
      <c r="B295" s="61">
        <v>2006</v>
      </c>
      <c r="C295" s="64">
        <v>32.803092169492203</v>
      </c>
      <c r="D295" s="64">
        <v>3.3439560974157598</v>
      </c>
      <c r="E295" s="59" t="s">
        <v>159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</row>
    <row r="296" spans="1:22" s="59" customFormat="1" x14ac:dyDescent="0.25">
      <c r="A296" s="61" t="s">
        <v>165</v>
      </c>
      <c r="B296" s="61">
        <v>2007</v>
      </c>
      <c r="C296" s="64">
        <v>27.885821943373099</v>
      </c>
      <c r="D296" s="64">
        <v>1.6465430324917201</v>
      </c>
      <c r="E296" s="59" t="s">
        <v>158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</row>
    <row r="297" spans="1:22" s="59" customFormat="1" x14ac:dyDescent="0.25">
      <c r="A297" s="61" t="s">
        <v>165</v>
      </c>
      <c r="B297" s="61">
        <v>2008</v>
      </c>
      <c r="C297" s="64">
        <v>32.433113308160102</v>
      </c>
      <c r="D297" s="64">
        <v>-1.20182205264322</v>
      </c>
      <c r="E297" s="59" t="s">
        <v>159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</row>
    <row r="298" spans="1:22" s="59" customFormat="1" x14ac:dyDescent="0.25">
      <c r="A298" s="61" t="s">
        <v>165</v>
      </c>
      <c r="B298" s="61">
        <v>2009</v>
      </c>
      <c r="C298" s="64">
        <v>37.721500842163103</v>
      </c>
      <c r="D298" s="64">
        <v>-2.4330229554624498</v>
      </c>
      <c r="E298" s="59" t="s">
        <v>159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</row>
    <row r="299" spans="1:22" s="59" customFormat="1" x14ac:dyDescent="0.25">
      <c r="A299" s="61" t="s">
        <v>166</v>
      </c>
      <c r="B299" s="61">
        <v>1946</v>
      </c>
      <c r="C299" s="64">
        <v>70.621891110557598</v>
      </c>
      <c r="D299" s="64">
        <v>8.1321239686252191</v>
      </c>
      <c r="E299" s="59" t="s">
        <v>156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</row>
    <row r="300" spans="1:22" s="59" customFormat="1" x14ac:dyDescent="0.25">
      <c r="A300" s="61" t="s">
        <v>166</v>
      </c>
      <c r="B300" s="61">
        <v>1947</v>
      </c>
      <c r="C300" s="64">
        <v>52.548021508628999</v>
      </c>
      <c r="D300" s="64">
        <v>2.3245278926939101</v>
      </c>
      <c r="E300" s="59" t="s">
        <v>159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</row>
    <row r="301" spans="1:22" s="59" customFormat="1" x14ac:dyDescent="0.25">
      <c r="A301" s="61" t="s">
        <v>166</v>
      </c>
      <c r="B301" s="61">
        <v>1948</v>
      </c>
      <c r="C301" s="64">
        <v>39.0101447141395</v>
      </c>
      <c r="D301" s="64">
        <v>7.9287138045541798</v>
      </c>
      <c r="E301" s="59" t="s">
        <v>159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</row>
    <row r="302" spans="1:22" s="59" customFormat="1" x14ac:dyDescent="0.25">
      <c r="A302" s="61" t="s">
        <v>166</v>
      </c>
      <c r="B302" s="61">
        <v>1949</v>
      </c>
      <c r="C302" s="64">
        <v>26.6428356663214</v>
      </c>
      <c r="D302" s="64">
        <v>6.0668387105109201</v>
      </c>
      <c r="E302" s="59" t="s">
        <v>158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</row>
    <row r="303" spans="1:22" s="59" customFormat="1" x14ac:dyDescent="0.25">
      <c r="A303" s="61" t="s">
        <v>166</v>
      </c>
      <c r="B303" s="61">
        <v>1950</v>
      </c>
      <c r="C303" s="64">
        <v>25.475267214826602</v>
      </c>
      <c r="D303" s="64">
        <v>3.8445820972695701</v>
      </c>
      <c r="E303" s="59" t="s">
        <v>158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</row>
    <row r="304" spans="1:22" s="59" customFormat="1" x14ac:dyDescent="0.25">
      <c r="A304" s="61" t="s">
        <v>166</v>
      </c>
      <c r="B304" s="61">
        <v>1951</v>
      </c>
      <c r="C304" s="64">
        <v>19.167778218018999</v>
      </c>
      <c r="D304" s="64">
        <v>8.5039000645123402</v>
      </c>
      <c r="E304" s="59" t="s">
        <v>158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</row>
    <row r="305" spans="1:22" s="59" customFormat="1" x14ac:dyDescent="0.25">
      <c r="A305" s="61" t="s">
        <v>166</v>
      </c>
      <c r="B305" s="61">
        <v>1952</v>
      </c>
      <c r="C305" s="64">
        <v>13.1233409815295</v>
      </c>
      <c r="D305" s="64">
        <v>3.35117020701583</v>
      </c>
      <c r="E305" s="59" t="s">
        <v>158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</row>
    <row r="306" spans="1:22" s="59" customFormat="1" x14ac:dyDescent="0.25">
      <c r="A306" s="61" t="s">
        <v>166</v>
      </c>
      <c r="B306" s="61">
        <v>1953</v>
      </c>
      <c r="C306" s="64">
        <v>18.310299646882601</v>
      </c>
      <c r="D306" s="64">
        <v>0.70080016735525297</v>
      </c>
      <c r="E306" s="59" t="s">
        <v>158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</row>
    <row r="307" spans="1:22" s="59" customFormat="1" x14ac:dyDescent="0.25">
      <c r="A307" s="61" t="s">
        <v>166</v>
      </c>
      <c r="B307" s="61">
        <v>1954</v>
      </c>
      <c r="C307" s="64">
        <v>18.946201147359702</v>
      </c>
      <c r="D307" s="64">
        <v>8.7561672292910995</v>
      </c>
      <c r="E307" s="59" t="s">
        <v>158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</row>
    <row r="308" spans="1:22" s="59" customFormat="1" x14ac:dyDescent="0.25">
      <c r="A308" s="61" t="s">
        <v>166</v>
      </c>
      <c r="B308" s="61">
        <v>1955</v>
      </c>
      <c r="C308" s="64">
        <v>17.040489549455401</v>
      </c>
      <c r="D308" s="64">
        <v>5.09526765674992</v>
      </c>
      <c r="E308" s="59" t="s">
        <v>158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</row>
    <row r="309" spans="1:22" s="59" customFormat="1" x14ac:dyDescent="0.25">
      <c r="A309" s="61" t="s">
        <v>166</v>
      </c>
      <c r="B309" s="61">
        <v>1956</v>
      </c>
      <c r="C309" s="64">
        <v>16.591476211723101</v>
      </c>
      <c r="D309" s="64">
        <v>3.0216284987277402</v>
      </c>
      <c r="E309" s="59" t="s">
        <v>158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</row>
    <row r="310" spans="1:22" s="59" customFormat="1" x14ac:dyDescent="0.25">
      <c r="A310" s="61" t="s">
        <v>166</v>
      </c>
      <c r="B310" s="61">
        <v>1957</v>
      </c>
      <c r="C310" s="64">
        <v>16.889207796218201</v>
      </c>
      <c r="D310" s="64">
        <v>4.7016274864376104</v>
      </c>
      <c r="E310" s="59" t="s">
        <v>158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</row>
    <row r="311" spans="1:22" s="59" customFormat="1" x14ac:dyDescent="0.25">
      <c r="A311" s="61" t="s">
        <v>166</v>
      </c>
      <c r="B311" s="61">
        <v>1958</v>
      </c>
      <c r="C311" s="64">
        <v>16.064362053361702</v>
      </c>
      <c r="D311" s="64">
        <v>0.53919710181558</v>
      </c>
      <c r="E311" s="59" t="s">
        <v>158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</row>
    <row r="312" spans="1:22" s="59" customFormat="1" x14ac:dyDescent="0.25">
      <c r="A312" s="61" t="s">
        <v>166</v>
      </c>
      <c r="B312" s="61">
        <v>1959</v>
      </c>
      <c r="C312" s="64">
        <v>15.0504656076173</v>
      </c>
      <c r="D312" s="64">
        <v>5.9412578036619701</v>
      </c>
      <c r="E312" s="59" t="s">
        <v>158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</row>
    <row r="313" spans="1:22" s="59" customFormat="1" x14ac:dyDescent="0.25">
      <c r="A313" s="61" t="s">
        <v>166</v>
      </c>
      <c r="B313" s="61">
        <v>1960</v>
      </c>
      <c r="C313" s="64">
        <v>12.7940491025141</v>
      </c>
      <c r="D313" s="64">
        <v>9.1477160371761901</v>
      </c>
      <c r="E313" s="59" t="s">
        <v>158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</row>
    <row r="314" spans="1:22" s="59" customFormat="1" x14ac:dyDescent="0.25">
      <c r="A314" s="61" t="s">
        <v>166</v>
      </c>
      <c r="B314" s="61">
        <v>1961</v>
      </c>
      <c r="C314" s="64">
        <v>10.1285688416732</v>
      </c>
      <c r="D314" s="64">
        <v>7.6201173998115896</v>
      </c>
      <c r="E314" s="59" t="s">
        <v>158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</row>
    <row r="315" spans="1:22" s="59" customFormat="1" x14ac:dyDescent="0.25">
      <c r="A315" s="61" t="s">
        <v>166</v>
      </c>
      <c r="B315" s="61">
        <v>1962</v>
      </c>
      <c r="C315" s="64">
        <v>11.5164884891679</v>
      </c>
      <c r="D315" s="64">
        <v>3.11774014342951</v>
      </c>
      <c r="E315" s="59" t="s">
        <v>158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</row>
    <row r="316" spans="1:22" s="59" customFormat="1" x14ac:dyDescent="0.25">
      <c r="A316" s="61" t="s">
        <v>166</v>
      </c>
      <c r="B316" s="61">
        <v>1963</v>
      </c>
      <c r="C316" s="64">
        <v>13.4411370892986</v>
      </c>
      <c r="D316" s="64">
        <v>3.29447872791981</v>
      </c>
      <c r="E316" s="59" t="s">
        <v>158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</row>
    <row r="317" spans="1:22" s="59" customFormat="1" x14ac:dyDescent="0.25">
      <c r="A317" s="61" t="s">
        <v>166</v>
      </c>
      <c r="B317" s="61">
        <v>1964</v>
      </c>
      <c r="C317" s="64">
        <v>13.6303825037434</v>
      </c>
      <c r="D317" s="64">
        <v>5.0543684410165701</v>
      </c>
      <c r="E317" s="59" t="s">
        <v>158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</row>
    <row r="318" spans="1:22" s="59" customFormat="1" x14ac:dyDescent="0.25">
      <c r="A318" s="61" t="s">
        <v>166</v>
      </c>
      <c r="B318" s="61">
        <v>1965</v>
      </c>
      <c r="C318" s="64">
        <v>14.2290858039475</v>
      </c>
      <c r="D318" s="64">
        <v>5.3166842184443999</v>
      </c>
      <c r="E318" s="59" t="s">
        <v>158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</row>
    <row r="319" spans="1:22" s="59" customFormat="1" x14ac:dyDescent="0.25">
      <c r="A319" s="61" t="s">
        <v>166</v>
      </c>
      <c r="B319" s="61">
        <v>1966</v>
      </c>
      <c r="C319" s="64">
        <v>15.183711316308001</v>
      </c>
      <c r="D319" s="64">
        <v>2.40271984458031</v>
      </c>
      <c r="E319" s="59" t="s">
        <v>158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</row>
    <row r="320" spans="1:22" s="59" customFormat="1" x14ac:dyDescent="0.25">
      <c r="A320" s="61" t="s">
        <v>166</v>
      </c>
      <c r="B320" s="61">
        <v>1967</v>
      </c>
      <c r="C320" s="64">
        <v>15.829522720777399</v>
      </c>
      <c r="D320" s="64">
        <v>2.1119883938286499</v>
      </c>
      <c r="E320" s="59" t="s">
        <v>158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</row>
    <row r="321" spans="1:22" s="59" customFormat="1" x14ac:dyDescent="0.25">
      <c r="A321" s="61" t="s">
        <v>166</v>
      </c>
      <c r="B321" s="61">
        <v>1968</v>
      </c>
      <c r="C321" s="64">
        <v>15.6878140703518</v>
      </c>
      <c r="D321" s="64">
        <v>2.3005464480874398</v>
      </c>
      <c r="E321" s="59" t="s">
        <v>158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</row>
    <row r="322" spans="1:22" s="59" customFormat="1" x14ac:dyDescent="0.25">
      <c r="A322" s="61" t="s">
        <v>166</v>
      </c>
      <c r="B322" s="61">
        <v>1969</v>
      </c>
      <c r="C322" s="64">
        <v>12.0849716033202</v>
      </c>
      <c r="D322" s="64">
        <v>9.6308957854815507</v>
      </c>
      <c r="E322" s="59" t="s">
        <v>158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</row>
    <row r="323" spans="1:22" s="59" customFormat="1" x14ac:dyDescent="0.25">
      <c r="A323" s="61" t="s">
        <v>166</v>
      </c>
      <c r="B323" s="61">
        <v>1970</v>
      </c>
      <c r="C323" s="64">
        <v>10.2244510443546</v>
      </c>
      <c r="D323" s="64">
        <v>7.4693042291951004</v>
      </c>
      <c r="E323" s="59" t="s">
        <v>158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</row>
    <row r="324" spans="1:22" s="59" customFormat="1" x14ac:dyDescent="0.25">
      <c r="A324" s="61" t="s">
        <v>166</v>
      </c>
      <c r="B324" s="61">
        <v>1971</v>
      </c>
      <c r="C324" s="64">
        <v>8.8901257931648701</v>
      </c>
      <c r="D324" s="64">
        <v>2.0900394432606499</v>
      </c>
      <c r="E324" s="59" t="s">
        <v>158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</row>
    <row r="325" spans="1:22" s="59" customFormat="1" x14ac:dyDescent="0.25">
      <c r="A325" s="61" t="s">
        <v>166</v>
      </c>
      <c r="B325" s="61">
        <v>1972</v>
      </c>
      <c r="C325" s="64">
        <v>7.3411674787427197</v>
      </c>
      <c r="D325" s="64">
        <v>7.6316724398259197</v>
      </c>
      <c r="E325" s="59" t="s">
        <v>158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</row>
    <row r="326" spans="1:22" s="59" customFormat="1" x14ac:dyDescent="0.25">
      <c r="A326" s="61" t="s">
        <v>166</v>
      </c>
      <c r="B326" s="61">
        <v>1973</v>
      </c>
      <c r="C326" s="64">
        <v>4.94365115440681</v>
      </c>
      <c r="D326" s="64">
        <v>6.7068264807212303</v>
      </c>
      <c r="E326" s="59" t="s">
        <v>158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</row>
    <row r="327" spans="1:22" s="59" customFormat="1" x14ac:dyDescent="0.25">
      <c r="A327" s="61" t="s">
        <v>166</v>
      </c>
      <c r="B327" s="61">
        <v>1974</v>
      </c>
      <c r="C327" s="64">
        <v>3.2791095890410999</v>
      </c>
      <c r="D327" s="64">
        <v>3.0295414121104298</v>
      </c>
      <c r="E327" s="59" t="s">
        <v>158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</row>
    <row r="328" spans="1:22" s="59" customFormat="1" x14ac:dyDescent="0.25">
      <c r="A328" s="61" t="s">
        <v>166</v>
      </c>
      <c r="B328" s="61">
        <v>1975</v>
      </c>
      <c r="C328" s="64">
        <v>3.6825527322535798</v>
      </c>
      <c r="D328" s="64">
        <v>1.1521645305961701</v>
      </c>
      <c r="E328" s="59" t="s">
        <v>158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</row>
    <row r="329" spans="1:22" s="59" customFormat="1" x14ac:dyDescent="0.25">
      <c r="A329" s="61" t="s">
        <v>166</v>
      </c>
      <c r="B329" s="61">
        <v>1976</v>
      </c>
      <c r="C329" s="64">
        <v>4.2608714149675304</v>
      </c>
      <c r="D329" s="64">
        <v>-0.42482144513496001</v>
      </c>
      <c r="E329" s="59" t="s">
        <v>158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</row>
    <row r="330" spans="1:22" s="59" customFormat="1" x14ac:dyDescent="0.25">
      <c r="A330" s="61" t="s">
        <v>166</v>
      </c>
      <c r="B330" s="61">
        <v>1977</v>
      </c>
      <c r="C330" s="64">
        <v>5.6852494265666804</v>
      </c>
      <c r="D330" s="64">
        <v>0.24591996422982401</v>
      </c>
      <c r="E330" s="59" t="s">
        <v>158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</row>
    <row r="331" spans="1:22" s="59" customFormat="1" x14ac:dyDescent="0.25">
      <c r="A331" s="61" t="s">
        <v>166</v>
      </c>
      <c r="B331" s="61">
        <v>1978</v>
      </c>
      <c r="C331" s="64">
        <v>8.3527014737977296</v>
      </c>
      <c r="D331" s="64">
        <v>2.0926256318763099</v>
      </c>
      <c r="E331" s="59" t="s">
        <v>158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</row>
    <row r="332" spans="1:22" s="59" customFormat="1" x14ac:dyDescent="0.25">
      <c r="A332" s="61" t="s">
        <v>166</v>
      </c>
      <c r="B332" s="61">
        <v>1979</v>
      </c>
      <c r="C332" s="64">
        <v>8.9759448191935594</v>
      </c>
      <c r="D332" s="64">
        <v>6.9574398368951904</v>
      </c>
      <c r="E332" s="59" t="s">
        <v>158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</row>
    <row r="333" spans="1:22" s="59" customFormat="1" x14ac:dyDescent="0.25">
      <c r="A333" s="61" t="s">
        <v>166</v>
      </c>
      <c r="B333" s="61">
        <v>1980</v>
      </c>
      <c r="C333" s="64">
        <v>9.21149763217859</v>
      </c>
      <c r="D333" s="64">
        <v>5.3339233439989098</v>
      </c>
      <c r="E333" s="59" t="s">
        <v>158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</row>
    <row r="334" spans="1:22" s="59" customFormat="1" x14ac:dyDescent="0.25">
      <c r="A334" s="61" t="s">
        <v>166</v>
      </c>
      <c r="B334" s="61">
        <v>1981</v>
      </c>
      <c r="C334" s="64">
        <v>10.008594951596899</v>
      </c>
      <c r="D334" s="64">
        <v>1.26938826157093</v>
      </c>
      <c r="E334" s="59" t="s">
        <v>158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</row>
    <row r="335" spans="1:22" s="59" customFormat="1" x14ac:dyDescent="0.25">
      <c r="A335" s="61" t="s">
        <v>166</v>
      </c>
      <c r="B335" s="61">
        <v>1982</v>
      </c>
      <c r="C335" s="64">
        <v>12.2069650490138</v>
      </c>
      <c r="D335" s="64">
        <v>3.02402803474937</v>
      </c>
      <c r="E335" s="59" t="s">
        <v>158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</row>
    <row r="336" spans="1:22" s="59" customFormat="1" x14ac:dyDescent="0.25">
      <c r="A336" s="61" t="s">
        <v>166</v>
      </c>
      <c r="B336" s="61">
        <v>1983</v>
      </c>
      <c r="C336" s="64">
        <v>13.7862765915818</v>
      </c>
      <c r="D336" s="64">
        <v>2.9471580975488001</v>
      </c>
      <c r="E336" s="59" t="s">
        <v>158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</row>
    <row r="337" spans="1:22" s="59" customFormat="1" x14ac:dyDescent="0.25">
      <c r="A337" s="61" t="s">
        <v>166</v>
      </c>
      <c r="B337" s="61">
        <v>1984</v>
      </c>
      <c r="C337" s="64">
        <v>14.303823900448799</v>
      </c>
      <c r="D337" s="64">
        <v>3.0441664067283498</v>
      </c>
      <c r="E337" s="59" t="s">
        <v>158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</row>
    <row r="338" spans="1:22" s="59" customFormat="1" x14ac:dyDescent="0.25">
      <c r="A338" s="61" t="s">
        <v>166</v>
      </c>
      <c r="B338" s="61">
        <v>1985</v>
      </c>
      <c r="C338" s="64">
        <v>13.945603322943301</v>
      </c>
      <c r="D338" s="64">
        <v>3.2804897190393998</v>
      </c>
      <c r="E338" s="59" t="s">
        <v>158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</row>
    <row r="339" spans="1:22" s="59" customFormat="1" x14ac:dyDescent="0.25">
      <c r="A339" s="61" t="s">
        <v>166</v>
      </c>
      <c r="B339" s="61">
        <v>1986</v>
      </c>
      <c r="C339" s="64">
        <v>14.4540509109854</v>
      </c>
      <c r="D339" s="64">
        <v>2.6259227095093398</v>
      </c>
      <c r="E339" s="59" t="s">
        <v>158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</row>
    <row r="340" spans="1:22" s="59" customFormat="1" x14ac:dyDescent="0.25">
      <c r="A340" s="61" t="s">
        <v>166</v>
      </c>
      <c r="B340" s="61">
        <v>1987</v>
      </c>
      <c r="C340" s="64">
        <v>14.980280251953699</v>
      </c>
      <c r="D340" s="64">
        <v>3.5583198468356998</v>
      </c>
      <c r="E340" s="59" t="s">
        <v>158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</row>
    <row r="341" spans="1:22" s="59" customFormat="1" x14ac:dyDescent="0.25">
      <c r="A341" s="61" t="s">
        <v>166</v>
      </c>
      <c r="B341" s="61">
        <v>1988</v>
      </c>
      <c r="C341" s="64">
        <v>13.098849315230099</v>
      </c>
      <c r="D341" s="64">
        <v>5.1009672839443096</v>
      </c>
      <c r="E341" s="59" t="s">
        <v>158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</row>
    <row r="342" spans="1:22" s="59" customFormat="1" x14ac:dyDescent="0.25">
      <c r="A342" s="61" t="s">
        <v>166</v>
      </c>
      <c r="B342" s="61">
        <v>1989</v>
      </c>
      <c r="C342" s="64">
        <v>10.7089186194388</v>
      </c>
      <c r="D342" s="64">
        <v>5.4151238617258004</v>
      </c>
      <c r="E342" s="59" t="s">
        <v>158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</row>
    <row r="343" spans="1:22" s="59" customFormat="1" x14ac:dyDescent="0.25">
      <c r="A343" s="61" t="s">
        <v>166</v>
      </c>
      <c r="B343" s="61">
        <v>1990</v>
      </c>
      <c r="C343" s="64">
        <v>10.3190258131186</v>
      </c>
      <c r="D343" s="64">
        <v>8.2051092938994999E-2</v>
      </c>
      <c r="E343" s="59" t="s">
        <v>158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</row>
    <row r="344" spans="1:22" s="59" customFormat="1" x14ac:dyDescent="0.25">
      <c r="A344" s="61" t="s">
        <v>166</v>
      </c>
      <c r="B344" s="61">
        <v>1991</v>
      </c>
      <c r="C344" s="64">
        <v>16.9008721725783</v>
      </c>
      <c r="D344" s="64">
        <v>-6.2436669798632902</v>
      </c>
      <c r="E344" s="59" t="s">
        <v>158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</row>
    <row r="345" spans="1:22" s="59" customFormat="1" x14ac:dyDescent="0.25">
      <c r="A345" s="61" t="s">
        <v>166</v>
      </c>
      <c r="B345" s="61">
        <v>1992</v>
      </c>
      <c r="C345" s="64">
        <v>33.958911046773203</v>
      </c>
      <c r="D345" s="64">
        <v>-3.7355079583415201</v>
      </c>
      <c r="E345" s="59" t="s">
        <v>159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</row>
    <row r="346" spans="1:22" s="59" customFormat="1" x14ac:dyDescent="0.25">
      <c r="A346" s="61" t="s">
        <v>166</v>
      </c>
      <c r="B346" s="61">
        <v>1993</v>
      </c>
      <c r="C346" s="64">
        <v>51.791588145780501</v>
      </c>
      <c r="D346" s="64">
        <v>-0.92061483190103399</v>
      </c>
      <c r="E346" s="59" t="s">
        <v>159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</row>
    <row r="347" spans="1:22" s="59" customFormat="1" x14ac:dyDescent="0.25">
      <c r="A347" s="61" t="s">
        <v>166</v>
      </c>
      <c r="B347" s="61">
        <v>1994</v>
      </c>
      <c r="C347" s="64">
        <v>58.848587483712599</v>
      </c>
      <c r="D347" s="64">
        <v>3.57348881288888</v>
      </c>
      <c r="E347" s="59" t="s">
        <v>159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</row>
    <row r="348" spans="1:22" s="59" customFormat="1" x14ac:dyDescent="0.25">
      <c r="A348" s="61" t="s">
        <v>166</v>
      </c>
      <c r="B348" s="61">
        <v>1995</v>
      </c>
      <c r="C348" s="64">
        <v>62.683488472039301</v>
      </c>
      <c r="D348" s="64">
        <v>3.9236162912128898</v>
      </c>
      <c r="E348" s="59" t="s">
        <v>156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</row>
    <row r="349" spans="1:22" s="59" customFormat="1" x14ac:dyDescent="0.25">
      <c r="A349" s="61" t="s">
        <v>166</v>
      </c>
      <c r="B349" s="61">
        <v>1996</v>
      </c>
      <c r="C349" s="64">
        <v>66.614641136679197</v>
      </c>
      <c r="D349" s="64">
        <v>3.6998755861805002</v>
      </c>
      <c r="E349" s="59" t="s">
        <v>156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</row>
    <row r="350" spans="1:22" s="59" customFormat="1" x14ac:dyDescent="0.25">
      <c r="A350" s="61" t="s">
        <v>166</v>
      </c>
      <c r="B350" s="61">
        <v>1997</v>
      </c>
      <c r="C350" s="64">
        <v>64.856455476187406</v>
      </c>
      <c r="D350" s="64">
        <v>6.1999335523644303</v>
      </c>
      <c r="E350" s="59" t="s">
        <v>156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</row>
    <row r="351" spans="1:22" s="59" customFormat="1" x14ac:dyDescent="0.25">
      <c r="A351" s="61" t="s">
        <v>166</v>
      </c>
      <c r="B351" s="61">
        <v>1998</v>
      </c>
      <c r="C351" s="64">
        <v>59.624309188371299</v>
      </c>
      <c r="D351" s="64">
        <v>5.2253332638128498</v>
      </c>
      <c r="E351" s="59" t="s">
        <v>159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</row>
    <row r="352" spans="1:22" s="59" customFormat="1" x14ac:dyDescent="0.25">
      <c r="A352" s="61" t="s">
        <v>166</v>
      </c>
      <c r="B352" s="61">
        <v>1999</v>
      </c>
      <c r="C352" s="64">
        <v>55.4688746841301</v>
      </c>
      <c r="D352" s="64">
        <v>3.9211476046148599</v>
      </c>
      <c r="E352" s="59" t="s">
        <v>159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</row>
    <row r="353" spans="1:22" s="59" customFormat="1" x14ac:dyDescent="0.25">
      <c r="A353" s="61" t="s">
        <v>166</v>
      </c>
      <c r="B353" s="61">
        <v>2000</v>
      </c>
      <c r="C353" s="64">
        <v>47.834287432054602</v>
      </c>
      <c r="D353" s="64">
        <v>5.0566217665991102</v>
      </c>
      <c r="E353" s="59" t="s">
        <v>159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</row>
    <row r="354" spans="1:22" s="59" customFormat="1" x14ac:dyDescent="0.25">
      <c r="A354" s="61" t="s">
        <v>166</v>
      </c>
      <c r="B354" s="61">
        <v>2001</v>
      </c>
      <c r="C354" s="64">
        <v>44.1808536376166</v>
      </c>
      <c r="D354" s="64">
        <v>2.7050333590523201</v>
      </c>
      <c r="E354" s="59" t="s">
        <v>159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</row>
    <row r="355" spans="1:22" s="59" customFormat="1" x14ac:dyDescent="0.25">
      <c r="A355" s="61" t="s">
        <v>166</v>
      </c>
      <c r="B355" s="61">
        <v>2002</v>
      </c>
      <c r="C355" s="64">
        <v>41.202830884050499</v>
      </c>
      <c r="D355" s="64">
        <v>1.5732025277299</v>
      </c>
      <c r="E355" s="59" t="s">
        <v>159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</row>
    <row r="356" spans="1:22" s="59" customFormat="1" x14ac:dyDescent="0.25">
      <c r="A356" s="61" t="s">
        <v>166</v>
      </c>
      <c r="B356" s="61">
        <v>2003</v>
      </c>
      <c r="C356" s="64">
        <v>43.430829784687504</v>
      </c>
      <c r="D356" s="64">
        <v>1.81060111667029</v>
      </c>
      <c r="E356" s="59" t="s">
        <v>159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</row>
    <row r="357" spans="1:22" s="59" customFormat="1" x14ac:dyDescent="0.25">
      <c r="A357" s="61" t="s">
        <v>166</v>
      </c>
      <c r="B357" s="61">
        <v>2004</v>
      </c>
      <c r="C357" s="64">
        <v>41.924130127536401</v>
      </c>
      <c r="D357" s="64">
        <v>3.69639690328829</v>
      </c>
      <c r="E357" s="59" t="s">
        <v>159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</row>
    <row r="358" spans="1:22" s="59" customFormat="1" x14ac:dyDescent="0.25">
      <c r="A358" s="61" t="s">
        <v>166</v>
      </c>
      <c r="B358" s="61">
        <v>2005</v>
      </c>
      <c r="C358" s="64">
        <v>38.227534558948001</v>
      </c>
      <c r="D358" s="64">
        <v>2.76791417405577</v>
      </c>
      <c r="E358" s="59" t="s">
        <v>159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</row>
    <row r="359" spans="1:22" s="59" customFormat="1" x14ac:dyDescent="0.25">
      <c r="A359" s="61" t="s">
        <v>166</v>
      </c>
      <c r="B359" s="61">
        <v>2006</v>
      </c>
      <c r="C359" s="64">
        <v>35.264581361008702</v>
      </c>
      <c r="D359" s="64">
        <v>4.9229082986359298</v>
      </c>
      <c r="E359" s="59" t="s">
        <v>159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</row>
    <row r="360" spans="1:22" s="59" customFormat="1" x14ac:dyDescent="0.25">
      <c r="A360" s="61" t="s">
        <v>166</v>
      </c>
      <c r="B360" s="61">
        <v>2007</v>
      </c>
      <c r="C360" s="64">
        <v>31.208125378426601</v>
      </c>
      <c r="D360" s="64">
        <v>4.2027351537966604</v>
      </c>
      <c r="E360" s="59" t="s">
        <v>159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</row>
    <row r="361" spans="1:22" s="59" customFormat="1" x14ac:dyDescent="0.25">
      <c r="A361" s="61" t="s">
        <v>166</v>
      </c>
      <c r="B361" s="61">
        <v>2008</v>
      </c>
      <c r="C361" s="64">
        <v>29.438958901736601</v>
      </c>
      <c r="D361" s="64">
        <v>1.04101081355332</v>
      </c>
      <c r="E361" s="59" t="s">
        <v>158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</row>
    <row r="362" spans="1:22" s="59" customFormat="1" x14ac:dyDescent="0.25">
      <c r="A362" s="61" t="s">
        <v>166</v>
      </c>
      <c r="B362" s="61">
        <v>2009</v>
      </c>
      <c r="C362" s="64">
        <v>33.4194776931447</v>
      </c>
      <c r="D362" s="64">
        <v>-6.3559475843043298</v>
      </c>
      <c r="E362" s="59" t="s">
        <v>159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</row>
    <row r="363" spans="1:22" s="59" customFormat="1" x14ac:dyDescent="0.25">
      <c r="A363" s="61" t="s">
        <v>167</v>
      </c>
      <c r="B363" s="61">
        <v>1950</v>
      </c>
      <c r="C363" s="64">
        <v>27.4198898693027</v>
      </c>
      <c r="D363" s="64">
        <v>7.49400479616307</v>
      </c>
      <c r="E363" s="59" t="s">
        <v>158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</row>
    <row r="364" spans="1:22" s="59" customFormat="1" x14ac:dyDescent="0.25">
      <c r="A364" s="61" t="s">
        <v>167</v>
      </c>
      <c r="B364" s="61">
        <v>1951</v>
      </c>
      <c r="C364" s="64">
        <v>22.8435917932321</v>
      </c>
      <c r="D364" s="64">
        <v>6.1349693251533797</v>
      </c>
      <c r="E364" s="59" t="s">
        <v>158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</row>
    <row r="365" spans="1:22" s="59" customFormat="1" x14ac:dyDescent="0.25">
      <c r="A365" s="61" t="s">
        <v>167</v>
      </c>
      <c r="B365" s="61">
        <v>1952</v>
      </c>
      <c r="C365" s="64">
        <v>23.4974918001158</v>
      </c>
      <c r="D365" s="64">
        <v>2.6274303730951201</v>
      </c>
      <c r="E365" s="59" t="s">
        <v>158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</row>
    <row r="366" spans="1:22" s="59" customFormat="1" x14ac:dyDescent="0.25">
      <c r="A366" s="61" t="s">
        <v>167</v>
      </c>
      <c r="B366" s="61">
        <v>1953</v>
      </c>
      <c r="C366" s="64">
        <v>25.7816589730167</v>
      </c>
      <c r="D366" s="64">
        <v>2.9185867895545199</v>
      </c>
      <c r="E366" s="59" t="s">
        <v>158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</row>
    <row r="367" spans="1:22" s="59" customFormat="1" x14ac:dyDescent="0.25">
      <c r="A367" s="61" t="s">
        <v>167</v>
      </c>
      <c r="B367" s="61">
        <v>1954</v>
      </c>
      <c r="C367" s="64">
        <v>24.768630203079098</v>
      </c>
      <c r="D367" s="64">
        <v>4.8258706467661598</v>
      </c>
      <c r="E367" s="59" t="s">
        <v>158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</row>
    <row r="368" spans="1:22" s="59" customFormat="1" x14ac:dyDescent="0.25">
      <c r="A368" s="61" t="s">
        <v>167</v>
      </c>
      <c r="B368" s="61">
        <v>1955</v>
      </c>
      <c r="C368" s="64">
        <v>23.700469560919402</v>
      </c>
      <c r="D368" s="64">
        <v>5.79022306597059</v>
      </c>
      <c r="E368" s="59" t="s">
        <v>158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</row>
    <row r="369" spans="1:22" s="59" customFormat="1" x14ac:dyDescent="0.25">
      <c r="A369" s="61" t="s">
        <v>167</v>
      </c>
      <c r="B369" s="61">
        <v>1956</v>
      </c>
      <c r="C369" s="64">
        <v>23.195688587866901</v>
      </c>
      <c r="D369" s="64">
        <v>5.0246747420367797</v>
      </c>
      <c r="E369" s="59" t="s">
        <v>158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</row>
    <row r="370" spans="1:22" s="59" customFormat="1" x14ac:dyDescent="0.25">
      <c r="A370" s="61" t="s">
        <v>167</v>
      </c>
      <c r="B370" s="61">
        <v>1957</v>
      </c>
      <c r="C370" s="64">
        <v>24.070021881838102</v>
      </c>
      <c r="D370" s="64">
        <v>6.02306706535669</v>
      </c>
      <c r="E370" s="59" t="s">
        <v>158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</row>
    <row r="371" spans="1:22" s="59" customFormat="1" x14ac:dyDescent="0.25">
      <c r="A371" s="61" t="s">
        <v>167</v>
      </c>
      <c r="B371" s="61">
        <v>1958</v>
      </c>
      <c r="C371" s="64">
        <v>27.294826582668499</v>
      </c>
      <c r="D371" s="64">
        <v>2.5382755842062998</v>
      </c>
      <c r="E371" s="59" t="s">
        <v>158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</row>
    <row r="372" spans="1:22" s="59" customFormat="1" x14ac:dyDescent="0.25">
      <c r="A372" s="61" t="s">
        <v>167</v>
      </c>
      <c r="B372" s="61">
        <v>1959</v>
      </c>
      <c r="C372" s="64">
        <v>27.146456489437298</v>
      </c>
      <c r="D372" s="64">
        <v>2.8290766208251399</v>
      </c>
      <c r="E372" s="59" t="s">
        <v>158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</row>
    <row r="373" spans="1:22" s="59" customFormat="1" x14ac:dyDescent="0.25">
      <c r="A373" s="61" t="s">
        <v>167</v>
      </c>
      <c r="B373" s="61">
        <v>1960</v>
      </c>
      <c r="C373" s="64">
        <v>22.090265593804801</v>
      </c>
      <c r="D373" s="64">
        <v>7.0691631639281596</v>
      </c>
      <c r="E373" s="59" t="s">
        <v>158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</row>
    <row r="374" spans="1:22" s="59" customFormat="1" x14ac:dyDescent="0.25">
      <c r="A374" s="61" t="s">
        <v>167</v>
      </c>
      <c r="B374" s="61">
        <v>1961</v>
      </c>
      <c r="C374" s="64">
        <v>19.308446935915399</v>
      </c>
      <c r="D374" s="64">
        <v>5.4960742326909404</v>
      </c>
      <c r="E374" s="59" t="s">
        <v>158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</row>
    <row r="375" spans="1:22" s="59" customFormat="1" x14ac:dyDescent="0.25">
      <c r="A375" s="61" t="s">
        <v>167</v>
      </c>
      <c r="B375" s="61">
        <v>1962</v>
      </c>
      <c r="C375" s="64">
        <v>20.395555030145399</v>
      </c>
      <c r="D375" s="64">
        <v>6.6305818673883401</v>
      </c>
      <c r="E375" s="59" t="s">
        <v>158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</row>
    <row r="376" spans="1:22" s="59" customFormat="1" x14ac:dyDescent="0.25">
      <c r="A376" s="61" t="s">
        <v>167</v>
      </c>
      <c r="B376" s="61">
        <v>1963</v>
      </c>
      <c r="C376" s="64">
        <v>19.6609798296139</v>
      </c>
      <c r="D376" s="64">
        <v>5.4885786802030498</v>
      </c>
      <c r="E376" s="59" t="s">
        <v>158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</row>
    <row r="377" spans="1:22" s="59" customFormat="1" x14ac:dyDescent="0.25">
      <c r="A377" s="61" t="s">
        <v>167</v>
      </c>
      <c r="B377" s="61">
        <v>1964</v>
      </c>
      <c r="C377" s="64">
        <v>17.477053284062499</v>
      </c>
      <c r="D377" s="64">
        <v>6.4962406015037599</v>
      </c>
      <c r="E377" s="59" t="s">
        <v>158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</row>
    <row r="378" spans="1:22" s="59" customFormat="1" x14ac:dyDescent="0.25">
      <c r="A378" s="61" t="s">
        <v>167</v>
      </c>
      <c r="B378" s="61">
        <v>1965</v>
      </c>
      <c r="C378" s="64">
        <v>15.2158415132192</v>
      </c>
      <c r="D378" s="64">
        <v>4.6879412595312004</v>
      </c>
      <c r="E378" s="59" t="s">
        <v>158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</row>
    <row r="379" spans="1:22" s="59" customFormat="1" x14ac:dyDescent="0.25">
      <c r="A379" s="61" t="s">
        <v>167</v>
      </c>
      <c r="B379" s="61">
        <v>1966</v>
      </c>
      <c r="C379" s="64">
        <v>14.6689512360498</v>
      </c>
      <c r="D379" s="64">
        <v>5.3142702994334998</v>
      </c>
      <c r="E379" s="59" t="s">
        <v>158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</row>
    <row r="380" spans="1:22" s="59" customFormat="1" x14ac:dyDescent="0.25">
      <c r="A380" s="61" t="s">
        <v>167</v>
      </c>
      <c r="B380" s="61">
        <v>1967</v>
      </c>
      <c r="C380" s="64">
        <v>15.180904522613099</v>
      </c>
      <c r="D380" s="64">
        <v>4.5850409836065698</v>
      </c>
      <c r="E380" s="59" t="s">
        <v>158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</row>
    <row r="381" spans="1:22" s="59" customFormat="1" x14ac:dyDescent="0.25">
      <c r="A381" s="61" t="s">
        <v>167</v>
      </c>
      <c r="B381" s="61">
        <v>1968</v>
      </c>
      <c r="C381" s="64">
        <v>15.272156862745099</v>
      </c>
      <c r="D381" s="64">
        <v>4.3595395542493298</v>
      </c>
      <c r="E381" s="59" t="s">
        <v>158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</row>
    <row r="382" spans="1:22" s="59" customFormat="1" x14ac:dyDescent="0.25">
      <c r="A382" s="61" t="s">
        <v>167</v>
      </c>
      <c r="B382" s="61">
        <v>1969</v>
      </c>
      <c r="C382" s="64">
        <v>14.5286525108761</v>
      </c>
      <c r="D382" s="64">
        <v>6.9467261206289397</v>
      </c>
      <c r="E382" s="59" t="s">
        <v>158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</row>
    <row r="383" spans="1:22" s="59" customFormat="1" x14ac:dyDescent="0.25">
      <c r="A383" s="61" t="s">
        <v>167</v>
      </c>
      <c r="B383" s="61">
        <v>1970</v>
      </c>
      <c r="C383" s="64">
        <v>12.371020443932499</v>
      </c>
      <c r="D383" s="64">
        <v>5.7932850559578597</v>
      </c>
      <c r="E383" s="59" t="s">
        <v>158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</row>
    <row r="384" spans="1:22" s="59" customFormat="1" x14ac:dyDescent="0.25">
      <c r="A384" s="61" t="s">
        <v>167</v>
      </c>
      <c r="B384" s="61">
        <v>1971</v>
      </c>
      <c r="C384" s="64">
        <v>10.770551596431201</v>
      </c>
      <c r="D384" s="64">
        <v>5.3723293922422597</v>
      </c>
      <c r="E384" s="59" t="s">
        <v>158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</row>
    <row r="385" spans="1:22" s="59" customFormat="1" x14ac:dyDescent="0.25">
      <c r="A385" s="61" t="s">
        <v>167</v>
      </c>
      <c r="B385" s="61">
        <v>1972</v>
      </c>
      <c r="C385" s="64">
        <v>8.7579009409995301</v>
      </c>
      <c r="D385" s="64">
        <v>5.8858267716535497</v>
      </c>
      <c r="E385" s="59" t="s">
        <v>158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</row>
    <row r="386" spans="1:22" s="59" customFormat="1" x14ac:dyDescent="0.25">
      <c r="A386" s="61" t="s">
        <v>167</v>
      </c>
      <c r="B386" s="61">
        <v>1979</v>
      </c>
      <c r="C386" s="64">
        <v>31.1153032426806</v>
      </c>
      <c r="D386" s="64">
        <v>3.3060357901122401</v>
      </c>
      <c r="E386" s="59" t="s">
        <v>159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</row>
    <row r="387" spans="1:22" s="59" customFormat="1" x14ac:dyDescent="0.25">
      <c r="A387" s="61" t="s">
        <v>167</v>
      </c>
      <c r="B387" s="61">
        <v>1980</v>
      </c>
      <c r="C387" s="64">
        <v>29.520365556819598</v>
      </c>
      <c r="D387" s="64">
        <v>1.0716382853787301</v>
      </c>
      <c r="E387" s="59" t="s">
        <v>158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</row>
    <row r="388" spans="1:22" s="59" customFormat="1" x14ac:dyDescent="0.25">
      <c r="A388" s="61" t="s">
        <v>167</v>
      </c>
      <c r="B388" s="61">
        <v>1981</v>
      </c>
      <c r="C388" s="64">
        <v>30.513237645741601</v>
      </c>
      <c r="D388" s="64">
        <v>1.5475053130301</v>
      </c>
      <c r="E388" s="59" t="s">
        <v>159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</row>
    <row r="389" spans="1:22" s="59" customFormat="1" x14ac:dyDescent="0.25">
      <c r="A389" s="61" t="s">
        <v>167</v>
      </c>
      <c r="B389" s="61">
        <v>1982</v>
      </c>
      <c r="C389" s="64">
        <v>36.449265378208104</v>
      </c>
      <c r="D389" s="64">
        <v>0.12499351992121301</v>
      </c>
      <c r="E389" s="59" t="s">
        <v>159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</row>
    <row r="390" spans="1:22" s="59" customFormat="1" x14ac:dyDescent="0.25">
      <c r="A390" s="61" t="s">
        <v>167</v>
      </c>
      <c r="B390" s="61">
        <v>1983</v>
      </c>
      <c r="C390" s="64">
        <v>38.333615198151001</v>
      </c>
      <c r="D390" s="64">
        <v>3.8668937136369999</v>
      </c>
      <c r="E390" s="59" t="s">
        <v>159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</row>
    <row r="391" spans="1:22" s="59" customFormat="1" x14ac:dyDescent="0.25">
      <c r="A391" s="61" t="s">
        <v>167</v>
      </c>
      <c r="B391" s="61">
        <v>1984</v>
      </c>
      <c r="C391" s="64">
        <v>40.388564461271898</v>
      </c>
      <c r="D391" s="64">
        <v>5.8941036808377403</v>
      </c>
      <c r="E391" s="59" t="s">
        <v>159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</row>
    <row r="392" spans="1:22" s="59" customFormat="1" x14ac:dyDescent="0.25">
      <c r="A392" s="61" t="s">
        <v>167</v>
      </c>
      <c r="B392" s="61">
        <v>1985</v>
      </c>
      <c r="C392" s="64">
        <v>41.217742636197798</v>
      </c>
      <c r="D392" s="64">
        <v>5.3540295135014597</v>
      </c>
      <c r="E392" s="59" t="s">
        <v>159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</row>
    <row r="393" spans="1:22" s="59" customFormat="1" x14ac:dyDescent="0.25">
      <c r="A393" s="61" t="s">
        <v>167</v>
      </c>
      <c r="B393" s="61">
        <v>1986</v>
      </c>
      <c r="C393" s="64">
        <v>43.6684282343627</v>
      </c>
      <c r="D393" s="64">
        <v>4.0375523145842003</v>
      </c>
      <c r="E393" s="59" t="s">
        <v>159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</row>
    <row r="394" spans="1:22" s="59" customFormat="1" x14ac:dyDescent="0.25">
      <c r="A394" s="61" t="s">
        <v>167</v>
      </c>
      <c r="B394" s="61">
        <v>1987</v>
      </c>
      <c r="C394" s="64">
        <v>45.146074523132498</v>
      </c>
      <c r="D394" s="64">
        <v>1.78001352049946</v>
      </c>
      <c r="E394" s="59" t="s">
        <v>159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</row>
    <row r="395" spans="1:22" s="59" customFormat="1" x14ac:dyDescent="0.25">
      <c r="A395" s="61" t="s">
        <v>167</v>
      </c>
      <c r="B395" s="61">
        <v>1988</v>
      </c>
      <c r="C395" s="64">
        <v>46.436518610646402</v>
      </c>
      <c r="D395" s="64">
        <v>-0.17284882526092901</v>
      </c>
      <c r="E395" s="59" t="s">
        <v>159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</row>
    <row r="396" spans="1:22" s="59" customFormat="1" x14ac:dyDescent="0.25">
      <c r="A396" s="61" t="s">
        <v>167</v>
      </c>
      <c r="B396" s="61">
        <v>1989</v>
      </c>
      <c r="C396" s="64">
        <v>47.903692450533299</v>
      </c>
      <c r="D396" s="64">
        <v>0.99755854903136298</v>
      </c>
      <c r="E396" s="59" t="s">
        <v>159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</row>
    <row r="397" spans="1:22" s="59" customFormat="1" x14ac:dyDescent="0.25">
      <c r="A397" s="61" t="s">
        <v>167</v>
      </c>
      <c r="B397" s="61">
        <v>1990</v>
      </c>
      <c r="C397" s="64">
        <v>49.382380703386602</v>
      </c>
      <c r="D397" s="64">
        <v>1.9275140029591</v>
      </c>
      <c r="E397" s="59" t="s">
        <v>159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</row>
    <row r="398" spans="1:22" s="59" customFormat="1" x14ac:dyDescent="0.25">
      <c r="A398" s="61" t="s">
        <v>167</v>
      </c>
      <c r="B398" s="61">
        <v>1991</v>
      </c>
      <c r="C398" s="64">
        <v>49.643753537004599</v>
      </c>
      <c r="D398" s="64">
        <v>3.1046289614814699</v>
      </c>
      <c r="E398" s="59" t="s">
        <v>159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</row>
    <row r="399" spans="1:22" s="59" customFormat="1" x14ac:dyDescent="0.25">
      <c r="A399" s="61" t="s">
        <v>167</v>
      </c>
      <c r="B399" s="61">
        <v>1992</v>
      </c>
      <c r="C399" s="64">
        <v>55.197826703155798</v>
      </c>
      <c r="D399" s="64">
        <v>3.5231049814781001</v>
      </c>
      <c r="E399" s="59" t="s">
        <v>159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</row>
    <row r="400" spans="1:22" s="59" customFormat="1" x14ac:dyDescent="0.25">
      <c r="A400" s="61" t="s">
        <v>167</v>
      </c>
      <c r="B400" s="61">
        <v>1993</v>
      </c>
      <c r="C400" s="64">
        <v>61.481789866837197</v>
      </c>
      <c r="D400" s="64">
        <v>2.7866370789358501</v>
      </c>
      <c r="E400" s="59" t="s">
        <v>156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</row>
    <row r="401" spans="1:22" s="59" customFormat="1" x14ac:dyDescent="0.25">
      <c r="A401" s="61" t="s">
        <v>167</v>
      </c>
      <c r="B401" s="61">
        <v>1994</v>
      </c>
      <c r="C401" s="64">
        <v>64.860731492502296</v>
      </c>
      <c r="D401" s="64">
        <v>5.0513843415679496</v>
      </c>
      <c r="E401" s="59" t="s">
        <v>156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</row>
    <row r="402" spans="1:22" s="59" customFormat="1" x14ac:dyDescent="0.25">
      <c r="A402" s="61" t="s">
        <v>167</v>
      </c>
      <c r="B402" s="61">
        <v>1995</v>
      </c>
      <c r="C402" s="64">
        <v>70.253763632335804</v>
      </c>
      <c r="D402" s="64">
        <v>4.1863490739812104</v>
      </c>
      <c r="E402" s="59" t="s">
        <v>156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</row>
    <row r="403" spans="1:22" s="59" customFormat="1" x14ac:dyDescent="0.25">
      <c r="A403" s="61" t="s">
        <v>167</v>
      </c>
      <c r="B403" s="61">
        <v>1996</v>
      </c>
      <c r="C403" s="64">
        <v>68.906765796377499</v>
      </c>
      <c r="D403" s="64">
        <v>5.0997663359063896</v>
      </c>
      <c r="E403" s="59" t="s">
        <v>156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</row>
    <row r="404" spans="1:22" s="59" customFormat="1" x14ac:dyDescent="0.25">
      <c r="A404" s="61" t="s">
        <v>167</v>
      </c>
      <c r="B404" s="61">
        <v>1997</v>
      </c>
      <c r="C404" s="64">
        <v>67.129505530835104</v>
      </c>
      <c r="D404" s="64">
        <v>5.3926403470454503</v>
      </c>
      <c r="E404" s="59" t="s">
        <v>156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</row>
    <row r="405" spans="1:22" s="59" customFormat="1" x14ac:dyDescent="0.25">
      <c r="A405" s="61" t="s">
        <v>167</v>
      </c>
      <c r="B405" s="61">
        <v>1998</v>
      </c>
      <c r="C405" s="64">
        <v>68.978217405029994</v>
      </c>
      <c r="D405" s="64">
        <v>2.6827834907742201</v>
      </c>
      <c r="E405" s="59" t="s">
        <v>156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</row>
    <row r="406" spans="1:22" s="59" customFormat="1" x14ac:dyDescent="0.25">
      <c r="A406" s="61" t="s">
        <v>167</v>
      </c>
      <c r="B406" s="61">
        <v>1999</v>
      </c>
      <c r="C406" s="64">
        <v>64.856541683125997</v>
      </c>
      <c r="D406" s="64">
        <v>2.0257705900823799</v>
      </c>
      <c r="E406" s="59" t="s">
        <v>156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</row>
    <row r="407" spans="1:22" s="59" customFormat="1" x14ac:dyDescent="0.25">
      <c r="A407" s="61" t="s">
        <v>167</v>
      </c>
      <c r="B407" s="61">
        <v>2000</v>
      </c>
      <c r="C407" s="64">
        <v>55.791093948313602</v>
      </c>
      <c r="D407" s="64">
        <v>3.2535679946216902</v>
      </c>
      <c r="E407" s="59" t="s">
        <v>159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</row>
    <row r="408" spans="1:22" s="59" customFormat="1" x14ac:dyDescent="0.25">
      <c r="A408" s="61" t="s">
        <v>167</v>
      </c>
      <c r="B408" s="61">
        <v>2001</v>
      </c>
      <c r="C408" s="64">
        <v>55.410601929871397</v>
      </c>
      <c r="D408" s="64">
        <v>1.99015413560657</v>
      </c>
      <c r="E408" s="59" t="s">
        <v>159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</row>
    <row r="409" spans="1:22" s="59" customFormat="1" x14ac:dyDescent="0.25">
      <c r="A409" s="61" t="s">
        <v>167</v>
      </c>
      <c r="B409" s="61">
        <v>2002</v>
      </c>
      <c r="C409" s="64">
        <v>59.446195613159198</v>
      </c>
      <c r="D409" s="64">
        <v>1.5020556300011001</v>
      </c>
      <c r="E409" s="59" t="s">
        <v>159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</row>
    <row r="410" spans="1:22" s="59" customFormat="1" x14ac:dyDescent="0.25">
      <c r="A410" s="61" t="s">
        <v>167</v>
      </c>
      <c r="B410" s="61">
        <v>2003</v>
      </c>
      <c r="C410" s="64">
        <v>62.955271264815003</v>
      </c>
      <c r="D410" s="64">
        <v>1.0135240342473499</v>
      </c>
      <c r="E410" s="59" t="s">
        <v>156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</row>
    <row r="411" spans="1:22" s="59" customFormat="1" x14ac:dyDescent="0.25">
      <c r="A411" s="61" t="s">
        <v>167</v>
      </c>
      <c r="B411" s="61">
        <v>2004</v>
      </c>
      <c r="C411" s="64">
        <v>61.782862125940902</v>
      </c>
      <c r="D411" s="64">
        <v>3.8641263641794299</v>
      </c>
      <c r="E411" s="59" t="s">
        <v>156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</row>
    <row r="412" spans="1:22" s="59" customFormat="1" x14ac:dyDescent="0.25">
      <c r="A412" s="61" t="s">
        <v>167</v>
      </c>
      <c r="B412" s="61">
        <v>2005</v>
      </c>
      <c r="C412" s="64">
        <v>58.867668523734103</v>
      </c>
      <c r="D412" s="64">
        <v>2.73920744287439</v>
      </c>
      <c r="E412" s="59" t="s">
        <v>159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</row>
    <row r="413" spans="1:22" s="59" customFormat="1" x14ac:dyDescent="0.25">
      <c r="A413" s="61" t="s">
        <v>167</v>
      </c>
      <c r="B413" s="61">
        <v>2006</v>
      </c>
      <c r="C413" s="64">
        <v>53.246711150830997</v>
      </c>
      <c r="D413" s="64">
        <v>2.2808885419912901</v>
      </c>
      <c r="E413" s="59" t="s">
        <v>159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</row>
    <row r="414" spans="1:22" s="59" customFormat="1" x14ac:dyDescent="0.25">
      <c r="A414" s="61" t="s">
        <v>167</v>
      </c>
      <c r="B414" s="61">
        <v>2007</v>
      </c>
      <c r="C414" s="64">
        <v>53.084831211491803</v>
      </c>
      <c r="D414" s="64">
        <v>3.1340917857372701</v>
      </c>
      <c r="E414" s="59" t="s">
        <v>159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</row>
    <row r="415" spans="1:22" s="59" customFormat="1" x14ac:dyDescent="0.25">
      <c r="A415" s="61" t="s">
        <v>167</v>
      </c>
      <c r="B415" s="61">
        <v>2008</v>
      </c>
      <c r="C415" s="64">
        <v>51.567307088591697</v>
      </c>
      <c r="D415" s="64">
        <v>2.13213029844797</v>
      </c>
      <c r="E415" s="59" t="s">
        <v>159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</row>
    <row r="416" spans="1:22" s="59" customFormat="1" x14ac:dyDescent="0.25">
      <c r="A416" s="61" t="s">
        <v>167</v>
      </c>
      <c r="B416" s="61">
        <v>2009</v>
      </c>
      <c r="C416" s="64">
        <v>60.0015126431759</v>
      </c>
      <c r="D416" s="64">
        <v>-1.9066760919030901</v>
      </c>
      <c r="E416" s="59" t="s">
        <v>156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</row>
    <row r="417" spans="1:22" s="59" customFormat="1" x14ac:dyDescent="0.25">
      <c r="A417" s="61" t="s">
        <v>168</v>
      </c>
      <c r="B417" s="61">
        <v>1951</v>
      </c>
      <c r="C417" s="64">
        <v>6.0557059480125801</v>
      </c>
      <c r="D417" s="64">
        <v>9.1669995553110208</v>
      </c>
      <c r="E417" s="59" t="s">
        <v>158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</row>
    <row r="418" spans="1:22" s="59" customFormat="1" x14ac:dyDescent="0.25">
      <c r="A418" s="61" t="s">
        <v>168</v>
      </c>
      <c r="B418" s="61">
        <v>1952</v>
      </c>
      <c r="C418" s="64">
        <v>6.3045107341459499</v>
      </c>
      <c r="D418" s="64">
        <v>8.6699415559981805</v>
      </c>
      <c r="E418" s="59" t="s">
        <v>158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</row>
    <row r="419" spans="1:22" s="59" customFormat="1" x14ac:dyDescent="0.25">
      <c r="A419" s="61" t="s">
        <v>168</v>
      </c>
      <c r="B419" s="61">
        <v>1953</v>
      </c>
      <c r="C419" s="64">
        <v>7.3177319288609999</v>
      </c>
      <c r="D419" s="64">
        <v>8.3724594496718403</v>
      </c>
      <c r="E419" s="59" t="s">
        <v>158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</row>
    <row r="420" spans="1:22" s="59" customFormat="1" x14ac:dyDescent="0.25">
      <c r="A420" s="61" t="s">
        <v>168</v>
      </c>
      <c r="B420" s="61">
        <v>1954</v>
      </c>
      <c r="C420" s="64">
        <v>11.250346164497399</v>
      </c>
      <c r="D420" s="64">
        <v>7.4553715374468599</v>
      </c>
      <c r="E420" s="59" t="s">
        <v>158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</row>
    <row r="421" spans="1:22" s="59" customFormat="1" x14ac:dyDescent="0.25">
      <c r="A421" s="61" t="s">
        <v>168</v>
      </c>
      <c r="B421" s="61">
        <v>1955</v>
      </c>
      <c r="C421" s="64">
        <v>11.1421697590695</v>
      </c>
      <c r="D421" s="64">
        <v>11.003753573532901</v>
      </c>
      <c r="E421" s="59" t="s">
        <v>158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</row>
    <row r="422" spans="1:22" s="59" customFormat="1" x14ac:dyDescent="0.25">
      <c r="A422" s="61" t="s">
        <v>168</v>
      </c>
      <c r="B422" s="61">
        <v>1956</v>
      </c>
      <c r="C422" s="64">
        <v>10.0248557452743</v>
      </c>
      <c r="D422" s="64">
        <v>7.1669754891600803</v>
      </c>
      <c r="E422" s="59" t="s">
        <v>158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</row>
    <row r="423" spans="1:22" s="59" customFormat="1" x14ac:dyDescent="0.25">
      <c r="A423" s="61" t="s">
        <v>168</v>
      </c>
      <c r="B423" s="61">
        <v>1957</v>
      </c>
      <c r="C423" s="64">
        <v>9.1284086924141992</v>
      </c>
      <c r="D423" s="64">
        <v>5.7293744811803196</v>
      </c>
      <c r="E423" s="59" t="s">
        <v>158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</row>
    <row r="424" spans="1:22" s="59" customFormat="1" x14ac:dyDescent="0.25">
      <c r="A424" s="61" t="s">
        <v>168</v>
      </c>
      <c r="B424" s="61">
        <v>1958</v>
      </c>
      <c r="C424" s="64">
        <v>9.3054182066428801</v>
      </c>
      <c r="D424" s="64">
        <v>4.4522427131613096</v>
      </c>
      <c r="E424" s="59" t="s">
        <v>158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</row>
    <row r="425" spans="1:22" s="59" customFormat="1" x14ac:dyDescent="0.25">
      <c r="A425" s="61" t="s">
        <v>168</v>
      </c>
      <c r="B425" s="61">
        <v>1959</v>
      </c>
      <c r="C425" s="64">
        <v>8.9043369588565007</v>
      </c>
      <c r="D425" s="64">
        <v>7.3135533919298004</v>
      </c>
      <c r="E425" s="59" t="s">
        <v>158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</row>
    <row r="426" spans="1:22" s="59" customFormat="1" x14ac:dyDescent="0.25">
      <c r="A426" s="61" t="s">
        <v>168</v>
      </c>
      <c r="B426" s="61">
        <v>1960</v>
      </c>
      <c r="C426" s="64">
        <v>8.6638416508368401</v>
      </c>
      <c r="D426" s="64">
        <v>8.0610114527079908</v>
      </c>
      <c r="E426" s="59" t="s">
        <v>158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</row>
    <row r="427" spans="1:22" s="59" customFormat="1" x14ac:dyDescent="0.25">
      <c r="A427" s="61" t="s">
        <v>168</v>
      </c>
      <c r="B427" s="61">
        <v>1961</v>
      </c>
      <c r="C427" s="64">
        <v>9.4370560160052506</v>
      </c>
      <c r="D427" s="64">
        <v>4.1192016931611102</v>
      </c>
      <c r="E427" s="59" t="s">
        <v>158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</row>
    <row r="428" spans="1:22" s="59" customFormat="1" x14ac:dyDescent="0.25">
      <c r="A428" s="61" t="s">
        <v>168</v>
      </c>
      <c r="B428" s="61">
        <v>1962</v>
      </c>
      <c r="C428" s="64">
        <v>8.3480553638695003</v>
      </c>
      <c r="D428" s="64">
        <v>4.2657875412520001</v>
      </c>
      <c r="E428" s="59" t="s">
        <v>158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</row>
    <row r="429" spans="1:22" s="59" customFormat="1" x14ac:dyDescent="0.25">
      <c r="A429" s="61" t="s">
        <v>168</v>
      </c>
      <c r="B429" s="61">
        <v>1963</v>
      </c>
      <c r="C429" s="64">
        <v>8.3792103616089104</v>
      </c>
      <c r="D429" s="64">
        <v>2.8187737921661502</v>
      </c>
      <c r="E429" s="59" t="s">
        <v>158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</row>
    <row r="430" spans="1:22" s="59" customFormat="1" x14ac:dyDescent="0.25">
      <c r="A430" s="61" t="s">
        <v>168</v>
      </c>
      <c r="B430" s="61">
        <v>1964</v>
      </c>
      <c r="C430" s="64">
        <v>8.15317533566623</v>
      </c>
      <c r="D430" s="64">
        <v>6.07829549136805</v>
      </c>
      <c r="E430" s="59" t="s">
        <v>158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</row>
    <row r="431" spans="1:22" s="59" customFormat="1" x14ac:dyDescent="0.25">
      <c r="A431" s="61" t="s">
        <v>168</v>
      </c>
      <c r="B431" s="61">
        <v>1965</v>
      </c>
      <c r="C431" s="64">
        <v>7.6406291951429504</v>
      </c>
      <c r="D431" s="64">
        <v>5.0697669495049604</v>
      </c>
      <c r="E431" s="59" t="s">
        <v>158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</row>
    <row r="432" spans="1:22" s="59" customFormat="1" x14ac:dyDescent="0.25">
      <c r="A432" s="61" t="s">
        <v>168</v>
      </c>
      <c r="B432" s="61">
        <v>1966</v>
      </c>
      <c r="C432" s="64">
        <v>7.8201101953784304</v>
      </c>
      <c r="D432" s="64">
        <v>2.9641708813209</v>
      </c>
      <c r="E432" s="59" t="s">
        <v>158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</row>
    <row r="433" spans="1:22" s="59" customFormat="1" x14ac:dyDescent="0.25">
      <c r="A433" s="61" t="s">
        <v>168</v>
      </c>
      <c r="B433" s="61">
        <v>1967</v>
      </c>
      <c r="C433" s="64">
        <v>9.3794374237178708</v>
      </c>
      <c r="D433" s="64">
        <v>0.30989959364993203</v>
      </c>
      <c r="E433" s="59" t="s">
        <v>158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</row>
    <row r="434" spans="1:22" s="59" customFormat="1" x14ac:dyDescent="0.25">
      <c r="A434" s="61" t="s">
        <v>168</v>
      </c>
      <c r="B434" s="61">
        <v>1968</v>
      </c>
      <c r="C434" s="64">
        <v>9.4932544745666902</v>
      </c>
      <c r="D434" s="64">
        <v>5.2748707515224202</v>
      </c>
      <c r="E434" s="59" t="s">
        <v>158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</row>
    <row r="435" spans="1:22" s="59" customFormat="1" x14ac:dyDescent="0.25">
      <c r="A435" s="61" t="s">
        <v>168</v>
      </c>
      <c r="B435" s="61">
        <v>1969</v>
      </c>
      <c r="C435" s="64">
        <v>8.4111170748949409</v>
      </c>
      <c r="D435" s="64">
        <v>6.6114422546173603</v>
      </c>
      <c r="E435" s="59" t="s">
        <v>158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</row>
    <row r="436" spans="1:22" s="59" customFormat="1" x14ac:dyDescent="0.25">
      <c r="A436" s="61" t="s">
        <v>168</v>
      </c>
      <c r="B436" s="61">
        <v>1970</v>
      </c>
      <c r="C436" s="64">
        <v>6.7665040302296298</v>
      </c>
      <c r="D436" s="64">
        <v>4.6799766578512703</v>
      </c>
      <c r="E436" s="59" t="s">
        <v>158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</row>
    <row r="437" spans="1:22" s="59" customFormat="1" x14ac:dyDescent="0.25">
      <c r="A437" s="61" t="s">
        <v>168</v>
      </c>
      <c r="B437" s="61">
        <v>1971</v>
      </c>
      <c r="C437" s="64">
        <v>6.3711804773038603</v>
      </c>
      <c r="D437" s="64">
        <v>2.9431753890094101</v>
      </c>
      <c r="E437" s="59" t="s">
        <v>158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</row>
    <row r="438" spans="1:22" s="59" customFormat="1" x14ac:dyDescent="0.25">
      <c r="A438" s="61" t="s">
        <v>168</v>
      </c>
      <c r="B438" s="61">
        <v>1972</v>
      </c>
      <c r="C438" s="64">
        <v>6.3936538287903204</v>
      </c>
      <c r="D438" s="64">
        <v>4.1273531916070398</v>
      </c>
      <c r="E438" s="59" t="s">
        <v>158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</row>
    <row r="439" spans="1:22" s="59" customFormat="1" x14ac:dyDescent="0.25">
      <c r="A439" s="61" t="s">
        <v>168</v>
      </c>
      <c r="B439" s="61">
        <v>1973</v>
      </c>
      <c r="C439" s="64">
        <v>6.0079869190487498</v>
      </c>
      <c r="D439" s="64">
        <v>4.5384784766398196</v>
      </c>
      <c r="E439" s="59" t="s">
        <v>158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</row>
    <row r="440" spans="1:22" s="59" customFormat="1" x14ac:dyDescent="0.25">
      <c r="A440" s="61" t="s">
        <v>168</v>
      </c>
      <c r="B440" s="61">
        <v>1974</v>
      </c>
      <c r="C440" s="64">
        <v>6.7487645958668701</v>
      </c>
      <c r="D440" s="64">
        <v>0.82730443342453597</v>
      </c>
      <c r="E440" s="59" t="s">
        <v>158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</row>
    <row r="441" spans="1:22" s="59" customFormat="1" x14ac:dyDescent="0.25">
      <c r="A441" s="61" t="s">
        <v>168</v>
      </c>
      <c r="B441" s="61">
        <v>1975</v>
      </c>
      <c r="C441" s="64">
        <v>9.9453910916155603</v>
      </c>
      <c r="D441" s="64">
        <v>-0.544631318820332</v>
      </c>
      <c r="E441" s="59" t="s">
        <v>158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</row>
    <row r="442" spans="1:22" s="59" customFormat="1" x14ac:dyDescent="0.25">
      <c r="A442" s="61" t="s">
        <v>168</v>
      </c>
      <c r="B442" s="61">
        <v>1976</v>
      </c>
      <c r="C442" s="64">
        <v>10.7298562015137</v>
      </c>
      <c r="D442" s="64">
        <v>4.8289867983698302</v>
      </c>
      <c r="E442" s="59" t="s">
        <v>158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</row>
    <row r="443" spans="1:22" s="59" customFormat="1" x14ac:dyDescent="0.25">
      <c r="A443" s="61" t="s">
        <v>168</v>
      </c>
      <c r="B443" s="61">
        <v>1977</v>
      </c>
      <c r="C443" s="64">
        <v>11.8767476374934</v>
      </c>
      <c r="D443" s="64">
        <v>2.87756310339411</v>
      </c>
      <c r="E443" s="59" t="s">
        <v>158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</row>
    <row r="444" spans="1:22" s="59" customFormat="1" x14ac:dyDescent="0.25">
      <c r="A444" s="61" t="s">
        <v>168</v>
      </c>
      <c r="B444" s="61">
        <v>1978</v>
      </c>
      <c r="C444" s="64">
        <v>13.2706983863361</v>
      </c>
      <c r="D444" s="64">
        <v>2.8084290062738</v>
      </c>
      <c r="E444" s="59" t="s">
        <v>158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</row>
    <row r="445" spans="1:22" s="59" customFormat="1" x14ac:dyDescent="0.25">
      <c r="A445" s="61" t="s">
        <v>168</v>
      </c>
      <c r="B445" s="61">
        <v>1979</v>
      </c>
      <c r="C445" s="64">
        <v>13.9685677390097</v>
      </c>
      <c r="D445" s="64">
        <v>4.0185490535070301</v>
      </c>
      <c r="E445" s="59" t="s">
        <v>158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</row>
    <row r="446" spans="1:22" s="59" customFormat="1" x14ac:dyDescent="0.25">
      <c r="A446" s="61" t="s">
        <v>168</v>
      </c>
      <c r="B446" s="61">
        <v>1980</v>
      </c>
      <c r="C446" s="64">
        <v>14.914025588460399</v>
      </c>
      <c r="D446" s="64">
        <v>1.1425799572585</v>
      </c>
      <c r="E446" s="59" t="s">
        <v>158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</row>
    <row r="447" spans="1:22" s="59" customFormat="1" x14ac:dyDescent="0.25">
      <c r="A447" s="61" t="s">
        <v>168</v>
      </c>
      <c r="B447" s="61">
        <v>1981</v>
      </c>
      <c r="C447" s="64">
        <v>16.6507727472261</v>
      </c>
      <c r="D447" s="64">
        <v>0.11029933059203401</v>
      </c>
      <c r="E447" s="59" t="s">
        <v>158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</row>
    <row r="448" spans="1:22" s="59" customFormat="1" x14ac:dyDescent="0.25">
      <c r="A448" s="61" t="s">
        <v>168</v>
      </c>
      <c r="B448" s="61">
        <v>1982</v>
      </c>
      <c r="C448" s="64">
        <v>18.332781722367699</v>
      </c>
      <c r="D448" s="64">
        <v>-0.78816639681305001</v>
      </c>
      <c r="E448" s="59" t="s">
        <v>158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</row>
    <row r="449" spans="1:22" s="59" customFormat="1" x14ac:dyDescent="0.25">
      <c r="A449" s="61" t="s">
        <v>168</v>
      </c>
      <c r="B449" s="61">
        <v>1983</v>
      </c>
      <c r="C449" s="64">
        <v>19.448532248104499</v>
      </c>
      <c r="D449" s="64">
        <v>1.55466809928657</v>
      </c>
      <c r="E449" s="59" t="s">
        <v>158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</row>
    <row r="450" spans="1:22" s="59" customFormat="1" x14ac:dyDescent="0.25">
      <c r="A450" s="61" t="s">
        <v>168</v>
      </c>
      <c r="B450" s="61">
        <v>1984</v>
      </c>
      <c r="C450" s="64">
        <v>19.8407853936151</v>
      </c>
      <c r="D450" s="64">
        <v>2.8260872782050099</v>
      </c>
      <c r="E450" s="59" t="s">
        <v>158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</row>
    <row r="451" spans="1:22" s="59" customFormat="1" x14ac:dyDescent="0.25">
      <c r="A451" s="61" t="s">
        <v>168</v>
      </c>
      <c r="B451" s="61">
        <v>1985</v>
      </c>
      <c r="C451" s="64">
        <v>20.377673668114301</v>
      </c>
      <c r="D451" s="64">
        <v>2.1922846948048802</v>
      </c>
      <c r="E451" s="59" t="s">
        <v>158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</row>
    <row r="452" spans="1:22" s="59" customFormat="1" x14ac:dyDescent="0.25">
      <c r="A452" s="61" t="s">
        <v>168</v>
      </c>
      <c r="B452" s="61">
        <v>1986</v>
      </c>
      <c r="C452" s="64">
        <v>20.383172794153101</v>
      </c>
      <c r="D452" s="64">
        <v>2.41731919217096</v>
      </c>
      <c r="E452" s="59" t="s">
        <v>158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</row>
    <row r="453" spans="1:22" s="59" customFormat="1" x14ac:dyDescent="0.25">
      <c r="A453" s="61" t="s">
        <v>168</v>
      </c>
      <c r="B453" s="61">
        <v>1987</v>
      </c>
      <c r="C453" s="64">
        <v>21.1429908356589</v>
      </c>
      <c r="D453" s="64">
        <v>1.46935582225283</v>
      </c>
      <c r="E453" s="59" t="s">
        <v>158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</row>
    <row r="454" spans="1:22" s="59" customFormat="1" x14ac:dyDescent="0.25">
      <c r="A454" s="61" t="s">
        <v>168</v>
      </c>
      <c r="B454" s="61">
        <v>1988</v>
      </c>
      <c r="C454" s="64">
        <v>21.6240219113926</v>
      </c>
      <c r="D454" s="64">
        <v>3.73561271474219</v>
      </c>
      <c r="E454" s="59" t="s">
        <v>158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</row>
    <row r="455" spans="1:22" s="59" customFormat="1" x14ac:dyDescent="0.25">
      <c r="A455" s="61" t="s">
        <v>168</v>
      </c>
      <c r="B455" s="61">
        <v>1989</v>
      </c>
      <c r="C455" s="64">
        <v>20.8884834827732</v>
      </c>
      <c r="D455" s="64">
        <v>3.9130241683713201</v>
      </c>
      <c r="E455" s="59" t="s">
        <v>158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</row>
    <row r="456" spans="1:22" s="59" customFormat="1" x14ac:dyDescent="0.25">
      <c r="A456" s="61" t="s">
        <v>168</v>
      </c>
      <c r="B456" s="61">
        <v>1990</v>
      </c>
      <c r="C456" s="64">
        <v>21.214101714423901</v>
      </c>
      <c r="D456" s="64">
        <v>5.7234299850911903</v>
      </c>
      <c r="E456" s="59" t="s">
        <v>158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</row>
    <row r="457" spans="1:22" s="59" customFormat="1" x14ac:dyDescent="0.25">
      <c r="A457" s="61" t="s">
        <v>168</v>
      </c>
      <c r="B457" s="61">
        <v>1991</v>
      </c>
      <c r="C457" s="64">
        <v>19.522981109691202</v>
      </c>
      <c r="D457" s="64">
        <v>5.0114026576872002</v>
      </c>
      <c r="E457" s="59" t="s">
        <v>158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</row>
    <row r="458" spans="1:22" s="59" customFormat="1" x14ac:dyDescent="0.25">
      <c r="A458" s="61" t="s">
        <v>168</v>
      </c>
      <c r="B458" s="61">
        <v>1992</v>
      </c>
      <c r="C458" s="64">
        <v>18.838583702888201</v>
      </c>
      <c r="D458" s="64">
        <v>2.3058166544852998</v>
      </c>
      <c r="E458" s="59" t="s">
        <v>158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</row>
    <row r="459" spans="1:22" s="59" customFormat="1" x14ac:dyDescent="0.25">
      <c r="A459" s="61" t="s">
        <v>168</v>
      </c>
      <c r="B459" s="61">
        <v>1993</v>
      </c>
      <c r="C459" s="64">
        <v>20.680250396282901</v>
      </c>
      <c r="D459" s="64">
        <v>-0.78878283736043597</v>
      </c>
      <c r="E459" s="59" t="s">
        <v>158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</row>
    <row r="460" spans="1:22" s="59" customFormat="1" x14ac:dyDescent="0.25">
      <c r="A460" s="61" t="s">
        <v>168</v>
      </c>
      <c r="B460" s="61">
        <v>1994</v>
      </c>
      <c r="C460" s="64">
        <v>20.4573449196517</v>
      </c>
      <c r="D460" s="64">
        <v>2.6260657707294599</v>
      </c>
      <c r="E460" s="59" t="s">
        <v>158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</row>
    <row r="461" spans="1:22" s="59" customFormat="1" x14ac:dyDescent="0.25">
      <c r="A461" s="61" t="s">
        <v>168</v>
      </c>
      <c r="B461" s="61">
        <v>1995</v>
      </c>
      <c r="C461" s="64">
        <v>20.866153659718901</v>
      </c>
      <c r="D461" s="64">
        <v>1.8394327998847899</v>
      </c>
      <c r="E461" s="59" t="s">
        <v>158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</row>
    <row r="462" spans="1:22" s="59" customFormat="1" x14ac:dyDescent="0.25">
      <c r="A462" s="61" t="s">
        <v>168</v>
      </c>
      <c r="B462" s="61">
        <v>1996</v>
      </c>
      <c r="C462" s="64">
        <v>22.705705698663099</v>
      </c>
      <c r="D462" s="64">
        <v>0.95156314125774999</v>
      </c>
      <c r="E462" s="59" t="s">
        <v>158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</row>
    <row r="463" spans="1:22" s="59" customFormat="1" x14ac:dyDescent="0.25">
      <c r="A463" s="61" t="s">
        <v>168</v>
      </c>
      <c r="B463" s="61">
        <v>1997</v>
      </c>
      <c r="C463" s="64">
        <v>23.997946105739398</v>
      </c>
      <c r="D463" s="64">
        <v>1.71199980545458</v>
      </c>
      <c r="E463" s="59" t="s">
        <v>158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</row>
    <row r="464" spans="1:22" s="59" customFormat="1" x14ac:dyDescent="0.25">
      <c r="A464" s="61" t="s">
        <v>168</v>
      </c>
      <c r="B464" s="61">
        <v>1998</v>
      </c>
      <c r="C464" s="64">
        <v>24.829798852171301</v>
      </c>
      <c r="D464" s="64">
        <v>1.9773666262468299</v>
      </c>
      <c r="E464" s="59" t="s">
        <v>158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</row>
    <row r="465" spans="1:22" s="59" customFormat="1" x14ac:dyDescent="0.25">
      <c r="A465" s="61" t="s">
        <v>168</v>
      </c>
      <c r="B465" s="61">
        <v>1999</v>
      </c>
      <c r="C465" s="64">
        <v>35.2037773359841</v>
      </c>
      <c r="D465" s="64">
        <v>1.93168560720931</v>
      </c>
      <c r="E465" s="59" t="s">
        <v>159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</row>
    <row r="466" spans="1:22" s="59" customFormat="1" x14ac:dyDescent="0.25">
      <c r="A466" s="61" t="s">
        <v>168</v>
      </c>
      <c r="B466" s="61">
        <v>2000</v>
      </c>
      <c r="C466" s="64">
        <v>34.695752529102698</v>
      </c>
      <c r="D466" s="64">
        <v>3.2242838077780398</v>
      </c>
      <c r="E466" s="59" t="s">
        <v>159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</row>
    <row r="467" spans="1:22" s="59" customFormat="1" x14ac:dyDescent="0.25">
      <c r="A467" s="61" t="s">
        <v>168</v>
      </c>
      <c r="B467" s="61">
        <v>2001</v>
      </c>
      <c r="C467" s="64">
        <v>32.997988651209504</v>
      </c>
      <c r="D467" s="64">
        <v>1.15079441968611</v>
      </c>
      <c r="E467" s="59" t="s">
        <v>159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</row>
    <row r="468" spans="1:22" s="59" customFormat="1" x14ac:dyDescent="0.25">
      <c r="A468" s="61" t="s">
        <v>168</v>
      </c>
      <c r="B468" s="61">
        <v>2002</v>
      </c>
      <c r="C468" s="64">
        <v>33.566908123817001</v>
      </c>
      <c r="D468" s="64">
        <v>6.2734746477222103E-3</v>
      </c>
      <c r="E468" s="59" t="s">
        <v>159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</row>
    <row r="469" spans="1:22" s="59" customFormat="1" x14ac:dyDescent="0.25">
      <c r="A469" s="61" t="s">
        <v>168</v>
      </c>
      <c r="B469" s="61">
        <v>2003</v>
      </c>
      <c r="C469" s="64">
        <v>35.479891255997799</v>
      </c>
      <c r="D469" s="64">
        <v>-0.231146278674221</v>
      </c>
      <c r="E469" s="59" t="s">
        <v>159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</row>
    <row r="470" spans="1:22" s="59" customFormat="1" x14ac:dyDescent="0.25">
      <c r="A470" s="61" t="s">
        <v>168</v>
      </c>
      <c r="B470" s="61">
        <v>2004</v>
      </c>
      <c r="C470" s="64">
        <v>36.732726258659497</v>
      </c>
      <c r="D470" s="64">
        <v>1.1762159214883501</v>
      </c>
      <c r="E470" s="59" t="s">
        <v>159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</row>
    <row r="471" spans="1:22" s="59" customFormat="1" x14ac:dyDescent="0.25">
      <c r="A471" s="61" t="s">
        <v>168</v>
      </c>
      <c r="B471" s="61">
        <v>2005</v>
      </c>
      <c r="C471" s="64">
        <v>39.508450669001498</v>
      </c>
      <c r="D471" s="64">
        <v>0.73207977164726501</v>
      </c>
      <c r="E471" s="59" t="s">
        <v>159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</row>
    <row r="472" spans="1:22" s="59" customFormat="1" x14ac:dyDescent="0.25">
      <c r="A472" s="61" t="s">
        <v>168</v>
      </c>
      <c r="B472" s="61">
        <v>2006</v>
      </c>
      <c r="C472" s="64">
        <v>39.582635419000397</v>
      </c>
      <c r="D472" s="64">
        <v>3.1758986417531401</v>
      </c>
      <c r="E472" s="59" t="s">
        <v>159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</row>
    <row r="473" spans="1:22" s="59" customFormat="1" x14ac:dyDescent="0.25">
      <c r="A473" s="61" t="s">
        <v>168</v>
      </c>
      <c r="B473" s="61">
        <v>2007</v>
      </c>
      <c r="C473" s="64">
        <v>38.711308788402903</v>
      </c>
      <c r="D473" s="64">
        <v>2.5164822926042798</v>
      </c>
      <c r="E473" s="59" t="s">
        <v>159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</row>
    <row r="474" spans="1:22" s="59" customFormat="1" x14ac:dyDescent="0.25">
      <c r="A474" s="61" t="s">
        <v>168</v>
      </c>
      <c r="B474" s="61">
        <v>2008</v>
      </c>
      <c r="C474" s="64">
        <v>38.712917701738903</v>
      </c>
      <c r="D474" s="64">
        <v>1.24810326772242</v>
      </c>
      <c r="E474" s="59" t="s">
        <v>159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</row>
    <row r="475" spans="1:22" s="59" customFormat="1" x14ac:dyDescent="0.25">
      <c r="A475" s="61" t="s">
        <v>168</v>
      </c>
      <c r="B475" s="61">
        <v>2009</v>
      </c>
      <c r="C475" s="64">
        <v>43.718769366600696</v>
      </c>
      <c r="D475" s="64">
        <v>-5.2968337730870596</v>
      </c>
      <c r="E475" s="59" t="s">
        <v>159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</row>
    <row r="476" spans="1:22" s="59" customFormat="1" x14ac:dyDescent="0.25">
      <c r="A476" s="61" t="s">
        <v>169</v>
      </c>
      <c r="B476" s="61">
        <v>1970</v>
      </c>
      <c r="C476" s="64">
        <v>18.822100968682498</v>
      </c>
      <c r="D476" s="64">
        <v>7.9549273500049402</v>
      </c>
      <c r="E476" s="59" t="s">
        <v>158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</row>
    <row r="477" spans="1:22" s="59" customFormat="1" x14ac:dyDescent="0.25">
      <c r="A477" s="61" t="s">
        <v>169</v>
      </c>
      <c r="B477" s="61">
        <v>1971</v>
      </c>
      <c r="C477" s="64">
        <v>19.004789781798799</v>
      </c>
      <c r="D477" s="64">
        <v>7.1178743430570002</v>
      </c>
      <c r="E477" s="59" t="s">
        <v>158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</row>
    <row r="478" spans="1:22" s="59" customFormat="1" x14ac:dyDescent="0.25">
      <c r="A478" s="61" t="s">
        <v>169</v>
      </c>
      <c r="B478" s="61">
        <v>1972</v>
      </c>
      <c r="C478" s="64">
        <v>20.1204135162908</v>
      </c>
      <c r="D478" s="64">
        <v>12.4435858862144</v>
      </c>
      <c r="E478" s="59" t="s">
        <v>158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</row>
    <row r="479" spans="1:22" s="59" customFormat="1" x14ac:dyDescent="0.25">
      <c r="A479" s="61" t="s">
        <v>169</v>
      </c>
      <c r="B479" s="61">
        <v>1973</v>
      </c>
      <c r="C479" s="64">
        <v>16.555721547987901</v>
      </c>
      <c r="D479" s="64">
        <v>3.9224629418472201</v>
      </c>
      <c r="E479" s="59" t="s">
        <v>158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</row>
    <row r="480" spans="1:22" s="59" customFormat="1" x14ac:dyDescent="0.25">
      <c r="A480" s="61" t="s">
        <v>169</v>
      </c>
      <c r="B480" s="61">
        <v>1974</v>
      </c>
      <c r="C480" s="64">
        <v>17.477994366680399</v>
      </c>
      <c r="D480" s="64">
        <v>-3.6383585692341498</v>
      </c>
      <c r="E480" s="59" t="s">
        <v>158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</row>
    <row r="481" spans="1:22" s="59" customFormat="1" x14ac:dyDescent="0.25">
      <c r="A481" s="61" t="s">
        <v>169</v>
      </c>
      <c r="B481" s="61">
        <v>1975</v>
      </c>
      <c r="C481" s="64">
        <v>18.176321507537601</v>
      </c>
      <c r="D481" s="64">
        <v>6.0499787453695202</v>
      </c>
      <c r="E481" s="59" t="s">
        <v>158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</row>
    <row r="482" spans="1:22" s="59" customFormat="1" x14ac:dyDescent="0.25">
      <c r="A482" s="61" t="s">
        <v>169</v>
      </c>
      <c r="B482" s="61">
        <v>1976</v>
      </c>
      <c r="C482" s="64">
        <v>20.804360217315001</v>
      </c>
      <c r="D482" s="64">
        <v>6.3604999069474504</v>
      </c>
      <c r="E482" s="59" t="s">
        <v>158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</row>
    <row r="483" spans="1:22" s="59" customFormat="1" x14ac:dyDescent="0.25">
      <c r="A483" s="61" t="s">
        <v>169</v>
      </c>
      <c r="B483" s="61">
        <v>1977</v>
      </c>
      <c r="C483" s="64">
        <v>23.2328527741372</v>
      </c>
      <c r="D483" s="64">
        <v>3.4281791751911399</v>
      </c>
      <c r="E483" s="59" t="s">
        <v>158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</row>
    <row r="484" spans="1:22" s="59" customFormat="1" x14ac:dyDescent="0.25">
      <c r="A484" s="61" t="s">
        <v>169</v>
      </c>
      <c r="B484" s="61">
        <v>1978</v>
      </c>
      <c r="C484" s="64">
        <v>23.651987110633701</v>
      </c>
      <c r="D484" s="64">
        <v>6.6967713389638703</v>
      </c>
      <c r="E484" s="59" t="s">
        <v>158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</row>
    <row r="485" spans="1:22" s="59" customFormat="1" x14ac:dyDescent="0.25">
      <c r="A485" s="61" t="s">
        <v>169</v>
      </c>
      <c r="B485" s="61">
        <v>1979</v>
      </c>
      <c r="C485" s="64">
        <v>23.133294864397001</v>
      </c>
      <c r="D485" s="64">
        <v>3.6907390015733701</v>
      </c>
      <c r="E485" s="59" t="s">
        <v>158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</row>
    <row r="486" spans="1:22" s="59" customFormat="1" x14ac:dyDescent="0.25">
      <c r="A486" s="61" t="s">
        <v>169</v>
      </c>
      <c r="B486" s="61">
        <v>1980</v>
      </c>
      <c r="C486" s="64">
        <v>24.592685154034701</v>
      </c>
      <c r="D486" s="64">
        <v>0.67700000000000005</v>
      </c>
      <c r="E486" s="59" t="s">
        <v>158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</row>
    <row r="487" spans="1:22" s="59" customFormat="1" x14ac:dyDescent="0.25">
      <c r="A487" s="61" t="s">
        <v>169</v>
      </c>
      <c r="B487" s="61">
        <v>1981</v>
      </c>
      <c r="C487" s="64">
        <v>28.773887907499599</v>
      </c>
      <c r="D487" s="64">
        <v>-1.554</v>
      </c>
      <c r="E487" s="59" t="s">
        <v>158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</row>
    <row r="488" spans="1:22" s="59" customFormat="1" x14ac:dyDescent="0.25">
      <c r="A488" s="61" t="s">
        <v>169</v>
      </c>
      <c r="B488" s="61">
        <v>1982</v>
      </c>
      <c r="C488" s="64">
        <v>29.634241529634298</v>
      </c>
      <c r="D488" s="64">
        <v>-1.133</v>
      </c>
      <c r="E488" s="59" t="s">
        <v>158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</row>
    <row r="489" spans="1:22" s="59" customFormat="1" x14ac:dyDescent="0.25">
      <c r="A489" s="61" t="s">
        <v>169</v>
      </c>
      <c r="B489" s="61">
        <v>1983</v>
      </c>
      <c r="C489" s="64">
        <v>33.959588133959699</v>
      </c>
      <c r="D489" s="64">
        <v>-1.079</v>
      </c>
      <c r="E489" s="59" t="s">
        <v>159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</row>
    <row r="490" spans="1:22" s="59" customFormat="1" x14ac:dyDescent="0.25">
      <c r="A490" s="61" t="s">
        <v>169</v>
      </c>
      <c r="B490" s="61">
        <v>1984</v>
      </c>
      <c r="C490" s="64">
        <v>40.503248040503401</v>
      </c>
      <c r="D490" s="64">
        <v>2.0110000000000001</v>
      </c>
      <c r="E490" s="59" t="s">
        <v>159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</row>
    <row r="491" spans="1:22" s="59" customFormat="1" x14ac:dyDescent="0.25">
      <c r="A491" s="61" t="s">
        <v>169</v>
      </c>
      <c r="B491" s="61">
        <v>1985</v>
      </c>
      <c r="C491" s="64">
        <v>47.132628047132599</v>
      </c>
      <c r="D491" s="64">
        <v>2.5099999999999998</v>
      </c>
      <c r="E491" s="59" t="s">
        <v>159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</row>
    <row r="492" spans="1:22" s="59" customFormat="1" x14ac:dyDescent="0.25">
      <c r="A492" s="61" t="s">
        <v>169</v>
      </c>
      <c r="B492" s="61">
        <v>1986</v>
      </c>
      <c r="C492" s="64">
        <v>47.660039947660103</v>
      </c>
      <c r="D492" s="64">
        <v>0.51800000000000002</v>
      </c>
      <c r="E492" s="59" t="s">
        <v>159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</row>
    <row r="493" spans="1:22" s="59" customFormat="1" x14ac:dyDescent="0.25">
      <c r="A493" s="61" t="s">
        <v>169</v>
      </c>
      <c r="B493" s="61">
        <v>1987</v>
      </c>
      <c r="C493" s="64">
        <v>52.987777652987802</v>
      </c>
      <c r="D493" s="64">
        <v>-2.2589999999999999</v>
      </c>
      <c r="E493" s="59" t="s">
        <v>159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</row>
    <row r="494" spans="1:22" s="59" customFormat="1" x14ac:dyDescent="0.25">
      <c r="A494" s="61" t="s">
        <v>169</v>
      </c>
      <c r="B494" s="61">
        <v>1988</v>
      </c>
      <c r="C494" s="64">
        <v>62.663144762663102</v>
      </c>
      <c r="D494" s="64">
        <v>4.2880000000000003</v>
      </c>
      <c r="E494" s="59" t="s">
        <v>156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</row>
    <row r="495" spans="1:22" s="59" customFormat="1" x14ac:dyDescent="0.25">
      <c r="A495" s="61" t="s">
        <v>169</v>
      </c>
      <c r="B495" s="61">
        <v>1989</v>
      </c>
      <c r="C495" s="64">
        <v>65.840295465840299</v>
      </c>
      <c r="D495" s="64">
        <v>3.8</v>
      </c>
      <c r="E495" s="59" t="s">
        <v>156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</row>
    <row r="496" spans="1:22" s="59" customFormat="1" x14ac:dyDescent="0.25">
      <c r="A496" s="61" t="s">
        <v>169</v>
      </c>
      <c r="B496" s="61">
        <v>1990</v>
      </c>
      <c r="C496" s="64">
        <v>89.066840389066499</v>
      </c>
      <c r="D496" s="64">
        <v>0</v>
      </c>
      <c r="E496" s="59" t="s">
        <v>156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</row>
    <row r="497" spans="1:22" s="59" customFormat="1" x14ac:dyDescent="0.25">
      <c r="A497" s="61" t="s">
        <v>169</v>
      </c>
      <c r="B497" s="61">
        <v>1991</v>
      </c>
      <c r="C497" s="64">
        <v>91.124768591124607</v>
      </c>
      <c r="D497" s="64">
        <v>3.1</v>
      </c>
      <c r="E497" s="59" t="s">
        <v>160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</row>
    <row r="498" spans="1:22" s="59" customFormat="1" x14ac:dyDescent="0.25">
      <c r="A498" s="61" t="s">
        <v>169</v>
      </c>
      <c r="B498" s="61">
        <v>1992</v>
      </c>
      <c r="C498" s="64">
        <v>97.609643697609698</v>
      </c>
      <c r="D498" s="64">
        <v>0.7</v>
      </c>
      <c r="E498" s="59" t="s">
        <v>160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</row>
    <row r="499" spans="1:22" s="59" customFormat="1" x14ac:dyDescent="0.25">
      <c r="A499" s="61" t="s">
        <v>169</v>
      </c>
      <c r="B499" s="61">
        <v>1993</v>
      </c>
      <c r="C499" s="64">
        <v>97.608000000000004</v>
      </c>
      <c r="D499" s="64">
        <v>-1.6</v>
      </c>
      <c r="E499" s="59" t="s">
        <v>160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</row>
    <row r="500" spans="1:22" s="59" customFormat="1" x14ac:dyDescent="0.25">
      <c r="A500" s="61" t="s">
        <v>169</v>
      </c>
      <c r="B500" s="61">
        <v>1994</v>
      </c>
      <c r="C500" s="64">
        <v>103.197</v>
      </c>
      <c r="D500" s="64">
        <v>2</v>
      </c>
      <c r="E500" s="59" t="s">
        <v>160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</row>
    <row r="501" spans="1:22" s="59" customFormat="1" x14ac:dyDescent="0.25">
      <c r="A501" s="61" t="s">
        <v>169</v>
      </c>
      <c r="B501" s="61">
        <v>1995</v>
      </c>
      <c r="C501" s="64">
        <v>104.806</v>
      </c>
      <c r="D501" s="64">
        <v>2.1</v>
      </c>
      <c r="E501" s="59" t="s">
        <v>160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</row>
    <row r="502" spans="1:22" s="59" customFormat="1" x14ac:dyDescent="0.25">
      <c r="A502" s="61" t="s">
        <v>169</v>
      </c>
      <c r="B502" s="61">
        <v>1996</v>
      </c>
      <c r="C502" s="64">
        <v>108.105</v>
      </c>
      <c r="D502" s="64">
        <v>2.3580000000000001</v>
      </c>
      <c r="E502" s="59" t="s">
        <v>160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</row>
    <row r="503" spans="1:22" s="59" customFormat="1" x14ac:dyDescent="0.25">
      <c r="A503" s="61" t="s">
        <v>169</v>
      </c>
      <c r="B503" s="61">
        <v>1997</v>
      </c>
      <c r="C503" s="64">
        <v>105.22</v>
      </c>
      <c r="D503" s="64">
        <v>3.6379999999999999</v>
      </c>
      <c r="E503" s="59" t="s">
        <v>160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</row>
    <row r="504" spans="1:22" s="59" customFormat="1" x14ac:dyDescent="0.25">
      <c r="A504" s="61" t="s">
        <v>169</v>
      </c>
      <c r="B504" s="61">
        <v>1998</v>
      </c>
      <c r="C504" s="64">
        <v>103.746</v>
      </c>
      <c r="D504" s="64">
        <v>3.3639999999999999</v>
      </c>
      <c r="E504" s="59" t="s">
        <v>160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</row>
    <row r="505" spans="1:22" s="59" customFormat="1" x14ac:dyDescent="0.25">
      <c r="A505" s="61" t="s">
        <v>169</v>
      </c>
      <c r="B505" s="61">
        <v>1999</v>
      </c>
      <c r="C505" s="64">
        <v>103.56100000000001</v>
      </c>
      <c r="D505" s="64">
        <v>3.42</v>
      </c>
      <c r="E505" s="59" t="s">
        <v>160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</row>
    <row r="506" spans="1:22" s="59" customFormat="1" x14ac:dyDescent="0.25">
      <c r="A506" s="61" t="s">
        <v>169</v>
      </c>
      <c r="B506" s="61">
        <v>2000</v>
      </c>
      <c r="C506" s="64">
        <v>108.926</v>
      </c>
      <c r="D506" s="64">
        <v>4.4770000000000003</v>
      </c>
      <c r="E506" s="59" t="s">
        <v>160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</row>
    <row r="507" spans="1:22" s="59" customFormat="1" x14ac:dyDescent="0.25">
      <c r="A507" s="61" t="s">
        <v>169</v>
      </c>
      <c r="B507" s="61">
        <v>2001</v>
      </c>
      <c r="C507" s="64">
        <v>109.684</v>
      </c>
      <c r="D507" s="64">
        <v>4.1970000000000001</v>
      </c>
      <c r="E507" s="59" t="s">
        <v>160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</row>
    <row r="508" spans="1:22" s="59" customFormat="1" x14ac:dyDescent="0.25">
      <c r="A508" s="61" t="s">
        <v>169</v>
      </c>
      <c r="B508" s="61">
        <v>2002</v>
      </c>
      <c r="C508" s="64">
        <v>109.199</v>
      </c>
      <c r="D508" s="64">
        <v>3.4390000000000001</v>
      </c>
      <c r="E508" s="59" t="s">
        <v>160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</row>
    <row r="509" spans="1:22" s="59" customFormat="1" x14ac:dyDescent="0.25">
      <c r="A509" s="61" t="s">
        <v>169</v>
      </c>
      <c r="B509" s="61">
        <v>2003</v>
      </c>
      <c r="C509" s="64">
        <v>106.407</v>
      </c>
      <c r="D509" s="64">
        <v>5.5819999999999999</v>
      </c>
      <c r="E509" s="59" t="s">
        <v>160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</row>
    <row r="510" spans="1:22" s="59" customFormat="1" x14ac:dyDescent="0.25">
      <c r="A510" s="61" t="s">
        <v>169</v>
      </c>
      <c r="B510" s="61">
        <v>2004</v>
      </c>
      <c r="C510" s="64">
        <v>108.282</v>
      </c>
      <c r="D510" s="64">
        <v>4.9160000000000004</v>
      </c>
      <c r="E510" s="59" t="s">
        <v>160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</row>
    <row r="511" spans="1:22" s="59" customFormat="1" x14ac:dyDescent="0.25">
      <c r="A511" s="61" t="s">
        <v>169</v>
      </c>
      <c r="B511" s="61">
        <v>2005</v>
      </c>
      <c r="C511" s="64">
        <v>108.991</v>
      </c>
      <c r="D511" s="64">
        <v>2.8980000000000001</v>
      </c>
      <c r="E511" s="59" t="s">
        <v>160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</row>
    <row r="512" spans="1:22" s="59" customFormat="1" x14ac:dyDescent="0.25">
      <c r="A512" s="61" t="s">
        <v>169</v>
      </c>
      <c r="B512" s="61">
        <v>2006</v>
      </c>
      <c r="C512" s="64">
        <v>106.10299999999999</v>
      </c>
      <c r="D512" s="64">
        <v>4.4969999999999999</v>
      </c>
      <c r="E512" s="59" t="s">
        <v>160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</row>
    <row r="513" spans="1:22" s="59" customFormat="1" x14ac:dyDescent="0.25">
      <c r="A513" s="61" t="s">
        <v>169</v>
      </c>
      <c r="B513" s="61">
        <v>2007</v>
      </c>
      <c r="C513" s="64">
        <v>105.03</v>
      </c>
      <c r="D513" s="64">
        <v>4.0359999999999996</v>
      </c>
      <c r="E513" s="59" t="s">
        <v>160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</row>
    <row r="514" spans="1:22" s="59" customFormat="1" x14ac:dyDescent="0.25">
      <c r="A514" s="61" t="s">
        <v>169</v>
      </c>
      <c r="B514" s="61">
        <v>2008</v>
      </c>
      <c r="C514" s="64">
        <v>107.872</v>
      </c>
      <c r="D514" s="64">
        <v>2.9329999999999998</v>
      </c>
      <c r="E514" s="59" t="s">
        <v>160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</row>
    <row r="515" spans="1:22" s="59" customFormat="1" x14ac:dyDescent="0.25">
      <c r="A515" s="61" t="s">
        <v>169</v>
      </c>
      <c r="B515" s="61">
        <v>2009</v>
      </c>
      <c r="C515" s="64">
        <v>100</v>
      </c>
      <c r="D515" s="64">
        <v>-0.753</v>
      </c>
      <c r="E515" s="59" t="s">
        <v>160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</row>
    <row r="516" spans="1:22" s="59" customFormat="1" x14ac:dyDescent="0.25">
      <c r="A516" s="61" t="s">
        <v>170</v>
      </c>
      <c r="B516" s="61">
        <v>1947</v>
      </c>
      <c r="C516" s="64">
        <v>20.590530728046101</v>
      </c>
      <c r="D516" s="64">
        <v>1.8947368421052599</v>
      </c>
      <c r="E516" s="59" t="s">
        <v>158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</row>
    <row r="517" spans="1:22" s="59" customFormat="1" x14ac:dyDescent="0.25">
      <c r="A517" s="61" t="s">
        <v>170</v>
      </c>
      <c r="B517" s="61">
        <v>1948</v>
      </c>
      <c r="C517" s="64">
        <v>21.017088509657501</v>
      </c>
      <c r="D517" s="64">
        <v>4.8608090474119301</v>
      </c>
      <c r="E517" s="59" t="s">
        <v>158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</row>
    <row r="518" spans="1:22" s="59" customFormat="1" x14ac:dyDescent="0.25">
      <c r="A518" s="61" t="s">
        <v>170</v>
      </c>
      <c r="B518" s="61">
        <v>1949</v>
      </c>
      <c r="C518" s="64">
        <v>27.543229960148398</v>
      </c>
      <c r="D518" s="64">
        <v>5.2369594524525498</v>
      </c>
      <c r="E518" s="59" t="s">
        <v>158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</row>
    <row r="519" spans="1:22" s="59" customFormat="1" x14ac:dyDescent="0.25">
      <c r="A519" s="61" t="s">
        <v>170</v>
      </c>
      <c r="B519" s="61">
        <v>1950</v>
      </c>
      <c r="C519" s="64">
        <v>37.684479287297599</v>
      </c>
      <c r="D519" s="64">
        <v>0.81789515175403305</v>
      </c>
      <c r="E519" s="59" t="s">
        <v>159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</row>
    <row r="520" spans="1:22" s="59" customFormat="1" x14ac:dyDescent="0.25">
      <c r="A520" s="61" t="s">
        <v>170</v>
      </c>
      <c r="B520" s="61">
        <v>1951</v>
      </c>
      <c r="C520" s="64">
        <v>45.606414632627299</v>
      </c>
      <c r="D520" s="64">
        <v>2.5119734141335202</v>
      </c>
      <c r="E520" s="59" t="s">
        <v>159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</row>
    <row r="521" spans="1:22" s="59" customFormat="1" x14ac:dyDescent="0.25">
      <c r="A521" s="61" t="s">
        <v>170</v>
      </c>
      <c r="B521" s="61">
        <v>1952</v>
      </c>
      <c r="C521" s="64">
        <v>47.428865452534403</v>
      </c>
      <c r="D521" s="64">
        <v>2.52669717772693</v>
      </c>
      <c r="E521" s="59" t="s">
        <v>159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</row>
    <row r="522" spans="1:22" s="59" customFormat="1" x14ac:dyDescent="0.25">
      <c r="A522" s="61" t="s">
        <v>170</v>
      </c>
      <c r="B522" s="61">
        <v>1953</v>
      </c>
      <c r="C522" s="64">
        <v>49.222756791946502</v>
      </c>
      <c r="D522" s="64">
        <v>2.6969217892680999</v>
      </c>
      <c r="E522" s="59" t="s">
        <v>159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</row>
    <row r="523" spans="1:22" s="59" customFormat="1" x14ac:dyDescent="0.25">
      <c r="A523" s="61" t="s">
        <v>170</v>
      </c>
      <c r="B523" s="61">
        <v>1954</v>
      </c>
      <c r="C523" s="64">
        <v>55.983426375468497</v>
      </c>
      <c r="D523" s="64">
        <v>0.89649551752242196</v>
      </c>
      <c r="E523" s="59" t="s">
        <v>159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</row>
    <row r="524" spans="1:22" s="59" customFormat="1" x14ac:dyDescent="0.25">
      <c r="A524" s="61" t="s">
        <v>170</v>
      </c>
      <c r="B524" s="61">
        <v>1955</v>
      </c>
      <c r="C524" s="64">
        <v>63.8198680452563</v>
      </c>
      <c r="D524" s="64">
        <v>2.6027643152037401</v>
      </c>
      <c r="E524" s="59" t="s">
        <v>156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</row>
    <row r="525" spans="1:22" s="59" customFormat="1" x14ac:dyDescent="0.25">
      <c r="A525" s="61" t="s">
        <v>170</v>
      </c>
      <c r="B525" s="61">
        <v>1956</v>
      </c>
      <c r="C525" s="64">
        <v>67.314450614522997</v>
      </c>
      <c r="D525" s="64">
        <v>-1.3033589923023099</v>
      </c>
      <c r="E525" s="59" t="s">
        <v>156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</row>
    <row r="526" spans="1:22" s="59" customFormat="1" x14ac:dyDescent="0.25">
      <c r="A526" s="61" t="s">
        <v>170</v>
      </c>
      <c r="B526" s="61">
        <v>1957</v>
      </c>
      <c r="C526" s="64">
        <v>70.149163804752902</v>
      </c>
      <c r="D526" s="64">
        <v>-0.150669148276172</v>
      </c>
      <c r="E526" s="59" t="s">
        <v>156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</row>
    <row r="527" spans="1:22" s="59" customFormat="1" x14ac:dyDescent="0.25">
      <c r="A527" s="61" t="s">
        <v>170</v>
      </c>
      <c r="B527" s="61">
        <v>1958</v>
      </c>
      <c r="C527" s="64">
        <v>72.794230814560507</v>
      </c>
      <c r="D527" s="64">
        <v>-2.0592934493165198</v>
      </c>
      <c r="E527" s="59" t="s">
        <v>156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</row>
    <row r="528" spans="1:22" s="59" customFormat="1" x14ac:dyDescent="0.25">
      <c r="A528" s="61" t="s">
        <v>170</v>
      </c>
      <c r="B528" s="61">
        <v>1959</v>
      </c>
      <c r="C528" s="64">
        <v>70.336696455056398</v>
      </c>
      <c r="D528" s="64">
        <v>4.0511147362697102</v>
      </c>
      <c r="E528" s="59" t="s">
        <v>156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</row>
    <row r="529" spans="1:22" s="59" customFormat="1" x14ac:dyDescent="0.25">
      <c r="A529" s="61" t="s">
        <v>170</v>
      </c>
      <c r="B529" s="61">
        <v>1960</v>
      </c>
      <c r="C529" s="64">
        <v>73.639081134041803</v>
      </c>
      <c r="D529" s="64">
        <v>5.6266875707691</v>
      </c>
      <c r="E529" s="59" t="s">
        <v>156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</row>
    <row r="530" spans="1:22" s="59" customFormat="1" x14ac:dyDescent="0.25">
      <c r="A530" s="61" t="s">
        <v>170</v>
      </c>
      <c r="B530" s="61">
        <v>1961</v>
      </c>
      <c r="C530" s="64">
        <v>73.660388546967795</v>
      </c>
      <c r="D530" s="64">
        <v>4.7744701904840499</v>
      </c>
      <c r="E530" s="59" t="s">
        <v>156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</row>
    <row r="531" spans="1:22" s="59" customFormat="1" x14ac:dyDescent="0.25">
      <c r="A531" s="61" t="s">
        <v>170</v>
      </c>
      <c r="B531" s="61">
        <v>1962</v>
      </c>
      <c r="C531" s="64">
        <v>73.513124821433706</v>
      </c>
      <c r="D531" s="64">
        <v>3.2583031638595998</v>
      </c>
      <c r="E531" s="59" t="s">
        <v>156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</row>
    <row r="532" spans="1:22" s="59" customFormat="1" x14ac:dyDescent="0.25">
      <c r="A532" s="61" t="s">
        <v>170</v>
      </c>
      <c r="B532" s="61">
        <v>1963</v>
      </c>
      <c r="C532" s="64">
        <v>74.475065290139099</v>
      </c>
      <c r="D532" s="64">
        <v>4.7332317073170804</v>
      </c>
      <c r="E532" s="59" t="s">
        <v>156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</row>
    <row r="533" spans="1:22" s="59" customFormat="1" x14ac:dyDescent="0.25">
      <c r="A533" s="61" t="s">
        <v>170</v>
      </c>
      <c r="B533" s="61">
        <v>1964</v>
      </c>
      <c r="C533" s="64">
        <v>70.889501535793499</v>
      </c>
      <c r="D533" s="64">
        <v>3.91529000800523</v>
      </c>
      <c r="E533" s="59" t="s">
        <v>156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</row>
    <row r="534" spans="1:22" s="59" customFormat="1" x14ac:dyDescent="0.25">
      <c r="A534" s="61" t="s">
        <v>170</v>
      </c>
      <c r="B534" s="61">
        <v>1965</v>
      </c>
      <c r="C534" s="64">
        <v>73.418363953061501</v>
      </c>
      <c r="D534" s="64">
        <v>1.7438195952097499</v>
      </c>
      <c r="E534" s="59" t="s">
        <v>156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</row>
    <row r="535" spans="1:22" s="59" customFormat="1" x14ac:dyDescent="0.25">
      <c r="A535" s="61" t="s">
        <v>170</v>
      </c>
      <c r="B535" s="61">
        <v>1966</v>
      </c>
      <c r="C535" s="64">
        <v>78.054638246772697</v>
      </c>
      <c r="D535" s="64">
        <v>0.853524229074898</v>
      </c>
      <c r="E535" s="59" t="s">
        <v>156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</row>
    <row r="536" spans="1:22" s="59" customFormat="1" x14ac:dyDescent="0.25">
      <c r="A536" s="61" t="s">
        <v>170</v>
      </c>
      <c r="B536" s="61">
        <v>1967</v>
      </c>
      <c r="C536" s="64">
        <v>76.972958165660998</v>
      </c>
      <c r="D536" s="64">
        <v>5.9309309309309297</v>
      </c>
      <c r="E536" s="59" t="s">
        <v>156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</row>
    <row r="537" spans="1:22" s="59" customFormat="1" x14ac:dyDescent="0.25">
      <c r="A537" s="61" t="s">
        <v>170</v>
      </c>
      <c r="B537" s="61">
        <v>1968</v>
      </c>
      <c r="C537" s="64">
        <v>66.104765615906601</v>
      </c>
      <c r="D537" s="64">
        <v>8.2662199600541193</v>
      </c>
      <c r="E537" s="59" t="s">
        <v>156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</row>
    <row r="538" spans="1:22" s="59" customFormat="1" x14ac:dyDescent="0.25">
      <c r="A538" s="61" t="s">
        <v>170</v>
      </c>
      <c r="B538" s="61">
        <v>1969</v>
      </c>
      <c r="C538" s="64">
        <v>63.585673342706002</v>
      </c>
      <c r="D538" s="64">
        <v>6.0164246607950398</v>
      </c>
      <c r="E538" s="59" t="s">
        <v>156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</row>
    <row r="539" spans="1:22" s="59" customFormat="1" x14ac:dyDescent="0.25">
      <c r="A539" s="61" t="s">
        <v>170</v>
      </c>
      <c r="B539" s="61">
        <v>1970</v>
      </c>
      <c r="C539" s="64">
        <v>62.237488734334299</v>
      </c>
      <c r="D539" s="64">
        <v>2.6606792029188799</v>
      </c>
      <c r="E539" s="59" t="s">
        <v>156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</row>
    <row r="540" spans="1:22" s="59" customFormat="1" x14ac:dyDescent="0.25">
      <c r="A540" s="61" t="s">
        <v>170</v>
      </c>
      <c r="B540" s="61">
        <v>1971</v>
      </c>
      <c r="C540" s="64">
        <v>59.672946351726097</v>
      </c>
      <c r="D540" s="64">
        <v>3.4665646016731402</v>
      </c>
      <c r="E540" s="59" t="s">
        <v>159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</row>
    <row r="541" spans="1:22" s="59" customFormat="1" x14ac:dyDescent="0.25">
      <c r="A541" s="61" t="s">
        <v>170</v>
      </c>
      <c r="B541" s="61">
        <v>1972</v>
      </c>
      <c r="C541" s="64">
        <v>55.882553734172198</v>
      </c>
      <c r="D541" s="64">
        <v>6.4894572742165701</v>
      </c>
      <c r="E541" s="59" t="s">
        <v>159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</row>
    <row r="542" spans="1:22" s="59" customFormat="1" x14ac:dyDescent="0.25">
      <c r="A542" s="61" t="s">
        <v>170</v>
      </c>
      <c r="B542" s="61">
        <v>1973</v>
      </c>
      <c r="C542" s="64">
        <v>52.061764183872697</v>
      </c>
      <c r="D542" s="64">
        <v>4.7243312986948496</v>
      </c>
      <c r="E542" s="59" t="s">
        <v>159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</row>
    <row r="543" spans="1:22" s="59" customFormat="1" x14ac:dyDescent="0.25">
      <c r="A543" s="61" t="s">
        <v>170</v>
      </c>
      <c r="B543" s="61">
        <v>1974</v>
      </c>
      <c r="C543" s="64">
        <v>65.459173987377397</v>
      </c>
      <c r="D543" s="64">
        <v>4.2600578116855496</v>
      </c>
      <c r="E543" s="59" t="s">
        <v>156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</row>
    <row r="544" spans="1:22" s="59" customFormat="1" x14ac:dyDescent="0.25">
      <c r="A544" s="61" t="s">
        <v>170</v>
      </c>
      <c r="B544" s="61">
        <v>1975</v>
      </c>
      <c r="C544" s="64">
        <v>72.359516304464094</v>
      </c>
      <c r="D544" s="64">
        <v>5.65403145168621</v>
      </c>
      <c r="E544" s="59" t="s">
        <v>156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</row>
    <row r="545" spans="1:22" s="59" customFormat="1" x14ac:dyDescent="0.25">
      <c r="A545" s="61" t="s">
        <v>170</v>
      </c>
      <c r="B545" s="61">
        <v>1976</v>
      </c>
      <c r="C545" s="64">
        <v>77.639291608744699</v>
      </c>
      <c r="D545" s="64">
        <v>1.39808999397746</v>
      </c>
      <c r="E545" s="59" t="s">
        <v>156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</row>
    <row r="546" spans="1:22" s="59" customFormat="1" x14ac:dyDescent="0.25">
      <c r="A546" s="61" t="s">
        <v>170</v>
      </c>
      <c r="B546" s="61">
        <v>1977</v>
      </c>
      <c r="C546" s="64">
        <v>74.143981563572197</v>
      </c>
      <c r="D546" s="64">
        <v>8.2092401680030598</v>
      </c>
      <c r="E546" s="59" t="s">
        <v>156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</row>
    <row r="547" spans="1:22" s="59" customFormat="1" x14ac:dyDescent="0.25">
      <c r="A547" s="61" t="s">
        <v>170</v>
      </c>
      <c r="B547" s="61">
        <v>1978</v>
      </c>
      <c r="C547" s="64">
        <v>76.471918336709507</v>
      </c>
      <c r="D547" s="64">
        <v>7.1904649886301204</v>
      </c>
      <c r="E547" s="59" t="s">
        <v>156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</row>
    <row r="548" spans="1:22" s="59" customFormat="1" x14ac:dyDescent="0.25">
      <c r="A548" s="61" t="s">
        <v>170</v>
      </c>
      <c r="B548" s="61">
        <v>1979</v>
      </c>
      <c r="C548" s="64">
        <v>82.606185356979296</v>
      </c>
      <c r="D548" s="64">
        <v>3.0724213606437401</v>
      </c>
      <c r="E548" s="59" t="s">
        <v>156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</row>
    <row r="549" spans="1:22" s="59" customFormat="1" x14ac:dyDescent="0.25">
      <c r="A549" s="61" t="s">
        <v>170</v>
      </c>
      <c r="B549" s="61">
        <v>1980</v>
      </c>
      <c r="C549" s="64">
        <v>84.351209967879896</v>
      </c>
      <c r="D549" s="64">
        <v>2.9</v>
      </c>
      <c r="E549" s="59" t="s">
        <v>156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</row>
    <row r="550" spans="1:22" s="59" customFormat="1" x14ac:dyDescent="0.25">
      <c r="A550" s="61" t="s">
        <v>170</v>
      </c>
      <c r="B550" s="61">
        <v>1981</v>
      </c>
      <c r="C550" s="64">
        <v>89.752758709987006</v>
      </c>
      <c r="D550" s="64">
        <v>2.5</v>
      </c>
      <c r="E550" s="59" t="s">
        <v>156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</row>
    <row r="551" spans="1:22" s="59" customFormat="1" x14ac:dyDescent="0.25">
      <c r="A551" s="61" t="s">
        <v>170</v>
      </c>
      <c r="B551" s="61">
        <v>1982</v>
      </c>
      <c r="C551" s="64">
        <v>87.201731911025604</v>
      </c>
      <c r="D551" s="64">
        <v>1.5</v>
      </c>
      <c r="E551" s="59" t="s">
        <v>156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</row>
    <row r="552" spans="1:22" s="59" customFormat="1" x14ac:dyDescent="0.25">
      <c r="A552" s="61" t="s">
        <v>170</v>
      </c>
      <c r="B552" s="61">
        <v>1983</v>
      </c>
      <c r="C552" s="64">
        <v>96.491902890548999</v>
      </c>
      <c r="D552" s="64">
        <v>-0.7</v>
      </c>
      <c r="E552" s="59" t="s">
        <v>160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</row>
    <row r="553" spans="1:22" s="59" customFormat="1" x14ac:dyDescent="0.25">
      <c r="A553" s="61" t="s">
        <v>170</v>
      </c>
      <c r="B553" s="61">
        <v>1984</v>
      </c>
      <c r="C553" s="64">
        <v>101.60412646234001</v>
      </c>
      <c r="D553" s="64">
        <v>3.2</v>
      </c>
      <c r="E553" s="59" t="s">
        <v>160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</row>
    <row r="554" spans="1:22" s="59" customFormat="1" x14ac:dyDescent="0.25">
      <c r="A554" s="61" t="s">
        <v>170</v>
      </c>
      <c r="B554" s="61">
        <v>1985</v>
      </c>
      <c r="C554" s="64">
        <v>102.963176069486</v>
      </c>
      <c r="D554" s="64">
        <v>1.9</v>
      </c>
      <c r="E554" s="59" t="s">
        <v>160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</row>
    <row r="555" spans="1:22" s="59" customFormat="1" x14ac:dyDescent="0.25">
      <c r="A555" s="61" t="s">
        <v>170</v>
      </c>
      <c r="B555" s="61">
        <v>1986</v>
      </c>
      <c r="C555" s="64">
        <v>109.678571315794</v>
      </c>
      <c r="D555" s="64">
        <v>0.4</v>
      </c>
      <c r="E555" s="59" t="s">
        <v>160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</row>
    <row r="556" spans="1:22" s="59" customFormat="1" x14ac:dyDescent="0.25">
      <c r="A556" s="61" t="s">
        <v>170</v>
      </c>
      <c r="B556" s="61">
        <v>1987</v>
      </c>
      <c r="C556" s="64">
        <v>112.430132889981</v>
      </c>
      <c r="D556" s="64">
        <v>3.6</v>
      </c>
      <c r="E556" s="59" t="s">
        <v>160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</row>
    <row r="557" spans="1:22" s="59" customFormat="1" x14ac:dyDescent="0.25">
      <c r="A557" s="61" t="s">
        <v>170</v>
      </c>
      <c r="B557" s="61">
        <v>1988</v>
      </c>
      <c r="C557" s="64">
        <v>108.33424911885299</v>
      </c>
      <c r="D557" s="64">
        <v>3</v>
      </c>
      <c r="E557" s="59" t="s">
        <v>160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</row>
    <row r="558" spans="1:22" s="59" customFormat="1" x14ac:dyDescent="0.25">
      <c r="A558" s="61" t="s">
        <v>170</v>
      </c>
      <c r="B558" s="61">
        <v>1989</v>
      </c>
      <c r="C558" s="64">
        <v>97.678635090652307</v>
      </c>
      <c r="D558" s="64">
        <v>5.6</v>
      </c>
      <c r="E558" s="59" t="s">
        <v>160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</row>
    <row r="559" spans="1:22" s="59" customFormat="1" x14ac:dyDescent="0.25">
      <c r="A559" s="61" t="s">
        <v>170</v>
      </c>
      <c r="B559" s="61">
        <v>1990</v>
      </c>
      <c r="C559" s="64">
        <v>87.709369665154497</v>
      </c>
      <c r="D559" s="64">
        <v>7.7</v>
      </c>
      <c r="E559" s="59" t="s">
        <v>156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</row>
    <row r="560" spans="1:22" s="59" customFormat="1" x14ac:dyDescent="0.25">
      <c r="A560" s="61" t="s">
        <v>170</v>
      </c>
      <c r="B560" s="61">
        <v>1991</v>
      </c>
      <c r="C560" s="64">
        <v>85.521356891445194</v>
      </c>
      <c r="D560" s="64">
        <v>1.6</v>
      </c>
      <c r="E560" s="59" t="s">
        <v>156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</row>
    <row r="561" spans="1:22" s="59" customFormat="1" x14ac:dyDescent="0.25">
      <c r="A561" s="61" t="s">
        <v>170</v>
      </c>
      <c r="B561" s="61">
        <v>1992</v>
      </c>
      <c r="C561" s="64">
        <v>83.554872395598395</v>
      </c>
      <c r="D561" s="64">
        <v>3.6</v>
      </c>
      <c r="E561" s="59" t="s">
        <v>156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</row>
    <row r="562" spans="1:22" s="59" customFormat="1" x14ac:dyDescent="0.25">
      <c r="A562" s="61" t="s">
        <v>170</v>
      </c>
      <c r="B562" s="61">
        <v>1993</v>
      </c>
      <c r="C562" s="64">
        <v>83.270773098799296</v>
      </c>
      <c r="D562" s="64">
        <v>2.2999999999999998</v>
      </c>
      <c r="E562" s="59" t="s">
        <v>156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</row>
    <row r="563" spans="1:22" s="59" customFormat="1" x14ac:dyDescent="0.25">
      <c r="A563" s="61" t="s">
        <v>170</v>
      </c>
      <c r="B563" s="61">
        <v>1994</v>
      </c>
      <c r="C563" s="64">
        <v>79.801497055440905</v>
      </c>
      <c r="D563" s="64">
        <v>5.9</v>
      </c>
      <c r="E563" s="59" t="s">
        <v>156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</row>
    <row r="564" spans="1:22" s="59" customFormat="1" x14ac:dyDescent="0.25">
      <c r="A564" s="61" t="s">
        <v>170</v>
      </c>
      <c r="B564" s="61">
        <v>1995</v>
      </c>
      <c r="C564" s="64">
        <v>72.953657329379595</v>
      </c>
      <c r="D564" s="64">
        <v>9.6</v>
      </c>
      <c r="E564" s="59" t="s">
        <v>156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</row>
    <row r="565" spans="1:22" s="59" customFormat="1" x14ac:dyDescent="0.25">
      <c r="A565" s="61" t="s">
        <v>170</v>
      </c>
      <c r="B565" s="61">
        <v>1996</v>
      </c>
      <c r="C565" s="64">
        <v>65.548644710450802</v>
      </c>
      <c r="D565" s="64">
        <v>8.1</v>
      </c>
      <c r="E565" s="59" t="s">
        <v>156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</row>
    <row r="566" spans="1:22" s="59" customFormat="1" x14ac:dyDescent="0.25">
      <c r="A566" s="61" t="s">
        <v>170</v>
      </c>
      <c r="B566" s="61">
        <v>1997</v>
      </c>
      <c r="C566" s="64">
        <v>58.165691493955002</v>
      </c>
      <c r="D566" s="64">
        <v>11.5</v>
      </c>
      <c r="E566" s="59" t="s">
        <v>159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</row>
    <row r="567" spans="1:22" s="59" customFormat="1" x14ac:dyDescent="0.25">
      <c r="A567" s="61" t="s">
        <v>170</v>
      </c>
      <c r="B567" s="61">
        <v>1998</v>
      </c>
      <c r="C567" s="64">
        <v>48.762876337345602</v>
      </c>
      <c r="D567" s="64">
        <v>8.4</v>
      </c>
      <c r="E567" s="59" t="s">
        <v>159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</row>
    <row r="568" spans="1:22" s="59" customFormat="1" x14ac:dyDescent="0.25">
      <c r="A568" s="61" t="s">
        <v>170</v>
      </c>
      <c r="B568" s="61">
        <v>1999</v>
      </c>
      <c r="C568" s="64">
        <v>43.978506484401798</v>
      </c>
      <c r="D568" s="64">
        <v>10.7</v>
      </c>
      <c r="E568" s="59" t="s">
        <v>159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</row>
    <row r="569" spans="1:22" s="59" customFormat="1" x14ac:dyDescent="0.25">
      <c r="A569" s="61" t="s">
        <v>170</v>
      </c>
      <c r="B569" s="61">
        <v>2000</v>
      </c>
      <c r="C569" s="64">
        <v>34.829654211036498</v>
      </c>
      <c r="D569" s="64">
        <v>9.4</v>
      </c>
      <c r="E569" s="59" t="s">
        <v>159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</row>
    <row r="570" spans="1:22" s="59" customFormat="1" x14ac:dyDescent="0.25">
      <c r="A570" s="61" t="s">
        <v>170</v>
      </c>
      <c r="B570" s="61">
        <v>2001</v>
      </c>
      <c r="C570" s="64">
        <v>30.944006161058301</v>
      </c>
      <c r="D570" s="64">
        <v>5.7</v>
      </c>
      <c r="E570" s="59" t="s">
        <v>159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</row>
    <row r="571" spans="1:22" s="59" customFormat="1" x14ac:dyDescent="0.25">
      <c r="A571" s="61" t="s">
        <v>170</v>
      </c>
      <c r="B571" s="61">
        <v>2002</v>
      </c>
      <c r="C571" s="64">
        <v>27.9144673880316</v>
      </c>
      <c r="D571" s="64">
        <v>6.5</v>
      </c>
      <c r="E571" s="59" t="s">
        <v>158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</row>
    <row r="572" spans="1:22" s="59" customFormat="1" x14ac:dyDescent="0.25">
      <c r="A572" s="61" t="s">
        <v>170</v>
      </c>
      <c r="B572" s="61">
        <v>2003</v>
      </c>
      <c r="C572" s="64">
        <v>26.910630818929299</v>
      </c>
      <c r="D572" s="64">
        <v>4.4000000000000004</v>
      </c>
      <c r="E572" s="59" t="s">
        <v>158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</row>
    <row r="573" spans="1:22" s="59" customFormat="1" x14ac:dyDescent="0.25">
      <c r="A573" s="61" t="s">
        <v>170</v>
      </c>
      <c r="B573" s="61">
        <v>2004</v>
      </c>
      <c r="C573" s="64">
        <v>25.383351928296399</v>
      </c>
      <c r="D573" s="64">
        <v>4.5999999999999996</v>
      </c>
      <c r="E573" s="59" t="s">
        <v>158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</row>
    <row r="574" spans="1:22" s="59" customFormat="1" x14ac:dyDescent="0.25">
      <c r="A574" s="61" t="s">
        <v>170</v>
      </c>
      <c r="B574" s="61">
        <v>2005</v>
      </c>
      <c r="C574" s="64">
        <v>23.5559104674034</v>
      </c>
      <c r="D574" s="64">
        <v>6.2</v>
      </c>
      <c r="E574" s="59" t="s">
        <v>158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</row>
    <row r="575" spans="1:22" s="59" customFormat="1" x14ac:dyDescent="0.25">
      <c r="A575" s="61" t="s">
        <v>170</v>
      </c>
      <c r="B575" s="61">
        <v>2006</v>
      </c>
      <c r="C575" s="64">
        <v>20.319761088444501</v>
      </c>
      <c r="D575" s="64">
        <v>5.4</v>
      </c>
      <c r="E575" s="59" t="s">
        <v>158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</row>
    <row r="576" spans="1:22" s="59" customFormat="1" x14ac:dyDescent="0.25">
      <c r="A576" s="61" t="s">
        <v>170</v>
      </c>
      <c r="B576" s="61">
        <v>2007</v>
      </c>
      <c r="C576" s="64">
        <v>19.793842589270501</v>
      </c>
      <c r="D576" s="64">
        <v>6</v>
      </c>
      <c r="E576" s="59" t="s">
        <v>158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</row>
    <row r="577" spans="1:22" s="59" customFormat="1" x14ac:dyDescent="0.25">
      <c r="A577" s="61" t="s">
        <v>170</v>
      </c>
      <c r="B577" s="61">
        <v>2008</v>
      </c>
      <c r="C577" s="64">
        <v>27.719181557586701</v>
      </c>
      <c r="D577" s="64">
        <v>-3</v>
      </c>
      <c r="E577" s="59" t="s">
        <v>158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</row>
    <row r="578" spans="1:22" s="59" customFormat="1" x14ac:dyDescent="0.25">
      <c r="A578" s="61" t="s">
        <v>170</v>
      </c>
      <c r="B578" s="61">
        <v>2009</v>
      </c>
      <c r="C578" s="64">
        <v>44.371366279069797</v>
      </c>
      <c r="D578" s="64">
        <v>-7.5</v>
      </c>
      <c r="E578" s="59" t="s">
        <v>159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</row>
    <row r="579" spans="1:22" s="59" customFormat="1" x14ac:dyDescent="0.25">
      <c r="A579" s="61" t="s">
        <v>171</v>
      </c>
      <c r="B579" s="61">
        <v>1951</v>
      </c>
      <c r="C579" s="64">
        <v>26.570070816250499</v>
      </c>
      <c r="D579" s="64">
        <v>7.4655819395357499</v>
      </c>
      <c r="E579" s="59" t="s">
        <v>158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</row>
    <row r="580" spans="1:22" s="59" customFormat="1" x14ac:dyDescent="0.25">
      <c r="A580" s="61" t="s">
        <v>171</v>
      </c>
      <c r="B580" s="61">
        <v>1952</v>
      </c>
      <c r="C580" s="64">
        <v>26.873811581676801</v>
      </c>
      <c r="D580" s="64">
        <v>7.4851076312108002</v>
      </c>
      <c r="E580" s="59" t="s">
        <v>158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</row>
    <row r="581" spans="1:22" s="59" customFormat="1" x14ac:dyDescent="0.25">
      <c r="A581" s="61" t="s">
        <v>171</v>
      </c>
      <c r="B581" s="61">
        <v>1953</v>
      </c>
      <c r="C581" s="64">
        <v>26.7213755373193</v>
      </c>
      <c r="D581" s="64">
        <v>7.2147201914548598</v>
      </c>
      <c r="E581" s="59" t="s">
        <v>158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</row>
    <row r="582" spans="1:22" s="59" customFormat="1" x14ac:dyDescent="0.25">
      <c r="A582" s="61" t="s">
        <v>171</v>
      </c>
      <c r="B582" s="61">
        <v>1954</v>
      </c>
      <c r="C582" s="64">
        <v>28.648965820742301</v>
      </c>
      <c r="D582" s="64">
        <v>5.18679511278195</v>
      </c>
      <c r="E582" s="59" t="s">
        <v>158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</row>
    <row r="583" spans="1:22" s="59" customFormat="1" x14ac:dyDescent="0.25">
      <c r="A583" s="61" t="s">
        <v>171</v>
      </c>
      <c r="B583" s="61">
        <v>1955</v>
      </c>
      <c r="C583" s="64">
        <v>28.3222458754657</v>
      </c>
      <c r="D583" s="64">
        <v>5.8194188492396002</v>
      </c>
      <c r="E583" s="59" t="s">
        <v>158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</row>
    <row r="584" spans="1:22" s="59" customFormat="1" x14ac:dyDescent="0.25">
      <c r="A584" s="61" t="s">
        <v>171</v>
      </c>
      <c r="B584" s="61">
        <v>1956</v>
      </c>
      <c r="C584" s="64">
        <v>27.964547677261599</v>
      </c>
      <c r="D584" s="64">
        <v>4.5340803644855301</v>
      </c>
      <c r="E584" s="59" t="s">
        <v>158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</row>
    <row r="585" spans="1:22" s="59" customFormat="1" x14ac:dyDescent="0.25">
      <c r="A585" s="61" t="s">
        <v>171</v>
      </c>
      <c r="B585" s="61">
        <v>1957</v>
      </c>
      <c r="C585" s="64">
        <v>27.530885283233701</v>
      </c>
      <c r="D585" s="64">
        <v>5.9036849124312702</v>
      </c>
      <c r="E585" s="59" t="s">
        <v>158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</row>
    <row r="586" spans="1:22" s="59" customFormat="1" x14ac:dyDescent="0.25">
      <c r="A586" s="61" t="s">
        <v>171</v>
      </c>
      <c r="B586" s="61">
        <v>1958</v>
      </c>
      <c r="C586" s="64">
        <v>27.005619764606099</v>
      </c>
      <c r="D586" s="64">
        <v>5.3469562868447396</v>
      </c>
      <c r="E586" s="59" t="s">
        <v>158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</row>
    <row r="587" spans="1:22" s="59" customFormat="1" x14ac:dyDescent="0.25">
      <c r="A587" s="61" t="s">
        <v>171</v>
      </c>
      <c r="B587" s="61">
        <v>1959</v>
      </c>
      <c r="C587" s="64">
        <v>26.6992860352489</v>
      </c>
      <c r="D587" s="64">
        <v>6.2275634257443802</v>
      </c>
      <c r="E587" s="59" t="s">
        <v>158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</row>
    <row r="588" spans="1:22" s="59" customFormat="1" x14ac:dyDescent="0.25">
      <c r="A588" s="61" t="s">
        <v>171</v>
      </c>
      <c r="B588" s="61">
        <v>1960</v>
      </c>
      <c r="C588" s="64">
        <v>24.697720515361699</v>
      </c>
      <c r="D588" s="64">
        <v>5.4219454965620297</v>
      </c>
      <c r="E588" s="59" t="s">
        <v>158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</row>
    <row r="589" spans="1:22" s="59" customFormat="1" x14ac:dyDescent="0.25">
      <c r="A589" s="61" t="s">
        <v>171</v>
      </c>
      <c r="B589" s="61">
        <v>1961</v>
      </c>
      <c r="C589" s="64">
        <v>21.7431228206122</v>
      </c>
      <c r="D589" s="64">
        <v>8.4217508864203392</v>
      </c>
      <c r="E589" s="59" t="s">
        <v>158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</row>
    <row r="590" spans="1:22" s="59" customFormat="1" x14ac:dyDescent="0.25">
      <c r="A590" s="61" t="s">
        <v>171</v>
      </c>
      <c r="B590" s="61">
        <v>1962</v>
      </c>
      <c r="C590" s="64">
        <v>20.759707566039001</v>
      </c>
      <c r="D590" s="64">
        <v>7.7970881264130902</v>
      </c>
      <c r="E590" s="59" t="s">
        <v>158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</row>
    <row r="591" spans="1:22" s="59" customFormat="1" x14ac:dyDescent="0.25">
      <c r="A591" s="61" t="s">
        <v>171</v>
      </c>
      <c r="B591" s="61">
        <v>1963</v>
      </c>
      <c r="C591" s="64">
        <v>18.267951226855299</v>
      </c>
      <c r="D591" s="64">
        <v>7.12306034606942</v>
      </c>
      <c r="E591" s="59" t="s">
        <v>158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</row>
    <row r="592" spans="1:22" s="59" customFormat="1" x14ac:dyDescent="0.25">
      <c r="A592" s="61" t="s">
        <v>171</v>
      </c>
      <c r="B592" s="61">
        <v>1964</v>
      </c>
      <c r="C592" s="64">
        <v>17.952145214521501</v>
      </c>
      <c r="D592" s="64">
        <v>3.9026738600728401</v>
      </c>
      <c r="E592" s="59" t="s">
        <v>158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</row>
    <row r="593" spans="1:22" s="59" customFormat="1" x14ac:dyDescent="0.25">
      <c r="A593" s="61" t="s">
        <v>171</v>
      </c>
      <c r="B593" s="61">
        <v>1965</v>
      </c>
      <c r="C593" s="64">
        <v>17.862692976178302</v>
      </c>
      <c r="D593" s="64">
        <v>2.2485782990321801</v>
      </c>
      <c r="E593" s="59" t="s">
        <v>158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</row>
    <row r="594" spans="1:22" s="59" customFormat="1" x14ac:dyDescent="0.25">
      <c r="A594" s="61" t="s">
        <v>171</v>
      </c>
      <c r="B594" s="61">
        <v>1966</v>
      </c>
      <c r="C594" s="64">
        <v>16.659971377639401</v>
      </c>
      <c r="D594" s="64">
        <v>5.2197357095843202</v>
      </c>
      <c r="E594" s="59" t="s">
        <v>158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</row>
    <row r="595" spans="1:22" s="59" customFormat="1" x14ac:dyDescent="0.25">
      <c r="A595" s="61" t="s">
        <v>171</v>
      </c>
      <c r="B595" s="61">
        <v>1967</v>
      </c>
      <c r="C595" s="64">
        <v>14.263345195729499</v>
      </c>
      <c r="D595" s="64">
        <v>7.1198804731990899</v>
      </c>
      <c r="E595" s="59" t="s">
        <v>158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</row>
    <row r="596" spans="1:22" s="59" customFormat="1" x14ac:dyDescent="0.25">
      <c r="A596" s="61" t="s">
        <v>171</v>
      </c>
      <c r="B596" s="61">
        <v>1968</v>
      </c>
      <c r="C596" s="64">
        <v>16.045977011494301</v>
      </c>
      <c r="D596" s="64">
        <v>8.3619326553347406</v>
      </c>
      <c r="E596" s="59" t="s">
        <v>158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</row>
    <row r="597" spans="1:22" s="59" customFormat="1" x14ac:dyDescent="0.25">
      <c r="A597" s="61" t="s">
        <v>171</v>
      </c>
      <c r="B597" s="61">
        <v>1969</v>
      </c>
      <c r="C597" s="64">
        <v>15.9934235976789</v>
      </c>
      <c r="D597" s="64">
        <v>5.7183778204293896</v>
      </c>
      <c r="E597" s="59" t="s">
        <v>158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</row>
    <row r="598" spans="1:22" s="59" customFormat="1" x14ac:dyDescent="0.25">
      <c r="A598" s="61" t="s">
        <v>171</v>
      </c>
      <c r="B598" s="61">
        <v>1970</v>
      </c>
      <c r="C598" s="64">
        <v>14.402266356285599</v>
      </c>
      <c r="D598" s="64">
        <v>2.24585384598794</v>
      </c>
      <c r="E598" s="59" t="s">
        <v>158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</row>
    <row r="599" spans="1:22" s="59" customFormat="1" x14ac:dyDescent="0.25">
      <c r="A599" s="61" t="s">
        <v>171</v>
      </c>
      <c r="B599" s="61">
        <v>1971</v>
      </c>
      <c r="C599" s="64">
        <v>16.376975738469898</v>
      </c>
      <c r="D599" s="64">
        <v>1.89432144596611</v>
      </c>
      <c r="E599" s="59" t="s">
        <v>158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</row>
    <row r="600" spans="1:22" s="59" customFormat="1" x14ac:dyDescent="0.25">
      <c r="A600" s="61" t="s">
        <v>171</v>
      </c>
      <c r="B600" s="61">
        <v>1972</v>
      </c>
      <c r="C600" s="64">
        <v>18.6433600775778</v>
      </c>
      <c r="D600" s="64">
        <v>2.9259388202527399</v>
      </c>
      <c r="E600" s="59" t="s">
        <v>158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</row>
    <row r="601" spans="1:22" s="59" customFormat="1" x14ac:dyDescent="0.25">
      <c r="A601" s="61" t="s">
        <v>171</v>
      </c>
      <c r="B601" s="61">
        <v>1973</v>
      </c>
      <c r="C601" s="64">
        <v>20.198599739327499</v>
      </c>
      <c r="D601" s="64">
        <v>6.5419347525199596</v>
      </c>
      <c r="E601" s="59" t="s">
        <v>158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</row>
    <row r="602" spans="1:22" s="59" customFormat="1" x14ac:dyDescent="0.25">
      <c r="A602" s="61" t="s">
        <v>171</v>
      </c>
      <c r="B602" s="61">
        <v>1974</v>
      </c>
      <c r="C602" s="64">
        <v>22.674807860726698</v>
      </c>
      <c r="D602" s="64">
        <v>4.6896156426920399</v>
      </c>
      <c r="E602" s="59" t="s">
        <v>158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</row>
    <row r="603" spans="1:22" s="59" customFormat="1" x14ac:dyDescent="0.25">
      <c r="A603" s="61" t="s">
        <v>171</v>
      </c>
      <c r="B603" s="61">
        <v>1975</v>
      </c>
      <c r="C603" s="64">
        <v>27.6369806501603</v>
      </c>
      <c r="D603" s="64">
        <v>-2.1464166284178101</v>
      </c>
      <c r="E603" s="59" t="s">
        <v>158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</row>
    <row r="604" spans="1:22" s="59" customFormat="1" x14ac:dyDescent="0.25">
      <c r="A604" s="61" t="s">
        <v>171</v>
      </c>
      <c r="B604" s="61">
        <v>1976</v>
      </c>
      <c r="C604" s="64">
        <v>29.992172412611001</v>
      </c>
      <c r="D604" s="64">
        <v>6.4982427221222698</v>
      </c>
      <c r="E604" s="59" t="s">
        <v>158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</row>
    <row r="605" spans="1:22" s="59" customFormat="1" x14ac:dyDescent="0.25">
      <c r="A605" s="61" t="s">
        <v>171</v>
      </c>
      <c r="B605" s="61">
        <v>1977</v>
      </c>
      <c r="C605" s="64">
        <v>32.793372805553098</v>
      </c>
      <c r="D605" s="64">
        <v>2.8897169741575599</v>
      </c>
      <c r="E605" s="59" t="s">
        <v>159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</row>
    <row r="606" spans="1:22" s="59" customFormat="1" x14ac:dyDescent="0.25">
      <c r="A606" s="61" t="s">
        <v>171</v>
      </c>
      <c r="B606" s="61">
        <v>1978</v>
      </c>
      <c r="C606" s="64">
        <v>46.647186034705399</v>
      </c>
      <c r="D606" s="64">
        <v>3.7281305227882902</v>
      </c>
      <c r="E606" s="59" t="s">
        <v>159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</row>
    <row r="607" spans="1:22" s="59" customFormat="1" x14ac:dyDescent="0.25">
      <c r="A607" s="61" t="s">
        <v>171</v>
      </c>
      <c r="B607" s="61">
        <v>1979</v>
      </c>
      <c r="C607" s="64">
        <v>45.760646569184701</v>
      </c>
      <c r="D607" s="64">
        <v>5.6728578292512397</v>
      </c>
      <c r="E607" s="59" t="s">
        <v>159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</row>
    <row r="608" spans="1:22" s="59" customFormat="1" x14ac:dyDescent="0.25">
      <c r="A608" s="61" t="s">
        <v>171</v>
      </c>
      <c r="B608" s="61">
        <v>1980</v>
      </c>
      <c r="C608" s="64">
        <v>45.6256048450036</v>
      </c>
      <c r="D608" s="64">
        <v>-1.4139999999999999</v>
      </c>
      <c r="E608" s="59" t="s">
        <v>159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</row>
    <row r="609" spans="1:22" s="59" customFormat="1" x14ac:dyDescent="0.25">
      <c r="A609" s="61" t="s">
        <v>171</v>
      </c>
      <c r="B609" s="61">
        <v>1981</v>
      </c>
      <c r="C609" s="64">
        <v>52.858927208382497</v>
      </c>
      <c r="D609" s="64">
        <v>0.78100000000000003</v>
      </c>
      <c r="E609" s="59" t="s">
        <v>159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</row>
    <row r="610" spans="1:22" s="59" customFormat="1" x14ac:dyDescent="0.25">
      <c r="A610" s="61" t="s">
        <v>171</v>
      </c>
      <c r="B610" s="61">
        <v>1982</v>
      </c>
      <c r="C610" s="64">
        <v>58.478675042664598</v>
      </c>
      <c r="D610" s="64">
        <v>0.66800000000000004</v>
      </c>
      <c r="E610" s="59" t="s">
        <v>159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</row>
    <row r="611" spans="1:22" s="59" customFormat="1" x14ac:dyDescent="0.25">
      <c r="A611" s="61" t="s">
        <v>171</v>
      </c>
      <c r="B611" s="61">
        <v>1983</v>
      </c>
      <c r="C611" s="64">
        <v>64.306858242568396</v>
      </c>
      <c r="D611" s="64">
        <v>0.91300000000000003</v>
      </c>
      <c r="E611" s="59" t="s">
        <v>156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</row>
    <row r="612" spans="1:22" s="59" customFormat="1" x14ac:dyDescent="0.25">
      <c r="A612" s="61" t="s">
        <v>171</v>
      </c>
      <c r="B612" s="61">
        <v>1984</v>
      </c>
      <c r="C612" s="64">
        <v>66.455645616926503</v>
      </c>
      <c r="D612" s="64">
        <v>3.226</v>
      </c>
      <c r="E612" s="59" t="s">
        <v>156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</row>
    <row r="613" spans="1:22" s="59" customFormat="1" x14ac:dyDescent="0.25">
      <c r="A613" s="61" t="s">
        <v>171</v>
      </c>
      <c r="B613" s="61">
        <v>1985</v>
      </c>
      <c r="C613" s="64">
        <v>61.972545714138299</v>
      </c>
      <c r="D613" s="64">
        <v>2.798</v>
      </c>
      <c r="E613" s="59" t="s">
        <v>156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</row>
    <row r="614" spans="1:22" s="59" customFormat="1" x14ac:dyDescent="0.25">
      <c r="A614" s="61" t="s">
        <v>171</v>
      </c>
      <c r="B614" s="61">
        <v>1986</v>
      </c>
      <c r="C614" s="64">
        <v>67.101899297897205</v>
      </c>
      <c r="D614" s="64">
        <v>2.86</v>
      </c>
      <c r="E614" s="59" t="s">
        <v>156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</row>
    <row r="615" spans="1:22" s="59" customFormat="1" x14ac:dyDescent="0.25">
      <c r="A615" s="61" t="s">
        <v>171</v>
      </c>
      <c r="B615" s="61">
        <v>1987</v>
      </c>
      <c r="C615" s="64">
        <v>70.815581841023103</v>
      </c>
      <c r="D615" s="64">
        <v>3.1920000000000002</v>
      </c>
      <c r="E615" s="59" t="s">
        <v>156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</row>
    <row r="616" spans="1:22" s="59" customFormat="1" x14ac:dyDescent="0.25">
      <c r="A616" s="61" t="s">
        <v>171</v>
      </c>
      <c r="B616" s="61">
        <v>1988</v>
      </c>
      <c r="C616" s="64">
        <v>73.707496065297804</v>
      </c>
      <c r="D616" s="64">
        <v>4.194</v>
      </c>
      <c r="E616" s="59" t="s">
        <v>156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</row>
    <row r="617" spans="1:22" s="59" customFormat="1" x14ac:dyDescent="0.25">
      <c r="A617" s="61" t="s">
        <v>171</v>
      </c>
      <c r="B617" s="61">
        <v>1989</v>
      </c>
      <c r="C617" s="64">
        <v>76.674576582749097</v>
      </c>
      <c r="D617" s="64">
        <v>3.3879999999999999</v>
      </c>
      <c r="E617" s="59" t="s">
        <v>156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</row>
    <row r="618" spans="1:22" s="59" customFormat="1" x14ac:dyDescent="0.25">
      <c r="A618" s="61" t="s">
        <v>171</v>
      </c>
      <c r="B618" s="61">
        <v>1990</v>
      </c>
      <c r="C618" s="64">
        <v>78.984275039179906</v>
      </c>
      <c r="D618" s="64">
        <v>2.0529999999999999</v>
      </c>
      <c r="E618" s="59" t="s">
        <v>156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</row>
    <row r="619" spans="1:22" s="59" customFormat="1" x14ac:dyDescent="0.25">
      <c r="A619" s="61" t="s">
        <v>171</v>
      </c>
      <c r="B619" s="61">
        <v>1991</v>
      </c>
      <c r="C619" s="64">
        <v>81.949120188803704</v>
      </c>
      <c r="D619" s="64">
        <v>1.534</v>
      </c>
      <c r="E619" s="59" t="s">
        <v>156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</row>
    <row r="620" spans="1:22" s="59" customFormat="1" x14ac:dyDescent="0.25">
      <c r="A620" s="61" t="s">
        <v>171</v>
      </c>
      <c r="B620" s="61">
        <v>1992</v>
      </c>
      <c r="C620" s="64">
        <v>85.4432635479032</v>
      </c>
      <c r="D620" s="64">
        <v>0.77300000000000002</v>
      </c>
      <c r="E620" s="59" t="s">
        <v>156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</row>
    <row r="621" spans="1:22" s="59" customFormat="1" x14ac:dyDescent="0.25">
      <c r="A621" s="61" t="s">
        <v>171</v>
      </c>
      <c r="B621" s="61">
        <v>1993</v>
      </c>
      <c r="C621" s="64">
        <v>95.140230543245494</v>
      </c>
      <c r="D621" s="64">
        <v>-0.88800000000000001</v>
      </c>
      <c r="E621" s="59" t="s">
        <v>160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</row>
    <row r="622" spans="1:22" s="59" customFormat="1" x14ac:dyDescent="0.25">
      <c r="A622" s="61" t="s">
        <v>171</v>
      </c>
      <c r="B622" s="61">
        <v>1994</v>
      </c>
      <c r="C622" s="64">
        <v>104.801115635371</v>
      </c>
      <c r="D622" s="64">
        <v>2.1520000000000001</v>
      </c>
      <c r="E622" s="59" t="s">
        <v>160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</row>
    <row r="623" spans="1:22" s="59" customFormat="1" x14ac:dyDescent="0.25">
      <c r="A623" s="61" t="s">
        <v>171</v>
      </c>
      <c r="B623" s="61">
        <v>1995</v>
      </c>
      <c r="C623" s="64">
        <v>104.288665976122</v>
      </c>
      <c r="D623" s="64">
        <v>2.827</v>
      </c>
      <c r="E623" s="59" t="s">
        <v>160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</row>
    <row r="624" spans="1:22" s="59" customFormat="1" x14ac:dyDescent="0.25">
      <c r="A624" s="61" t="s">
        <v>171</v>
      </c>
      <c r="B624" s="61">
        <v>1996</v>
      </c>
      <c r="C624" s="64">
        <v>103.77586721410999</v>
      </c>
      <c r="D624" s="64">
        <v>1.095</v>
      </c>
      <c r="E624" s="59" t="s">
        <v>160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</row>
    <row r="625" spans="1:22" s="59" customFormat="1" x14ac:dyDescent="0.25">
      <c r="A625" s="61" t="s">
        <v>171</v>
      </c>
      <c r="B625" s="61">
        <v>1997</v>
      </c>
      <c r="C625" s="64">
        <v>101.15083468754599</v>
      </c>
      <c r="D625" s="64">
        <v>1.8720000000000001</v>
      </c>
      <c r="E625" s="59" t="s">
        <v>160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</row>
    <row r="626" spans="1:22" s="59" customFormat="1" x14ac:dyDescent="0.25">
      <c r="A626" s="61" t="s">
        <v>171</v>
      </c>
      <c r="B626" s="61">
        <v>1998</v>
      </c>
      <c r="C626" s="64">
        <v>99.743655266732006</v>
      </c>
      <c r="D626" s="64">
        <v>1.401</v>
      </c>
      <c r="E626" s="59" t="s">
        <v>160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</row>
    <row r="627" spans="1:22" s="59" customFormat="1" x14ac:dyDescent="0.25">
      <c r="A627" s="61" t="s">
        <v>171</v>
      </c>
      <c r="B627" s="61">
        <v>1999</v>
      </c>
      <c r="C627" s="64">
        <v>97.800974190171104</v>
      </c>
      <c r="D627" s="64">
        <v>1.464</v>
      </c>
      <c r="E627" s="59" t="s">
        <v>160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</row>
    <row r="628" spans="1:22" s="59" customFormat="1" x14ac:dyDescent="0.25">
      <c r="A628" s="61" t="s">
        <v>171</v>
      </c>
      <c r="B628" s="61">
        <v>2000</v>
      </c>
      <c r="C628" s="64">
        <v>95.117122563094995</v>
      </c>
      <c r="D628" s="64">
        <v>3.6930000000000001</v>
      </c>
      <c r="E628" s="59" t="s">
        <v>160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</row>
    <row r="629" spans="1:22" s="59" customFormat="1" x14ac:dyDescent="0.25">
      <c r="A629" s="61" t="s">
        <v>171</v>
      </c>
      <c r="B629" s="61">
        <v>2001</v>
      </c>
      <c r="C629" s="64">
        <v>91.710166980338798</v>
      </c>
      <c r="D629" s="64">
        <v>1.8180000000000001</v>
      </c>
      <c r="E629" s="59" t="s">
        <v>160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</row>
    <row r="630" spans="1:22" s="59" customFormat="1" x14ac:dyDescent="0.25">
      <c r="A630" s="61" t="s">
        <v>171</v>
      </c>
      <c r="B630" s="61">
        <v>2002</v>
      </c>
      <c r="C630" s="64">
        <v>88.241933865027804</v>
      </c>
      <c r="D630" s="64">
        <v>0.45400000000000001</v>
      </c>
      <c r="E630" s="59" t="s">
        <v>156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</row>
    <row r="631" spans="1:22" s="59" customFormat="1" x14ac:dyDescent="0.25">
      <c r="A631" s="61" t="s">
        <v>171</v>
      </c>
      <c r="B631" s="61">
        <v>2003</v>
      </c>
      <c r="C631" s="64">
        <v>86.657108623207407</v>
      </c>
      <c r="D631" s="64">
        <v>-1.7000000000000001E-2</v>
      </c>
      <c r="E631" s="59" t="s">
        <v>156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</row>
    <row r="632" spans="1:22" s="59" customFormat="1" x14ac:dyDescent="0.25">
      <c r="A632" s="61" t="s">
        <v>171</v>
      </c>
      <c r="B632" s="61">
        <v>2004</v>
      </c>
      <c r="C632" s="64">
        <v>85.103734738022197</v>
      </c>
      <c r="D632" s="64">
        <v>1.532</v>
      </c>
      <c r="E632" s="59" t="s">
        <v>156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</row>
    <row r="633" spans="1:22" s="59" customFormat="1" x14ac:dyDescent="0.25">
      <c r="A633" s="61" t="s">
        <v>171</v>
      </c>
      <c r="B633" s="61">
        <v>2005</v>
      </c>
      <c r="C633" s="64">
        <v>84.858237261102005</v>
      </c>
      <c r="D633" s="64">
        <v>0.65600000000000003</v>
      </c>
      <c r="E633" s="59" t="s">
        <v>156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</row>
    <row r="634" spans="1:22" s="59" customFormat="1" x14ac:dyDescent="0.25">
      <c r="A634" s="61" t="s">
        <v>171</v>
      </c>
      <c r="B634" s="61">
        <v>2006</v>
      </c>
      <c r="C634" s="64">
        <v>84.621177745761997</v>
      </c>
      <c r="D634" s="64">
        <v>2.036</v>
      </c>
      <c r="E634" s="59" t="s">
        <v>156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</row>
    <row r="635" spans="1:22" s="59" customFormat="1" x14ac:dyDescent="0.25">
      <c r="A635" s="61" t="s">
        <v>171</v>
      </c>
      <c r="B635" s="61">
        <v>2007</v>
      </c>
      <c r="C635" s="64">
        <v>83.407399735908697</v>
      </c>
      <c r="D635" s="64">
        <v>1.5640000000000001</v>
      </c>
      <c r="E635" s="59" t="s">
        <v>156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</row>
    <row r="636" spans="1:22" s="59" customFormat="1" x14ac:dyDescent="0.25">
      <c r="A636" s="61" t="s">
        <v>171</v>
      </c>
      <c r="B636" s="61">
        <v>2008</v>
      </c>
      <c r="C636" s="64">
        <v>86.259572329924197</v>
      </c>
      <c r="D636" s="64">
        <v>-1.04</v>
      </c>
      <c r="E636" s="59" t="s">
        <v>156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</row>
    <row r="637" spans="1:22" s="59" customFormat="1" x14ac:dyDescent="0.25">
      <c r="A637" s="61" t="s">
        <v>171</v>
      </c>
      <c r="B637" s="61">
        <v>2009</v>
      </c>
      <c r="C637" s="64">
        <v>97.135118206494994</v>
      </c>
      <c r="D637" s="64">
        <v>-5.1449999999999996</v>
      </c>
      <c r="E637" s="59" t="s">
        <v>160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</row>
    <row r="638" spans="1:22" s="59" customFormat="1" x14ac:dyDescent="0.25">
      <c r="A638" s="61" t="s">
        <v>172</v>
      </c>
      <c r="B638" s="61">
        <v>1956</v>
      </c>
      <c r="C638" s="64">
        <v>10.615875273290699</v>
      </c>
      <c r="D638" s="64">
        <v>6.2015266591417797</v>
      </c>
      <c r="E638" s="59" t="s">
        <v>158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</row>
    <row r="639" spans="1:22" s="59" customFormat="1" x14ac:dyDescent="0.25">
      <c r="A639" s="61" t="s">
        <v>172</v>
      </c>
      <c r="B639" s="61">
        <v>1957</v>
      </c>
      <c r="C639" s="64">
        <v>8.9358371015720692</v>
      </c>
      <c r="D639" s="64">
        <v>7.3282461999618196</v>
      </c>
      <c r="E639" s="59" t="s">
        <v>158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</row>
    <row r="640" spans="1:22" s="59" customFormat="1" x14ac:dyDescent="0.25">
      <c r="A640" s="61" t="s">
        <v>172</v>
      </c>
      <c r="B640" s="61">
        <v>1958</v>
      </c>
      <c r="C640" s="64">
        <v>9.3208358250348802</v>
      </c>
      <c r="D640" s="64">
        <v>6.3953595711362796</v>
      </c>
      <c r="E640" s="59" t="s">
        <v>158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</row>
    <row r="641" spans="1:22" s="59" customFormat="1" x14ac:dyDescent="0.25">
      <c r="A641" s="61" t="s">
        <v>172</v>
      </c>
      <c r="B641" s="61">
        <v>1959</v>
      </c>
      <c r="C641" s="64">
        <v>9.4991850071643604</v>
      </c>
      <c r="D641" s="64">
        <v>8.3429692811766998</v>
      </c>
      <c r="E641" s="59" t="s">
        <v>158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</row>
    <row r="642" spans="1:22" s="59" customFormat="1" x14ac:dyDescent="0.25">
      <c r="A642" s="61" t="s">
        <v>172</v>
      </c>
      <c r="B642" s="61">
        <v>1960</v>
      </c>
      <c r="C642" s="64">
        <v>8.3716934108696606</v>
      </c>
      <c r="D642" s="64">
        <v>11.2621178279494</v>
      </c>
      <c r="E642" s="59" t="s">
        <v>158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</row>
    <row r="643" spans="1:22" s="59" customFormat="1" x14ac:dyDescent="0.25">
      <c r="A643" s="61" t="s">
        <v>172</v>
      </c>
      <c r="B643" s="61">
        <v>1961</v>
      </c>
      <c r="C643" s="64">
        <v>6.3245468414656196</v>
      </c>
      <c r="D643" s="64">
        <v>9.9976967752235701</v>
      </c>
      <c r="E643" s="59" t="s">
        <v>158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</row>
    <row r="644" spans="1:22" s="59" customFormat="1" x14ac:dyDescent="0.25">
      <c r="A644" s="61" t="s">
        <v>172</v>
      </c>
      <c r="B644" s="61">
        <v>1962</v>
      </c>
      <c r="C644" s="64">
        <v>5.83640572946811</v>
      </c>
      <c r="D644" s="64">
        <v>6.7162536598365703</v>
      </c>
      <c r="E644" s="59" t="s">
        <v>158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</row>
    <row r="645" spans="1:22" s="59" customFormat="1" x14ac:dyDescent="0.25">
      <c r="A645" s="61" t="s">
        <v>172</v>
      </c>
      <c r="B645" s="61">
        <v>1963</v>
      </c>
      <c r="C645" s="64">
        <v>4.7169018683401598</v>
      </c>
      <c r="D645" s="64">
        <v>7.7137467725608504</v>
      </c>
      <c r="E645" s="59" t="s">
        <v>158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</row>
    <row r="646" spans="1:22" s="59" customFormat="1" x14ac:dyDescent="0.25">
      <c r="A646" s="61" t="s">
        <v>172</v>
      </c>
      <c r="B646" s="61">
        <v>1964</v>
      </c>
      <c r="C646" s="64">
        <v>4.5672059117235904</v>
      </c>
      <c r="D646" s="64">
        <v>9.23443470628904</v>
      </c>
      <c r="E646" s="59" t="s">
        <v>158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</row>
    <row r="647" spans="1:22" s="59" customFormat="1" x14ac:dyDescent="0.25">
      <c r="A647" s="61" t="s">
        <v>172</v>
      </c>
      <c r="B647" s="61">
        <v>1965</v>
      </c>
      <c r="C647" s="64">
        <v>5.3750471612000199</v>
      </c>
      <c r="D647" s="64">
        <v>5.1218957561516296</v>
      </c>
      <c r="E647" s="59" t="s">
        <v>158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</row>
    <row r="648" spans="1:22" s="59" customFormat="1" x14ac:dyDescent="0.25">
      <c r="A648" s="61" t="s">
        <v>172</v>
      </c>
      <c r="B648" s="61">
        <v>1966</v>
      </c>
      <c r="C648" s="64">
        <v>6.9747812418129396</v>
      </c>
      <c r="D648" s="64">
        <v>9.7017757175292392</v>
      </c>
      <c r="E648" s="59" t="s">
        <v>158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</row>
    <row r="649" spans="1:22" s="59" customFormat="1" x14ac:dyDescent="0.25">
      <c r="A649" s="61" t="s">
        <v>172</v>
      </c>
      <c r="B649" s="61">
        <v>1967</v>
      </c>
      <c r="C649" s="64">
        <v>8.5364728764489595</v>
      </c>
      <c r="D649" s="64">
        <v>10.4644217220371</v>
      </c>
      <c r="E649" s="59" t="s">
        <v>158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</row>
    <row r="650" spans="1:22" s="59" customFormat="1" x14ac:dyDescent="0.25">
      <c r="A650" s="61" t="s">
        <v>172</v>
      </c>
      <c r="B650" s="61">
        <v>1968</v>
      </c>
      <c r="C650" s="64">
        <v>9.0341539106255997</v>
      </c>
      <c r="D650" s="64">
        <v>10.5278072813931</v>
      </c>
      <c r="E650" s="59" t="s">
        <v>158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</row>
    <row r="651" spans="1:22" s="59" customFormat="1" x14ac:dyDescent="0.25">
      <c r="A651" s="61" t="s">
        <v>172</v>
      </c>
      <c r="B651" s="61">
        <v>1969</v>
      </c>
      <c r="C651" s="64">
        <v>8.8051725163067296</v>
      </c>
      <c r="D651" s="64">
        <v>11.7832236773483</v>
      </c>
      <c r="E651" s="59" t="s">
        <v>158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</row>
    <row r="652" spans="1:22" s="59" customFormat="1" x14ac:dyDescent="0.25">
      <c r="A652" s="61" t="s">
        <v>172</v>
      </c>
      <c r="B652" s="61">
        <v>1970</v>
      </c>
      <c r="C652" s="64">
        <v>8.4891342138308197</v>
      </c>
      <c r="D652" s="64">
        <v>10.133699674495</v>
      </c>
      <c r="E652" s="59" t="s">
        <v>158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</row>
    <row r="653" spans="1:22" s="59" customFormat="1" x14ac:dyDescent="0.25">
      <c r="A653" s="61" t="s">
        <v>172</v>
      </c>
      <c r="B653" s="61">
        <v>1971</v>
      </c>
      <c r="C653" s="64">
        <v>9.4244169548693808</v>
      </c>
      <c r="D653" s="64">
        <v>4.73127613158759</v>
      </c>
      <c r="E653" s="59" t="s">
        <v>158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</row>
    <row r="654" spans="1:22" s="59" customFormat="1" x14ac:dyDescent="0.25">
      <c r="A654" s="61" t="s">
        <v>172</v>
      </c>
      <c r="B654" s="61">
        <v>1972</v>
      </c>
      <c r="C654" s="64">
        <v>12.6677493441161</v>
      </c>
      <c r="D654" s="64">
        <v>8.593115132106</v>
      </c>
      <c r="E654" s="59" t="s">
        <v>158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</row>
    <row r="655" spans="1:22" s="59" customFormat="1" x14ac:dyDescent="0.25">
      <c r="A655" s="61" t="s">
        <v>172</v>
      </c>
      <c r="B655" s="61">
        <v>1973</v>
      </c>
      <c r="C655" s="64">
        <v>11.693089654927199</v>
      </c>
      <c r="D655" s="64">
        <v>8.1977061898653503</v>
      </c>
      <c r="E655" s="59" t="s">
        <v>158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</row>
    <row r="656" spans="1:22" s="59" customFormat="1" x14ac:dyDescent="0.25">
      <c r="A656" s="61" t="s">
        <v>172</v>
      </c>
      <c r="B656" s="61">
        <v>1974</v>
      </c>
      <c r="C656" s="64">
        <v>11.7021416227168</v>
      </c>
      <c r="D656" s="64">
        <v>-1.5930558171435101</v>
      </c>
      <c r="E656" s="59" t="s">
        <v>158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</row>
    <row r="657" spans="1:22" s="59" customFormat="1" x14ac:dyDescent="0.25">
      <c r="A657" s="61" t="s">
        <v>172</v>
      </c>
      <c r="B657" s="61">
        <v>1975</v>
      </c>
      <c r="C657" s="64">
        <v>15.3682114517249</v>
      </c>
      <c r="D657" s="64">
        <v>2.83806811128742</v>
      </c>
      <c r="E657" s="59" t="s">
        <v>158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</row>
    <row r="658" spans="1:22" s="59" customFormat="1" x14ac:dyDescent="0.25">
      <c r="A658" s="61" t="s">
        <v>172</v>
      </c>
      <c r="B658" s="61">
        <v>1976</v>
      </c>
      <c r="C658" s="64">
        <v>19.617797602252502</v>
      </c>
      <c r="D658" s="64">
        <v>4.0002317600861703</v>
      </c>
      <c r="E658" s="59" t="s">
        <v>158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</row>
    <row r="659" spans="1:22" s="59" customFormat="1" x14ac:dyDescent="0.25">
      <c r="A659" s="61" t="s">
        <v>172</v>
      </c>
      <c r="B659" s="61">
        <v>1977</v>
      </c>
      <c r="C659" s="64">
        <v>24.834265334927998</v>
      </c>
      <c r="D659" s="64">
        <v>3.58950464093135</v>
      </c>
      <c r="E659" s="59" t="s">
        <v>158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</row>
    <row r="660" spans="1:22" s="59" customFormat="1" x14ac:dyDescent="0.25">
      <c r="A660" s="61" t="s">
        <v>172</v>
      </c>
      <c r="B660" s="61">
        <v>1978</v>
      </c>
      <c r="C660" s="64">
        <v>30.498364024187399</v>
      </c>
      <c r="D660" s="64">
        <v>4.22294654498043</v>
      </c>
      <c r="E660" s="59" t="s">
        <v>159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</row>
    <row r="661" spans="1:22" s="59" customFormat="1" x14ac:dyDescent="0.25">
      <c r="A661" s="61" t="s">
        <v>172</v>
      </c>
      <c r="B661" s="61">
        <v>1979</v>
      </c>
      <c r="C661" s="64">
        <v>35.0056430463965</v>
      </c>
      <c r="D661" s="64">
        <v>6.8046807565769001</v>
      </c>
      <c r="E661" s="59" t="s">
        <v>159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</row>
    <row r="662" spans="1:22" s="59" customFormat="1" x14ac:dyDescent="0.25">
      <c r="A662" s="61" t="s">
        <v>172</v>
      </c>
      <c r="B662" s="61">
        <v>1980</v>
      </c>
      <c r="C662" s="64">
        <v>39.0617707155631</v>
      </c>
      <c r="D662" s="64">
        <v>4.6265988071512396</v>
      </c>
      <c r="E662" s="59" t="s">
        <v>159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</row>
    <row r="663" spans="1:22" s="59" customFormat="1" x14ac:dyDescent="0.25">
      <c r="A663" s="61" t="s">
        <v>172</v>
      </c>
      <c r="B663" s="61">
        <v>1981</v>
      </c>
      <c r="C663" s="64">
        <v>40.927446097736599</v>
      </c>
      <c r="D663" s="64">
        <v>4.1768439560439603</v>
      </c>
      <c r="E663" s="59" t="s">
        <v>159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</row>
    <row r="664" spans="1:22" s="59" customFormat="1" x14ac:dyDescent="0.25">
      <c r="A664" s="61" t="s">
        <v>172</v>
      </c>
      <c r="B664" s="61">
        <v>1982</v>
      </c>
      <c r="C664" s="64">
        <v>44.276255427841598</v>
      </c>
      <c r="D664" s="64">
        <v>3.3766082964926198</v>
      </c>
      <c r="E664" s="59" t="s">
        <v>159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</row>
    <row r="665" spans="1:22" s="59" customFormat="1" x14ac:dyDescent="0.25">
      <c r="A665" s="61" t="s">
        <v>172</v>
      </c>
      <c r="B665" s="61">
        <v>1983</v>
      </c>
      <c r="C665" s="64">
        <v>48.058168842947097</v>
      </c>
      <c r="D665" s="64">
        <v>3.0607380356707998</v>
      </c>
      <c r="E665" s="59" t="s">
        <v>159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</row>
    <row r="666" spans="1:22" s="59" customFormat="1" x14ac:dyDescent="0.25">
      <c r="A666" s="61" t="s">
        <v>172</v>
      </c>
      <c r="B666" s="61">
        <v>1984</v>
      </c>
      <c r="C666" s="64">
        <v>49.248847499991797</v>
      </c>
      <c r="D666" s="64">
        <v>4.4638990159043797</v>
      </c>
      <c r="E666" s="59" t="s">
        <v>159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</row>
    <row r="667" spans="1:22" s="59" customFormat="1" x14ac:dyDescent="0.25">
      <c r="A667" s="61" t="s">
        <v>172</v>
      </c>
      <c r="B667" s="61">
        <v>1985</v>
      </c>
      <c r="C667" s="64">
        <v>50.207187407916699</v>
      </c>
      <c r="D667" s="64">
        <v>6.3333568887232303</v>
      </c>
      <c r="E667" s="59" t="s">
        <v>159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</row>
    <row r="668" spans="1:22" s="59" customFormat="1" x14ac:dyDescent="0.25">
      <c r="A668" s="61" t="s">
        <v>172</v>
      </c>
      <c r="B668" s="61">
        <v>1986</v>
      </c>
      <c r="C668" s="64">
        <v>54.169257482079402</v>
      </c>
      <c r="D668" s="64">
        <v>2.8310766408367698</v>
      </c>
      <c r="E668" s="59" t="s">
        <v>159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</row>
    <row r="669" spans="1:22" s="59" customFormat="1" x14ac:dyDescent="0.25">
      <c r="A669" s="61" t="s">
        <v>172</v>
      </c>
      <c r="B669" s="61">
        <v>1987</v>
      </c>
      <c r="C669" s="64">
        <v>55.815443587934901</v>
      </c>
      <c r="D669" s="64">
        <v>4.1074270637959902</v>
      </c>
      <c r="E669" s="59" t="s">
        <v>159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</row>
    <row r="670" spans="1:22" s="59" customFormat="1" x14ac:dyDescent="0.25">
      <c r="A670" s="61" t="s">
        <v>172</v>
      </c>
      <c r="B670" s="61">
        <v>1988</v>
      </c>
      <c r="C670" s="64">
        <v>54.040185649629599</v>
      </c>
      <c r="D670" s="64">
        <v>7.1466937073415302</v>
      </c>
      <c r="E670" s="59" t="s">
        <v>159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</row>
    <row r="671" spans="1:22" s="59" customFormat="1" x14ac:dyDescent="0.25">
      <c r="A671" s="61" t="s">
        <v>172</v>
      </c>
      <c r="B671" s="61">
        <v>1989</v>
      </c>
      <c r="C671" s="64">
        <v>50.789058647174599</v>
      </c>
      <c r="D671" s="64">
        <v>5.3701525189358703</v>
      </c>
      <c r="E671" s="59" t="s">
        <v>159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</row>
    <row r="672" spans="1:22" s="59" customFormat="1" x14ac:dyDescent="0.25">
      <c r="A672" s="61" t="s">
        <v>172</v>
      </c>
      <c r="B672" s="61">
        <v>1990</v>
      </c>
      <c r="C672" s="64">
        <v>49.230105083783002</v>
      </c>
      <c r="D672" s="64">
        <v>5.57239829949512</v>
      </c>
      <c r="E672" s="59" t="s">
        <v>159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</row>
    <row r="673" spans="1:22" s="59" customFormat="1" x14ac:dyDescent="0.25">
      <c r="A673" s="61" t="s">
        <v>172</v>
      </c>
      <c r="B673" s="61">
        <v>1991</v>
      </c>
      <c r="C673" s="64">
        <v>47.965547140959401</v>
      </c>
      <c r="D673" s="64">
        <v>3.32434077482637</v>
      </c>
      <c r="E673" s="59" t="s">
        <v>159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</row>
    <row r="674" spans="1:22" s="59" customFormat="1" x14ac:dyDescent="0.25">
      <c r="A674" s="61" t="s">
        <v>172</v>
      </c>
      <c r="B674" s="61">
        <v>1992</v>
      </c>
      <c r="C674" s="64">
        <v>49.813732590761099</v>
      </c>
      <c r="D674" s="64">
        <v>0.81902985881854296</v>
      </c>
      <c r="E674" s="59" t="s">
        <v>159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</row>
    <row r="675" spans="1:22" s="59" customFormat="1" x14ac:dyDescent="0.25">
      <c r="A675" s="61" t="s">
        <v>172</v>
      </c>
      <c r="B675" s="61">
        <v>1993</v>
      </c>
      <c r="C675" s="64">
        <v>55.320155131609901</v>
      </c>
      <c r="D675" s="64">
        <v>0.171062719635451</v>
      </c>
      <c r="E675" s="59" t="s">
        <v>159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</row>
    <row r="676" spans="1:22" s="59" customFormat="1" x14ac:dyDescent="0.25">
      <c r="A676" s="61" t="s">
        <v>172</v>
      </c>
      <c r="B676" s="61">
        <v>1994</v>
      </c>
      <c r="C676" s="64">
        <v>59.956798040086198</v>
      </c>
      <c r="D676" s="64">
        <v>0.86357824375766801</v>
      </c>
      <c r="E676" s="59" t="s">
        <v>159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</row>
    <row r="677" spans="1:22" s="59" customFormat="1" x14ac:dyDescent="0.25">
      <c r="A677" s="61" t="s">
        <v>172</v>
      </c>
      <c r="B677" s="61">
        <v>1995</v>
      </c>
      <c r="C677" s="64">
        <v>66.118503691337693</v>
      </c>
      <c r="D677" s="64">
        <v>1.8816560884261</v>
      </c>
      <c r="E677" s="59" t="s">
        <v>156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</row>
    <row r="678" spans="1:22" s="59" customFormat="1" x14ac:dyDescent="0.25">
      <c r="A678" s="61" t="s">
        <v>172</v>
      </c>
      <c r="B678" s="61">
        <v>1996</v>
      </c>
      <c r="C678" s="64">
        <v>70.433425481198299</v>
      </c>
      <c r="D678" s="64">
        <v>2.6372873639508598</v>
      </c>
      <c r="E678" s="59" t="s">
        <v>156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</row>
    <row r="679" spans="1:22" s="59" customFormat="1" x14ac:dyDescent="0.25">
      <c r="A679" s="61" t="s">
        <v>172</v>
      </c>
      <c r="B679" s="61">
        <v>1997</v>
      </c>
      <c r="C679" s="64">
        <v>75.331732812678894</v>
      </c>
      <c r="D679" s="64">
        <v>1.5635665931917899</v>
      </c>
      <c r="E679" s="59" t="s">
        <v>156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</row>
    <row r="680" spans="1:22" s="59" customFormat="1" x14ac:dyDescent="0.25">
      <c r="A680" s="61" t="s">
        <v>172</v>
      </c>
      <c r="B680" s="61">
        <v>1998</v>
      </c>
      <c r="C680" s="64">
        <v>86.671499852429406</v>
      </c>
      <c r="D680" s="64">
        <v>-2.0488679103415102</v>
      </c>
      <c r="E680" s="59" t="s">
        <v>156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</row>
    <row r="681" spans="1:22" s="59" customFormat="1" x14ac:dyDescent="0.25">
      <c r="A681" s="61" t="s">
        <v>172</v>
      </c>
      <c r="B681" s="61">
        <v>1999</v>
      </c>
      <c r="C681" s="64">
        <v>98.340329844120802</v>
      </c>
      <c r="D681" s="64">
        <v>-0.14101078210864099</v>
      </c>
      <c r="E681" s="59" t="s">
        <v>160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</row>
    <row r="682" spans="1:22" s="59" customFormat="1" x14ac:dyDescent="0.25">
      <c r="A682" s="61" t="s">
        <v>172</v>
      </c>
      <c r="B682" s="61">
        <v>2000</v>
      </c>
      <c r="C682" s="64">
        <v>106.480645738484</v>
      </c>
      <c r="D682" s="64">
        <v>2.8601394312350399</v>
      </c>
      <c r="E682" s="59" t="s">
        <v>160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</row>
    <row r="683" spans="1:22" s="59" customFormat="1" x14ac:dyDescent="0.25">
      <c r="A683" s="61" t="s">
        <v>172</v>
      </c>
      <c r="B683" s="61">
        <v>2001</v>
      </c>
      <c r="C683" s="64">
        <v>122.018805754239</v>
      </c>
      <c r="D683" s="64">
        <v>0.18438948337951</v>
      </c>
      <c r="E683" s="59" t="s">
        <v>160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</row>
    <row r="684" spans="1:22" s="59" customFormat="1" x14ac:dyDescent="0.25">
      <c r="A684" s="61" t="s">
        <v>172</v>
      </c>
      <c r="B684" s="61">
        <v>2002</v>
      </c>
      <c r="C684" s="64">
        <v>130.91365568111499</v>
      </c>
      <c r="D684" s="64">
        <v>0.262257029347435</v>
      </c>
      <c r="E684" s="59" t="s">
        <v>160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</row>
    <row r="685" spans="1:22" s="59" customFormat="1" x14ac:dyDescent="0.25">
      <c r="A685" s="61" t="s">
        <v>172</v>
      </c>
      <c r="B685" s="61">
        <v>2003</v>
      </c>
      <c r="C685" s="64">
        <v>136.67742211815801</v>
      </c>
      <c r="D685" s="64">
        <v>1.4135402737086999</v>
      </c>
      <c r="E685" s="59" t="s">
        <v>160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</row>
    <row r="686" spans="1:22" s="59" customFormat="1" x14ac:dyDescent="0.25">
      <c r="A686" s="61" t="s">
        <v>172</v>
      </c>
      <c r="B686" s="61">
        <v>2004</v>
      </c>
      <c r="C686" s="64">
        <v>150.72532548843299</v>
      </c>
      <c r="D686" s="64">
        <v>2.74426209676633</v>
      </c>
      <c r="E686" s="59" t="s">
        <v>160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</row>
    <row r="687" spans="1:22" s="59" customFormat="1" x14ac:dyDescent="0.25">
      <c r="A687" s="61" t="s">
        <v>172</v>
      </c>
      <c r="B687" s="61">
        <v>2005</v>
      </c>
      <c r="C687" s="64">
        <v>162.07452554540899</v>
      </c>
      <c r="D687" s="64">
        <v>1.93409253753054</v>
      </c>
      <c r="E687" s="59" t="s">
        <v>160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</row>
    <row r="688" spans="1:22" s="59" customFormat="1" x14ac:dyDescent="0.25">
      <c r="A688" s="61" t="s">
        <v>172</v>
      </c>
      <c r="B688" s="61">
        <v>2006</v>
      </c>
      <c r="C688" s="64">
        <v>164.03636435307899</v>
      </c>
      <c r="D688" s="64">
        <v>2.0394692472756</v>
      </c>
      <c r="E688" s="59" t="s">
        <v>160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</row>
    <row r="689" spans="1:22" s="59" customFormat="1" x14ac:dyDescent="0.25">
      <c r="A689" s="61" t="s">
        <v>172</v>
      </c>
      <c r="B689" s="61">
        <v>2007</v>
      </c>
      <c r="C689" s="64">
        <v>162.46546660075001</v>
      </c>
      <c r="D689" s="64">
        <v>2.3373165290419702</v>
      </c>
      <c r="E689" s="59" t="s">
        <v>160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</row>
    <row r="690" spans="1:22" s="59" customFormat="1" x14ac:dyDescent="0.25">
      <c r="A690" s="61" t="s">
        <v>172</v>
      </c>
      <c r="B690" s="61">
        <v>2008</v>
      </c>
      <c r="C690" s="64">
        <v>166.87808329604999</v>
      </c>
      <c r="D690" s="64">
        <v>-0.70524931714096595</v>
      </c>
      <c r="E690" s="59" t="s">
        <v>160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</row>
    <row r="691" spans="1:22" s="59" customFormat="1" x14ac:dyDescent="0.25">
      <c r="A691" s="61" t="s">
        <v>172</v>
      </c>
      <c r="B691" s="61">
        <v>2009</v>
      </c>
      <c r="C691" s="64">
        <v>181.51101115572399</v>
      </c>
      <c r="D691" s="64">
        <v>-5.3693645585904797</v>
      </c>
      <c r="E691" s="59" t="s">
        <v>160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</row>
    <row r="692" spans="1:22" s="59" customFormat="1" x14ac:dyDescent="0.25">
      <c r="A692" s="61" t="s">
        <v>173</v>
      </c>
      <c r="B692" s="61">
        <v>1957</v>
      </c>
      <c r="C692" s="64">
        <v>46.360980566493097</v>
      </c>
      <c r="D692" s="64">
        <v>2.8118646973816399</v>
      </c>
      <c r="E692" s="59" t="s">
        <v>159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</row>
    <row r="693" spans="1:22" s="59" customFormat="1" x14ac:dyDescent="0.25">
      <c r="A693" s="61" t="s">
        <v>173</v>
      </c>
      <c r="B693" s="61">
        <v>1958</v>
      </c>
      <c r="C693" s="64">
        <v>47.086891009542903</v>
      </c>
      <c r="D693" s="64">
        <v>-0.29660512209648299</v>
      </c>
      <c r="E693" s="59" t="s">
        <v>159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</row>
    <row r="694" spans="1:22" s="59" customFormat="1" x14ac:dyDescent="0.25">
      <c r="A694" s="61" t="s">
        <v>173</v>
      </c>
      <c r="B694" s="61">
        <v>1959</v>
      </c>
      <c r="C694" s="64">
        <v>44.782275646691403</v>
      </c>
      <c r="D694" s="64">
        <v>4.8888304799225901</v>
      </c>
      <c r="E694" s="59" t="s">
        <v>159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</row>
    <row r="695" spans="1:22" s="59" customFormat="1" x14ac:dyDescent="0.25">
      <c r="A695" s="61" t="s">
        <v>173</v>
      </c>
      <c r="B695" s="61">
        <v>1960</v>
      </c>
      <c r="C695" s="64">
        <v>41.121889498102099</v>
      </c>
      <c r="D695" s="64">
        <v>8.4141104643878304</v>
      </c>
      <c r="E695" s="59" t="s">
        <v>159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</row>
    <row r="696" spans="1:22" s="59" customFormat="1" x14ac:dyDescent="0.25">
      <c r="A696" s="61" t="s">
        <v>173</v>
      </c>
      <c r="B696" s="61">
        <v>1961</v>
      </c>
      <c r="C696" s="64">
        <v>38.889165877249802</v>
      </c>
      <c r="D696" s="64">
        <v>0.28892624500944702</v>
      </c>
      <c r="E696" s="59" t="s">
        <v>159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</row>
    <row r="697" spans="1:22" s="59" customFormat="1" x14ac:dyDescent="0.25">
      <c r="A697" s="61" t="s">
        <v>173</v>
      </c>
      <c r="B697" s="61">
        <v>1962</v>
      </c>
      <c r="C697" s="64">
        <v>35.185185185185198</v>
      </c>
      <c r="D697" s="64">
        <v>6.8493007176156304</v>
      </c>
      <c r="E697" s="59" t="s">
        <v>159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</row>
    <row r="698" spans="1:22" s="59" customFormat="1" x14ac:dyDescent="0.25">
      <c r="A698" s="61" t="s">
        <v>173</v>
      </c>
      <c r="B698" s="61">
        <v>1963</v>
      </c>
      <c r="C698" s="64">
        <v>34.593209481101901</v>
      </c>
      <c r="D698" s="64">
        <v>3.6208367240889099</v>
      </c>
      <c r="E698" s="59" t="s">
        <v>159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</row>
    <row r="699" spans="1:22" s="59" customFormat="1" x14ac:dyDescent="0.25">
      <c r="A699" s="61" t="s">
        <v>173</v>
      </c>
      <c r="B699" s="61">
        <v>1964</v>
      </c>
      <c r="C699" s="64">
        <v>29.770548939878001</v>
      </c>
      <c r="D699" s="64">
        <v>8.2887042749275999</v>
      </c>
      <c r="E699" s="59" t="s">
        <v>158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</row>
    <row r="700" spans="1:22" s="59" customFormat="1" x14ac:dyDescent="0.25">
      <c r="A700" s="61" t="s">
        <v>173</v>
      </c>
      <c r="B700" s="61">
        <v>1965</v>
      </c>
      <c r="C700" s="64">
        <v>28.277050086131201</v>
      </c>
      <c r="D700" s="64">
        <v>5.2330356674763703</v>
      </c>
      <c r="E700" s="59" t="s">
        <v>158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</row>
    <row r="701" spans="1:22" s="59" customFormat="1" x14ac:dyDescent="0.25">
      <c r="A701" s="61" t="s">
        <v>173</v>
      </c>
      <c r="B701" s="61">
        <v>1966</v>
      </c>
      <c r="C701" s="64">
        <v>28.068918152229099</v>
      </c>
      <c r="D701" s="64">
        <v>2.7558434010047002</v>
      </c>
      <c r="E701" s="59" t="s">
        <v>158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</row>
    <row r="702" spans="1:22" s="59" customFormat="1" x14ac:dyDescent="0.25">
      <c r="A702" s="61" t="s">
        <v>173</v>
      </c>
      <c r="B702" s="61">
        <v>1967</v>
      </c>
      <c r="C702" s="64">
        <v>29.382957884427</v>
      </c>
      <c r="D702" s="64">
        <v>5.2628601903776904</v>
      </c>
      <c r="E702" s="59" t="s">
        <v>158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</row>
    <row r="703" spans="1:22" s="59" customFormat="1" x14ac:dyDescent="0.25">
      <c r="A703" s="61" t="s">
        <v>173</v>
      </c>
      <c r="B703" s="61">
        <v>1968</v>
      </c>
      <c r="C703" s="64">
        <v>28.9577658347444</v>
      </c>
      <c r="D703" s="64">
        <v>6.4175884913293402</v>
      </c>
      <c r="E703" s="59" t="s">
        <v>158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</row>
    <row r="704" spans="1:22" s="59" customFormat="1" x14ac:dyDescent="0.25">
      <c r="A704" s="61" t="s">
        <v>173</v>
      </c>
      <c r="B704" s="61">
        <v>1969</v>
      </c>
      <c r="C704" s="64">
        <v>23.913756195398499</v>
      </c>
      <c r="D704" s="64">
        <v>6.43813975632452</v>
      </c>
      <c r="E704" s="59" t="s">
        <v>158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</row>
    <row r="705" spans="1:22" s="59" customFormat="1" x14ac:dyDescent="0.25">
      <c r="A705" s="61" t="s">
        <v>173</v>
      </c>
      <c r="B705" s="61">
        <v>1970</v>
      </c>
      <c r="C705" s="64">
        <v>23.3934223200771</v>
      </c>
      <c r="D705" s="64">
        <v>5.6949414443721498</v>
      </c>
      <c r="E705" s="59" t="s">
        <v>158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</row>
    <row r="706" spans="1:22" s="59" customFormat="1" x14ac:dyDescent="0.25">
      <c r="A706" s="61" t="s">
        <v>173</v>
      </c>
      <c r="B706" s="61">
        <v>1971</v>
      </c>
      <c r="C706" s="64">
        <v>21.176757366159801</v>
      </c>
      <c r="D706" s="64">
        <v>4.2217306274245701</v>
      </c>
      <c r="E706" s="59" t="s">
        <v>158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</row>
    <row r="707" spans="1:22" s="59" customFormat="1" x14ac:dyDescent="0.25">
      <c r="A707" s="61" t="s">
        <v>173</v>
      </c>
      <c r="B707" s="61">
        <v>1972</v>
      </c>
      <c r="C707" s="64">
        <v>19.1755858073466</v>
      </c>
      <c r="D707" s="64">
        <v>3.3099748368083901</v>
      </c>
      <c r="E707" s="59" t="s">
        <v>158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</row>
    <row r="708" spans="1:22" s="59" customFormat="1" x14ac:dyDescent="0.25">
      <c r="A708" s="61" t="s">
        <v>173</v>
      </c>
      <c r="B708" s="61">
        <v>1973</v>
      </c>
      <c r="C708" s="64">
        <v>17.108843133294499</v>
      </c>
      <c r="D708" s="64">
        <v>4.68797455916246</v>
      </c>
      <c r="E708" s="59" t="s">
        <v>158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</row>
    <row r="709" spans="1:22" s="59" customFormat="1" x14ac:dyDescent="0.25">
      <c r="A709" s="61" t="s">
        <v>173</v>
      </c>
      <c r="B709" s="61">
        <v>1974</v>
      </c>
      <c r="C709" s="64">
        <v>16.6500863919577</v>
      </c>
      <c r="D709" s="64">
        <v>3.96607334846495</v>
      </c>
      <c r="E709" s="59" t="s">
        <v>158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</row>
    <row r="710" spans="1:22" s="59" customFormat="1" x14ac:dyDescent="0.25">
      <c r="A710" s="61" t="s">
        <v>173</v>
      </c>
      <c r="B710" s="61">
        <v>1975</v>
      </c>
      <c r="C710" s="64">
        <v>17.738737798689002</v>
      </c>
      <c r="D710" s="64">
        <v>-9.1375168934626494E-2</v>
      </c>
      <c r="E710" s="59" t="s">
        <v>158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</row>
    <row r="711" spans="1:22" s="59" customFormat="1" x14ac:dyDescent="0.25">
      <c r="A711" s="61" t="s">
        <v>173</v>
      </c>
      <c r="B711" s="61">
        <v>1976</v>
      </c>
      <c r="C711" s="64">
        <v>18.690653004689398</v>
      </c>
      <c r="D711" s="64">
        <v>4.7087559420797804</v>
      </c>
      <c r="E711" s="59" t="s">
        <v>158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</row>
    <row r="712" spans="1:22" s="59" customFormat="1" x14ac:dyDescent="0.25">
      <c r="A712" s="61" t="s">
        <v>173</v>
      </c>
      <c r="B712" s="61">
        <v>1977</v>
      </c>
      <c r="C712" s="64">
        <v>19.319466080210098</v>
      </c>
      <c r="D712" s="64">
        <v>2.7187045618586301</v>
      </c>
      <c r="E712" s="59" t="s">
        <v>158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</row>
    <row r="713" spans="1:22" s="59" customFormat="1" x14ac:dyDescent="0.25">
      <c r="A713" s="61" t="s">
        <v>173</v>
      </c>
      <c r="B713" s="61">
        <v>1978</v>
      </c>
      <c r="C713" s="64">
        <v>20.661888015397398</v>
      </c>
      <c r="D713" s="64">
        <v>2.3585482097030499</v>
      </c>
      <c r="E713" s="59" t="s">
        <v>158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</row>
    <row r="714" spans="1:22" s="59" customFormat="1" x14ac:dyDescent="0.25">
      <c r="A714" s="61" t="s">
        <v>173</v>
      </c>
      <c r="B714" s="61">
        <v>1979</v>
      </c>
      <c r="C714" s="64">
        <v>22.693747872461099</v>
      </c>
      <c r="D714" s="64">
        <v>2.2270972620184599</v>
      </c>
      <c r="E714" s="59" t="s">
        <v>158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</row>
    <row r="715" spans="1:22" s="59" customFormat="1" x14ac:dyDescent="0.25">
      <c r="A715" s="61" t="s">
        <v>173</v>
      </c>
      <c r="B715" s="61">
        <v>1980</v>
      </c>
      <c r="C715" s="64">
        <v>26.070021963526901</v>
      </c>
      <c r="D715" s="64">
        <v>1.20583354825523</v>
      </c>
      <c r="E715" s="59" t="s">
        <v>158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</row>
    <row r="716" spans="1:22" s="59" customFormat="1" x14ac:dyDescent="0.25">
      <c r="A716" s="61" t="s">
        <v>173</v>
      </c>
      <c r="B716" s="61">
        <v>1981</v>
      </c>
      <c r="C716" s="64">
        <v>30.499201917770801</v>
      </c>
      <c r="D716" s="64">
        <v>-0.513749767944915</v>
      </c>
      <c r="E716" s="59" t="s">
        <v>159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</row>
    <row r="717" spans="1:22" s="59" customFormat="1" x14ac:dyDescent="0.25">
      <c r="A717" s="61" t="s">
        <v>173</v>
      </c>
      <c r="B717" s="61">
        <v>1982</v>
      </c>
      <c r="C717" s="64">
        <v>36.5552520373422</v>
      </c>
      <c r="D717" s="64">
        <v>-1.2830966318206301</v>
      </c>
      <c r="E717" s="59" t="s">
        <v>159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</row>
    <row r="718" spans="1:22" s="59" customFormat="1" x14ac:dyDescent="0.25">
      <c r="A718" s="61" t="s">
        <v>173</v>
      </c>
      <c r="B718" s="61">
        <v>1983</v>
      </c>
      <c r="C718" s="64">
        <v>42.705017016137901</v>
      </c>
      <c r="D718" s="64">
        <v>1.7579617834394801</v>
      </c>
      <c r="E718" s="59" t="s">
        <v>159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</row>
    <row r="719" spans="1:22" s="59" customFormat="1" x14ac:dyDescent="0.25">
      <c r="A719" s="61" t="s">
        <v>173</v>
      </c>
      <c r="B719" s="61">
        <v>1984</v>
      </c>
      <c r="C719" s="64">
        <v>47.823279595575698</v>
      </c>
      <c r="D719" s="64">
        <v>3.1191949214143899</v>
      </c>
      <c r="E719" s="59" t="s">
        <v>159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</row>
    <row r="720" spans="1:22" s="59" customFormat="1" x14ac:dyDescent="0.25">
      <c r="A720" s="61" t="s">
        <v>173</v>
      </c>
      <c r="B720" s="61">
        <v>1985</v>
      </c>
      <c r="C720" s="64">
        <v>51.4384170630874</v>
      </c>
      <c r="D720" s="64">
        <v>2.6563332184592201</v>
      </c>
      <c r="E720" s="59" t="s">
        <v>159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</row>
    <row r="721" spans="1:22" s="59" customFormat="1" x14ac:dyDescent="0.25">
      <c r="A721" s="61" t="s">
        <v>173</v>
      </c>
      <c r="B721" s="61">
        <v>1986</v>
      </c>
      <c r="C721" s="64">
        <v>51.922393782938101</v>
      </c>
      <c r="D721" s="64">
        <v>3.12472580922045</v>
      </c>
      <c r="E721" s="59" t="s">
        <v>159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</row>
    <row r="722" spans="1:22" s="59" customFormat="1" x14ac:dyDescent="0.25">
      <c r="A722" s="61" t="s">
        <v>173</v>
      </c>
      <c r="B722" s="61">
        <v>1987</v>
      </c>
      <c r="C722" s="64">
        <v>54.128956826744002</v>
      </c>
      <c r="D722" s="64">
        <v>1.85072837980809</v>
      </c>
      <c r="E722" s="59" t="s">
        <v>159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</row>
    <row r="723" spans="1:22" s="59" customFormat="1" x14ac:dyDescent="0.25">
      <c r="A723" s="61" t="s">
        <v>173</v>
      </c>
      <c r="B723" s="61">
        <v>1988</v>
      </c>
      <c r="C723" s="64">
        <v>56.887086770165098</v>
      </c>
      <c r="D723" s="64">
        <v>2.98043431676287</v>
      </c>
      <c r="E723" s="59" t="s">
        <v>159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</row>
    <row r="724" spans="1:22" s="59" customFormat="1" x14ac:dyDescent="0.25">
      <c r="A724" s="61" t="s">
        <v>173</v>
      </c>
      <c r="B724" s="61">
        <v>1989</v>
      </c>
      <c r="C724" s="64">
        <v>57.520964360587001</v>
      </c>
      <c r="D724" s="64">
        <v>4.7845944945068304</v>
      </c>
      <c r="E724" s="59" t="s">
        <v>159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</row>
    <row r="725" spans="1:22" s="59" customFormat="1" x14ac:dyDescent="0.25">
      <c r="A725" s="61" t="s">
        <v>173</v>
      </c>
      <c r="B725" s="61">
        <v>1990</v>
      </c>
      <c r="C725" s="64">
        <v>58.424788861927802</v>
      </c>
      <c r="D725" s="64">
        <v>4.0646110245337503</v>
      </c>
      <c r="E725" s="59" t="s">
        <v>159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</row>
    <row r="726" spans="1:22" s="59" customFormat="1" x14ac:dyDescent="0.25">
      <c r="A726" s="61" t="s">
        <v>173</v>
      </c>
      <c r="B726" s="61">
        <v>1991</v>
      </c>
      <c r="C726" s="64">
        <v>59.248402826772498</v>
      </c>
      <c r="D726" s="64">
        <v>2.40509481623794</v>
      </c>
      <c r="E726" s="59" t="s">
        <v>159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</row>
    <row r="727" spans="1:22" s="59" customFormat="1" x14ac:dyDescent="0.25">
      <c r="A727" s="61" t="s">
        <v>173</v>
      </c>
      <c r="B727" s="61">
        <v>1992</v>
      </c>
      <c r="C727" s="64">
        <v>60.644270317331703</v>
      </c>
      <c r="D727" s="64">
        <v>1.48951559158974</v>
      </c>
      <c r="E727" s="59" t="s">
        <v>156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</row>
    <row r="728" spans="1:22" s="59" customFormat="1" x14ac:dyDescent="0.25">
      <c r="A728" s="61" t="s">
        <v>173</v>
      </c>
      <c r="B728" s="61">
        <v>1993</v>
      </c>
      <c r="C728" s="64">
        <v>61.227776110553997</v>
      </c>
      <c r="D728" s="64">
        <v>0.65135733158228004</v>
      </c>
      <c r="E728" s="59" t="s">
        <v>156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</row>
    <row r="729" spans="1:22" s="59" customFormat="1" x14ac:dyDescent="0.25">
      <c r="A729" s="61" t="s">
        <v>173</v>
      </c>
      <c r="B729" s="61">
        <v>1994</v>
      </c>
      <c r="C729" s="64">
        <v>58.048741465722003</v>
      </c>
      <c r="D729" s="64">
        <v>2.86436915237676</v>
      </c>
      <c r="E729" s="59" t="s">
        <v>159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</row>
    <row r="730" spans="1:22" s="59" customFormat="1" x14ac:dyDescent="0.25">
      <c r="A730" s="61" t="s">
        <v>173</v>
      </c>
      <c r="B730" s="61">
        <v>1995</v>
      </c>
      <c r="C730" s="64">
        <v>58.933175217273103</v>
      </c>
      <c r="D730" s="64">
        <v>3.0331904558653</v>
      </c>
      <c r="E730" s="59" t="s">
        <v>159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</row>
    <row r="731" spans="1:22" s="59" customFormat="1" x14ac:dyDescent="0.25">
      <c r="A731" s="61" t="s">
        <v>173</v>
      </c>
      <c r="B731" s="61">
        <v>1996</v>
      </c>
      <c r="C731" s="64">
        <v>57.669152945223701</v>
      </c>
      <c r="D731" s="64">
        <v>3.40600448688215</v>
      </c>
      <c r="E731" s="59" t="s">
        <v>159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</row>
    <row r="732" spans="1:22" s="59" customFormat="1" x14ac:dyDescent="0.25">
      <c r="A732" s="61" t="s">
        <v>173</v>
      </c>
      <c r="B732" s="61">
        <v>1997</v>
      </c>
      <c r="C732" s="64">
        <v>53.910009730099297</v>
      </c>
      <c r="D732" s="64">
        <v>4.2784354440093404</v>
      </c>
      <c r="E732" s="59" t="s">
        <v>159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</row>
    <row r="733" spans="1:22" s="59" customFormat="1" x14ac:dyDescent="0.25">
      <c r="A733" s="61" t="s">
        <v>173</v>
      </c>
      <c r="B733" s="61">
        <v>1998</v>
      </c>
      <c r="C733" s="64">
        <v>52.005164650834303</v>
      </c>
      <c r="D733" s="64">
        <v>3.9235208337278902</v>
      </c>
      <c r="E733" s="59" t="s">
        <v>159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</row>
    <row r="734" spans="1:22" s="59" customFormat="1" x14ac:dyDescent="0.25">
      <c r="A734" s="61" t="s">
        <v>173</v>
      </c>
      <c r="B734" s="61">
        <v>1999</v>
      </c>
      <c r="C734" s="64">
        <v>49.120517461476503</v>
      </c>
      <c r="D734" s="64">
        <v>4.6844857973700904</v>
      </c>
      <c r="E734" s="59" t="s">
        <v>159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</row>
    <row r="735" spans="1:22" s="59" customFormat="1" x14ac:dyDescent="0.25">
      <c r="A735" s="61" t="s">
        <v>173</v>
      </c>
      <c r="B735" s="61">
        <v>2000</v>
      </c>
      <c r="C735" s="64">
        <v>42.994544932529401</v>
      </c>
      <c r="D735" s="64">
        <v>3.9409320265696399</v>
      </c>
      <c r="E735" s="59" t="s">
        <v>159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</row>
    <row r="736" spans="1:22" s="59" customFormat="1" x14ac:dyDescent="0.25">
      <c r="A736" s="61" t="s">
        <v>173</v>
      </c>
      <c r="B736" s="61">
        <v>2001</v>
      </c>
      <c r="C736" s="64">
        <v>40.247380681704001</v>
      </c>
      <c r="D736" s="64">
        <v>1.92578237151881</v>
      </c>
      <c r="E736" s="59" t="s">
        <v>159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</row>
    <row r="737" spans="1:22" s="59" customFormat="1" x14ac:dyDescent="0.25">
      <c r="A737" s="61" t="s">
        <v>173</v>
      </c>
      <c r="B737" s="61">
        <v>2002</v>
      </c>
      <c r="C737" s="64">
        <v>40.4330050256441</v>
      </c>
      <c r="D737" s="64">
        <v>7.6289468062884502E-2</v>
      </c>
      <c r="E737" s="59" t="s">
        <v>159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</row>
    <row r="738" spans="1:22" s="59" customFormat="1" x14ac:dyDescent="0.25">
      <c r="A738" s="61" t="s">
        <v>173</v>
      </c>
      <c r="B738" s="61">
        <v>2003</v>
      </c>
      <c r="C738" s="64">
        <v>42.520626067995302</v>
      </c>
      <c r="D738" s="64">
        <v>0.33565232892520702</v>
      </c>
      <c r="E738" s="59" t="s">
        <v>159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</row>
    <row r="739" spans="1:22" s="59" customFormat="1" x14ac:dyDescent="0.25">
      <c r="A739" s="61" t="s">
        <v>173</v>
      </c>
      <c r="B739" s="61">
        <v>2004</v>
      </c>
      <c r="C739" s="64">
        <v>43.751425127854297</v>
      </c>
      <c r="D739" s="64">
        <v>2.2365083632368301</v>
      </c>
      <c r="E739" s="59" t="s">
        <v>159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</row>
    <row r="740" spans="1:22" s="59" customFormat="1" x14ac:dyDescent="0.25">
      <c r="A740" s="61" t="s">
        <v>173</v>
      </c>
      <c r="B740" s="61">
        <v>2005</v>
      </c>
      <c r="C740" s="64">
        <v>42.948382082831003</v>
      </c>
      <c r="D740" s="64">
        <v>2.0465001417687301</v>
      </c>
      <c r="E740" s="59" t="s">
        <v>159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</row>
    <row r="741" spans="1:22" s="59" customFormat="1" x14ac:dyDescent="0.25">
      <c r="A741" s="61" t="s">
        <v>173</v>
      </c>
      <c r="B741" s="61">
        <v>2006</v>
      </c>
      <c r="C741" s="64">
        <v>39.169517378233898</v>
      </c>
      <c r="D741" s="64">
        <v>3.3942664055462801</v>
      </c>
      <c r="E741" s="59" t="s">
        <v>159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</row>
    <row r="742" spans="1:22" s="59" customFormat="1" x14ac:dyDescent="0.25">
      <c r="A742" s="61" t="s">
        <v>173</v>
      </c>
      <c r="B742" s="61">
        <v>2007</v>
      </c>
      <c r="C742" s="64">
        <v>37.983765457282303</v>
      </c>
      <c r="D742" s="64">
        <v>3.6131157488676502</v>
      </c>
      <c r="E742" s="59" t="s">
        <v>159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</row>
    <row r="743" spans="1:22" s="59" customFormat="1" x14ac:dyDescent="0.25">
      <c r="A743" s="61" t="s">
        <v>173</v>
      </c>
      <c r="B743" s="61">
        <v>2008</v>
      </c>
      <c r="C743" s="64">
        <v>50.2951082678982</v>
      </c>
      <c r="D743" s="64">
        <v>1.9958084258170801</v>
      </c>
      <c r="E743" s="59" t="s">
        <v>159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</row>
    <row r="744" spans="1:22" s="59" customFormat="1" x14ac:dyDescent="0.25">
      <c r="A744" s="61" t="s">
        <v>173</v>
      </c>
      <c r="B744" s="61">
        <v>2009</v>
      </c>
      <c r="C744" s="64">
        <v>50.475484876311299</v>
      </c>
      <c r="D744" s="64">
        <v>-4.1727161617901602</v>
      </c>
      <c r="E744" s="59" t="s">
        <v>159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</row>
    <row r="745" spans="1:22" s="59" customFormat="1" x14ac:dyDescent="0.25">
      <c r="A745" s="61" t="s">
        <v>174</v>
      </c>
      <c r="B745" s="61">
        <v>1950</v>
      </c>
      <c r="C745" s="64">
        <v>87.652911931818196</v>
      </c>
      <c r="D745" s="64">
        <v>14.6759487665158</v>
      </c>
      <c r="E745" s="59" t="s">
        <v>156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</row>
    <row r="746" spans="1:22" s="59" customFormat="1" x14ac:dyDescent="0.25">
      <c r="A746" s="61" t="s">
        <v>174</v>
      </c>
      <c r="B746" s="61">
        <v>1951</v>
      </c>
      <c r="C746" s="64">
        <v>91.751130911583303</v>
      </c>
      <c r="D746" s="64">
        <v>-7.6351016360932098</v>
      </c>
      <c r="E746" s="59" t="s">
        <v>160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</row>
    <row r="747" spans="1:22" s="59" customFormat="1" x14ac:dyDescent="0.25">
      <c r="A747" s="61" t="s">
        <v>174</v>
      </c>
      <c r="B747" s="61">
        <v>1952</v>
      </c>
      <c r="C747" s="64">
        <v>85.831609947643997</v>
      </c>
      <c r="D747" s="64">
        <v>4.3478260869565197</v>
      </c>
      <c r="E747" s="59" t="s">
        <v>156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</row>
    <row r="748" spans="1:22" s="59" customFormat="1" x14ac:dyDescent="0.25">
      <c r="A748" s="61" t="s">
        <v>174</v>
      </c>
      <c r="B748" s="61">
        <v>1953</v>
      </c>
      <c r="C748" s="64">
        <v>79.263846153846103</v>
      </c>
      <c r="D748" s="64">
        <v>3.4207818930041198</v>
      </c>
      <c r="E748" s="59" t="s">
        <v>156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</row>
    <row r="749" spans="1:22" s="59" customFormat="1" x14ac:dyDescent="0.25">
      <c r="A749" s="61" t="s">
        <v>174</v>
      </c>
      <c r="B749" s="61">
        <v>1954</v>
      </c>
      <c r="C749" s="64">
        <v>75.275599360681994</v>
      </c>
      <c r="D749" s="64">
        <v>13.765232529221599</v>
      </c>
      <c r="E749" s="59" t="s">
        <v>156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</row>
    <row r="750" spans="1:22" s="59" customFormat="1" x14ac:dyDescent="0.25">
      <c r="A750" s="61" t="s">
        <v>174</v>
      </c>
      <c r="B750" s="61">
        <v>1955</v>
      </c>
      <c r="C750" s="64">
        <v>73.843759474481999</v>
      </c>
      <c r="D750" s="64">
        <v>1.86359164936059</v>
      </c>
      <c r="E750" s="59" t="s">
        <v>156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</row>
    <row r="751" spans="1:22" s="59" customFormat="1" x14ac:dyDescent="0.25">
      <c r="A751" s="61" t="s">
        <v>174</v>
      </c>
      <c r="B751" s="61">
        <v>1956</v>
      </c>
      <c r="C751" s="64">
        <v>70.760442733397497</v>
      </c>
      <c r="D751" s="64">
        <v>5.1826814743280298</v>
      </c>
      <c r="E751" s="59" t="s">
        <v>156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</row>
    <row r="752" spans="1:22" s="59" customFormat="1" x14ac:dyDescent="0.25">
      <c r="A752" s="61" t="s">
        <v>174</v>
      </c>
      <c r="B752" s="61">
        <v>1957</v>
      </c>
      <c r="C752" s="64">
        <v>68.055640449438201</v>
      </c>
      <c r="D752" s="64">
        <v>2.85641418005611</v>
      </c>
      <c r="E752" s="59" t="s">
        <v>156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</row>
    <row r="753" spans="1:22" s="59" customFormat="1" x14ac:dyDescent="0.25">
      <c r="A753" s="61" t="s">
        <v>174</v>
      </c>
      <c r="B753" s="61">
        <v>1958</v>
      </c>
      <c r="C753" s="64">
        <v>67.394312796208496</v>
      </c>
      <c r="D753" s="64">
        <v>3.92759732209274</v>
      </c>
      <c r="E753" s="59" t="s">
        <v>156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</row>
    <row r="754" spans="1:22" s="59" customFormat="1" x14ac:dyDescent="0.25">
      <c r="A754" s="61" t="s">
        <v>174</v>
      </c>
      <c r="B754" s="61">
        <v>1959</v>
      </c>
      <c r="C754" s="64">
        <v>65.797904915390802</v>
      </c>
      <c r="D754" s="64">
        <v>7.1193396001335998</v>
      </c>
      <c r="E754" s="59" t="s">
        <v>156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</row>
    <row r="755" spans="1:22" s="59" customFormat="1" x14ac:dyDescent="0.25">
      <c r="A755" s="61" t="s">
        <v>174</v>
      </c>
      <c r="B755" s="61">
        <v>1960</v>
      </c>
      <c r="C755" s="64">
        <v>62.859397097134298</v>
      </c>
      <c r="D755" s="64">
        <v>0</v>
      </c>
      <c r="E755" s="59" t="s">
        <v>156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</row>
    <row r="756" spans="1:22" s="59" customFormat="1" x14ac:dyDescent="0.25">
      <c r="A756" s="61" t="s">
        <v>174</v>
      </c>
      <c r="B756" s="61">
        <v>1961</v>
      </c>
      <c r="C756" s="64">
        <v>62.3911606180381</v>
      </c>
      <c r="D756" s="64">
        <v>5.5904494632277499</v>
      </c>
      <c r="E756" s="59" t="s">
        <v>156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</row>
    <row r="757" spans="1:22" s="59" customFormat="1" x14ac:dyDescent="0.25">
      <c r="A757" s="61" t="s">
        <v>174</v>
      </c>
      <c r="B757" s="61">
        <v>1962</v>
      </c>
      <c r="C757" s="64">
        <v>60.276358786262101</v>
      </c>
      <c r="D757" s="64">
        <v>2.1557543030712201</v>
      </c>
      <c r="E757" s="59" t="s">
        <v>156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</row>
    <row r="758" spans="1:22" s="59" customFormat="1" x14ac:dyDescent="0.25">
      <c r="A758" s="61" t="s">
        <v>174</v>
      </c>
      <c r="B758" s="61">
        <v>1963</v>
      </c>
      <c r="C758" s="64">
        <v>59.098258478460103</v>
      </c>
      <c r="D758" s="64">
        <v>6.3349163741482499</v>
      </c>
      <c r="E758" s="59" t="s">
        <v>159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</row>
    <row r="759" spans="1:22" s="59" customFormat="1" x14ac:dyDescent="0.25">
      <c r="A759" s="61" t="s">
        <v>174</v>
      </c>
      <c r="B759" s="61">
        <v>1964</v>
      </c>
      <c r="C759" s="64">
        <v>56.331680133741997</v>
      </c>
      <c r="D759" s="64">
        <v>4.8739756883762402</v>
      </c>
      <c r="E759" s="59" t="s">
        <v>159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</row>
    <row r="760" spans="1:22" s="59" customFormat="1" x14ac:dyDescent="0.25">
      <c r="A760" s="61" t="s">
        <v>174</v>
      </c>
      <c r="B760" s="61">
        <v>1965</v>
      </c>
      <c r="C760" s="64">
        <v>55.186535981428896</v>
      </c>
      <c r="D760" s="64">
        <v>6.3694267515923597</v>
      </c>
      <c r="E760" s="59" t="s">
        <v>159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</row>
    <row r="761" spans="1:22" s="59" customFormat="1" x14ac:dyDescent="0.25">
      <c r="A761" s="61" t="s">
        <v>174</v>
      </c>
      <c r="B761" s="61">
        <v>1966</v>
      </c>
      <c r="C761" s="64">
        <v>55.8545679623669</v>
      </c>
      <c r="D761" s="64">
        <v>6.3083136053474496</v>
      </c>
      <c r="E761" s="59" t="s">
        <v>159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</row>
    <row r="762" spans="1:22" s="59" customFormat="1" x14ac:dyDescent="0.25">
      <c r="A762" s="61" t="s">
        <v>174</v>
      </c>
      <c r="B762" s="61">
        <v>1967</v>
      </c>
      <c r="C762" s="64">
        <v>57.660865407602202</v>
      </c>
      <c r="D762" s="64">
        <v>-4.5651034844118401</v>
      </c>
      <c r="E762" s="59" t="s">
        <v>159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</row>
    <row r="763" spans="1:22" s="59" customFormat="1" x14ac:dyDescent="0.25">
      <c r="A763" s="61" t="s">
        <v>174</v>
      </c>
      <c r="B763" s="61">
        <v>1968</v>
      </c>
      <c r="C763" s="64">
        <v>58.984873760144303</v>
      </c>
      <c r="D763" s="64">
        <v>-0.16127925331137499</v>
      </c>
      <c r="E763" s="59" t="s">
        <v>159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</row>
    <row r="764" spans="1:22" s="59" customFormat="1" x14ac:dyDescent="0.25">
      <c r="A764" s="61" t="s">
        <v>174</v>
      </c>
      <c r="B764" s="61">
        <v>1969</v>
      </c>
      <c r="C764" s="64">
        <v>54.080249318270397</v>
      </c>
      <c r="D764" s="64">
        <v>10.324798075270699</v>
      </c>
      <c r="E764" s="59" t="s">
        <v>159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</row>
    <row r="765" spans="1:22" s="59" customFormat="1" x14ac:dyDescent="0.25">
      <c r="A765" s="61" t="s">
        <v>174</v>
      </c>
      <c r="B765" s="61">
        <v>1970</v>
      </c>
      <c r="C765" s="64">
        <v>49.333213305898497</v>
      </c>
      <c r="D765" s="64">
        <v>-1.4174896414218501</v>
      </c>
      <c r="E765" s="59" t="s">
        <v>159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</row>
    <row r="766" spans="1:22" s="59" customFormat="1" x14ac:dyDescent="0.25">
      <c r="A766" s="61" t="s">
        <v>174</v>
      </c>
      <c r="B766" s="61">
        <v>1971</v>
      </c>
      <c r="C766" s="64">
        <v>43.743991853360498</v>
      </c>
      <c r="D766" s="64">
        <v>5.18581721653395</v>
      </c>
      <c r="E766" s="59" t="s">
        <v>159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</row>
    <row r="767" spans="1:22" s="59" customFormat="1" x14ac:dyDescent="0.25">
      <c r="A767" s="61" t="s">
        <v>174</v>
      </c>
      <c r="B767" s="61">
        <v>1972</v>
      </c>
      <c r="C767" s="64">
        <v>39.982280723959001</v>
      </c>
      <c r="D767" s="64">
        <v>4.2842121075559598</v>
      </c>
      <c r="E767" s="59" t="s">
        <v>159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</row>
    <row r="768" spans="1:22" s="59" customFormat="1" x14ac:dyDescent="0.25">
      <c r="A768" s="61" t="s">
        <v>174</v>
      </c>
      <c r="B768" s="61">
        <v>1973</v>
      </c>
      <c r="C768" s="64">
        <v>37.7758452005653</v>
      </c>
      <c r="D768" s="64">
        <v>7.1043761343666301</v>
      </c>
      <c r="E768" s="59" t="s">
        <v>159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</row>
    <row r="769" spans="1:22" s="59" customFormat="1" x14ac:dyDescent="0.25">
      <c r="A769" s="61" t="s">
        <v>174</v>
      </c>
      <c r="B769" s="61">
        <v>1974</v>
      </c>
      <c r="C769" s="64">
        <v>36.047548291233298</v>
      </c>
      <c r="D769" s="64">
        <v>5.9526051053070397</v>
      </c>
      <c r="E769" s="59" t="s">
        <v>159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</row>
    <row r="770" spans="1:22" s="59" customFormat="1" x14ac:dyDescent="0.25">
      <c r="A770" s="61" t="s">
        <v>174</v>
      </c>
      <c r="B770" s="61">
        <v>1975</v>
      </c>
      <c r="C770" s="64">
        <v>35.8159067535139</v>
      </c>
      <c r="D770" s="64">
        <v>-1.1500380807311501</v>
      </c>
      <c r="E770" s="59" t="s">
        <v>159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</row>
    <row r="771" spans="1:22" s="59" customFormat="1" x14ac:dyDescent="0.25">
      <c r="A771" s="61" t="s">
        <v>174</v>
      </c>
      <c r="B771" s="61">
        <v>1976</v>
      </c>
      <c r="C771" s="64">
        <v>39.373094106800899</v>
      </c>
      <c r="D771" s="64">
        <v>2.4398387138197601</v>
      </c>
      <c r="E771" s="59" t="s">
        <v>159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</row>
    <row r="772" spans="1:22" s="59" customFormat="1" x14ac:dyDescent="0.25">
      <c r="A772" s="61" t="s">
        <v>174</v>
      </c>
      <c r="B772" s="61">
        <v>1977</v>
      </c>
      <c r="C772" s="64">
        <v>41.970607882431501</v>
      </c>
      <c r="D772" s="64">
        <v>-4.8712613132098204</v>
      </c>
      <c r="E772" s="59" t="s">
        <v>159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</row>
    <row r="773" spans="1:22" s="59" customFormat="1" x14ac:dyDescent="0.25">
      <c r="A773" s="61" t="s">
        <v>174</v>
      </c>
      <c r="B773" s="61">
        <v>1978</v>
      </c>
      <c r="C773" s="64">
        <v>44.0971812713763</v>
      </c>
      <c r="D773" s="64">
        <v>0.40322580645162398</v>
      </c>
      <c r="E773" s="59" t="s">
        <v>159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</row>
    <row r="774" spans="1:22" s="59" customFormat="1" x14ac:dyDescent="0.25">
      <c r="A774" s="61" t="s">
        <v>174</v>
      </c>
      <c r="B774" s="61">
        <v>1979</v>
      </c>
      <c r="C774" s="64">
        <v>44.526395554432902</v>
      </c>
      <c r="D774" s="64">
        <v>2.0395306717064399</v>
      </c>
      <c r="E774" s="59" t="s">
        <v>159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</row>
    <row r="775" spans="1:22" s="59" customFormat="1" x14ac:dyDescent="0.25">
      <c r="A775" s="61" t="s">
        <v>174</v>
      </c>
      <c r="B775" s="61">
        <v>1980</v>
      </c>
      <c r="C775" s="64">
        <v>44.976513569937403</v>
      </c>
      <c r="D775" s="64">
        <v>1.0089999999999999</v>
      </c>
      <c r="E775" s="59" t="s">
        <v>159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</row>
    <row r="776" spans="1:22" s="59" customFormat="1" x14ac:dyDescent="0.25">
      <c r="A776" s="61" t="s">
        <v>174</v>
      </c>
      <c r="B776" s="61">
        <v>1981</v>
      </c>
      <c r="C776" s="64">
        <v>41.629916460506998</v>
      </c>
      <c r="D776" s="64">
        <v>2.9609999999999999</v>
      </c>
      <c r="E776" s="59" t="s">
        <v>159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</row>
    <row r="777" spans="1:22" s="59" customFormat="1" x14ac:dyDescent="0.25">
      <c r="A777" s="61" t="s">
        <v>174</v>
      </c>
      <c r="B777" s="61">
        <v>1982</v>
      </c>
      <c r="C777" s="64">
        <v>45.767136807921297</v>
      </c>
      <c r="D777" s="64">
        <v>2.8780000000000001</v>
      </c>
      <c r="E777" s="59" t="s">
        <v>159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</row>
    <row r="778" spans="1:22" s="59" customFormat="1" x14ac:dyDescent="0.25">
      <c r="A778" s="61" t="s">
        <v>174</v>
      </c>
      <c r="B778" s="61">
        <v>1983</v>
      </c>
      <c r="C778" s="64">
        <v>53.752977984442701</v>
      </c>
      <c r="D778" s="64">
        <v>-0.124</v>
      </c>
      <c r="E778" s="59" t="s">
        <v>159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</row>
    <row r="779" spans="1:22" s="59" customFormat="1" x14ac:dyDescent="0.25">
      <c r="A779" s="61" t="s">
        <v>174</v>
      </c>
      <c r="B779" s="61">
        <v>1984</v>
      </c>
      <c r="C779" s="64">
        <v>55.591419712296002</v>
      </c>
      <c r="D779" s="64">
        <v>6.8579999999999997</v>
      </c>
      <c r="E779" s="59" t="s">
        <v>159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</row>
    <row r="780" spans="1:22" s="59" customFormat="1" x14ac:dyDescent="0.25">
      <c r="A780" s="61" t="s">
        <v>174</v>
      </c>
      <c r="B780" s="61">
        <v>1985</v>
      </c>
      <c r="C780" s="64">
        <v>62.3647365399055</v>
      </c>
      <c r="D780" s="64">
        <v>1.2130000000000001</v>
      </c>
      <c r="E780" s="59" t="s">
        <v>156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</row>
    <row r="781" spans="1:22" s="59" customFormat="1" x14ac:dyDescent="0.25">
      <c r="A781" s="61" t="s">
        <v>174</v>
      </c>
      <c r="B781" s="61">
        <v>1986</v>
      </c>
      <c r="C781" s="64">
        <v>57.291219023062602</v>
      </c>
      <c r="D781" s="64">
        <v>1.81</v>
      </c>
      <c r="E781" s="59" t="s">
        <v>159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</row>
    <row r="782" spans="1:22" s="59" customFormat="1" x14ac:dyDescent="0.25">
      <c r="A782" s="61" t="s">
        <v>174</v>
      </c>
      <c r="B782" s="61">
        <v>1987</v>
      </c>
      <c r="C782" s="64">
        <v>67.777511770808403</v>
      </c>
      <c r="D782" s="64">
        <v>0.754</v>
      </c>
      <c r="E782" s="59" t="s">
        <v>156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</row>
    <row r="783" spans="1:22" s="59" customFormat="1" x14ac:dyDescent="0.25">
      <c r="A783" s="61" t="s">
        <v>174</v>
      </c>
      <c r="B783" s="61">
        <v>1988</v>
      </c>
      <c r="C783" s="64">
        <v>57.438581531087799</v>
      </c>
      <c r="D783" s="64">
        <v>-2.1999999999999999E-2</v>
      </c>
      <c r="E783" s="59" t="s">
        <v>159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</row>
    <row r="784" spans="1:22" s="59" customFormat="1" x14ac:dyDescent="0.25">
      <c r="A784" s="61" t="s">
        <v>174</v>
      </c>
      <c r="B784" s="61">
        <v>1989</v>
      </c>
      <c r="C784" s="64">
        <v>55.264732484519598</v>
      </c>
      <c r="D784" s="64">
        <v>0.84599999999999997</v>
      </c>
      <c r="E784" s="59" t="s">
        <v>159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</row>
    <row r="785" spans="1:22" s="59" customFormat="1" x14ac:dyDescent="0.25">
      <c r="A785" s="61" t="s">
        <v>174</v>
      </c>
      <c r="B785" s="61">
        <v>1990</v>
      </c>
      <c r="C785" s="64">
        <v>60.617618110236201</v>
      </c>
      <c r="D785" s="64">
        <v>5.6000000000000001E-2</v>
      </c>
      <c r="E785" s="59" t="s">
        <v>156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</row>
    <row r="786" spans="1:22" s="59" customFormat="1" x14ac:dyDescent="0.25">
      <c r="A786" s="61" t="s">
        <v>174</v>
      </c>
      <c r="B786" s="61">
        <v>1991</v>
      </c>
      <c r="C786" s="64">
        <v>60.237742678512703</v>
      </c>
      <c r="D786" s="64">
        <v>-1.677</v>
      </c>
      <c r="E786" s="59" t="s">
        <v>156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</row>
    <row r="787" spans="1:22" s="59" customFormat="1" x14ac:dyDescent="0.25">
      <c r="A787" s="61" t="s">
        <v>174</v>
      </c>
      <c r="B787" s="61">
        <v>1992</v>
      </c>
      <c r="C787" s="64">
        <v>62.028546367913201</v>
      </c>
      <c r="D787" s="64">
        <v>0.77100000000000002</v>
      </c>
      <c r="E787" s="59" t="s">
        <v>156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</row>
    <row r="788" spans="1:22" s="59" customFormat="1" x14ac:dyDescent="0.25">
      <c r="A788" s="61" t="s">
        <v>174</v>
      </c>
      <c r="B788" s="61">
        <v>1993</v>
      </c>
      <c r="C788" s="64">
        <v>58.336097902613403</v>
      </c>
      <c r="D788" s="64">
        <v>5.1950000000000003</v>
      </c>
      <c r="E788" s="59" t="s">
        <v>159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</row>
    <row r="789" spans="1:22" s="59" customFormat="1" x14ac:dyDescent="0.25">
      <c r="A789" s="61" t="s">
        <v>174</v>
      </c>
      <c r="B789" s="61">
        <v>1994</v>
      </c>
      <c r="C789" s="64">
        <v>52.9775556544461</v>
      </c>
      <c r="D789" s="64">
        <v>5.859</v>
      </c>
      <c r="E789" s="59" t="s">
        <v>159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</row>
    <row r="790" spans="1:22" s="59" customFormat="1" x14ac:dyDescent="0.25">
      <c r="A790" s="61" t="s">
        <v>174</v>
      </c>
      <c r="B790" s="61">
        <v>1995</v>
      </c>
      <c r="C790" s="64">
        <v>47.201883964889703</v>
      </c>
      <c r="D790" s="64">
        <v>4.3369999999999997</v>
      </c>
      <c r="E790" s="59" t="s">
        <v>159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</row>
    <row r="791" spans="1:22" s="59" customFormat="1" x14ac:dyDescent="0.25">
      <c r="A791" s="61" t="s">
        <v>174</v>
      </c>
      <c r="B791" s="61">
        <v>1996</v>
      </c>
      <c r="C791" s="64">
        <v>42.363797837915101</v>
      </c>
      <c r="D791" s="64">
        <v>4.0190000000000001</v>
      </c>
      <c r="E791" s="59" t="s">
        <v>159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</row>
    <row r="792" spans="1:22" s="59" customFormat="1" x14ac:dyDescent="0.25">
      <c r="A792" s="61" t="s">
        <v>174</v>
      </c>
      <c r="B792" s="61">
        <v>1997</v>
      </c>
      <c r="C792" s="64">
        <v>35.398891939499499</v>
      </c>
      <c r="D792" s="64">
        <v>2.1629999999999998</v>
      </c>
      <c r="E792" s="59" t="s">
        <v>159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</row>
    <row r="793" spans="1:22" s="59" customFormat="1" x14ac:dyDescent="0.25">
      <c r="A793" s="61" t="s">
        <v>174</v>
      </c>
      <c r="B793" s="61">
        <v>1998</v>
      </c>
      <c r="C793" s="64">
        <v>36.6492247874573</v>
      </c>
      <c r="D793" s="64">
        <v>-4.8000000000000001E-2</v>
      </c>
      <c r="E793" s="59" t="s">
        <v>159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</row>
    <row r="794" spans="1:22" s="59" customFormat="1" x14ac:dyDescent="0.25">
      <c r="A794" s="61" t="s">
        <v>174</v>
      </c>
      <c r="B794" s="61">
        <v>1999</v>
      </c>
      <c r="C794" s="64">
        <v>33.484435283065302</v>
      </c>
      <c r="D794" s="64">
        <v>4.3289999999999997</v>
      </c>
      <c r="E794" s="59" t="s">
        <v>159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</row>
    <row r="795" spans="1:22" s="59" customFormat="1" x14ac:dyDescent="0.25">
      <c r="A795" s="61" t="s">
        <v>174</v>
      </c>
      <c r="B795" s="61">
        <v>2000</v>
      </c>
      <c r="C795" s="64">
        <v>31.095025279105499</v>
      </c>
      <c r="D795" s="64">
        <v>3.83</v>
      </c>
      <c r="E795" s="59" t="s">
        <v>159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</row>
    <row r="796" spans="1:22" s="59" customFormat="1" x14ac:dyDescent="0.25">
      <c r="A796" s="61" t="s">
        <v>174</v>
      </c>
      <c r="B796" s="61">
        <v>2001</v>
      </c>
      <c r="C796" s="64">
        <v>29.492795481531399</v>
      </c>
      <c r="D796" s="64">
        <v>2.6139999999999999</v>
      </c>
      <c r="E796" s="59" t="s">
        <v>158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</row>
    <row r="797" spans="1:22" s="59" customFormat="1" x14ac:dyDescent="0.25">
      <c r="A797" s="61" t="s">
        <v>174</v>
      </c>
      <c r="B797" s="61">
        <v>2002</v>
      </c>
      <c r="C797" s="64">
        <v>27.633848831351202</v>
      </c>
      <c r="D797" s="64">
        <v>4.9260000000000002</v>
      </c>
      <c r="E797" s="59" t="s">
        <v>158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</row>
    <row r="798" spans="1:22" s="59" customFormat="1" x14ac:dyDescent="0.25">
      <c r="A798" s="61" t="s">
        <v>174</v>
      </c>
      <c r="B798" s="61">
        <v>2003</v>
      </c>
      <c r="C798" s="64">
        <v>25.7871343023339</v>
      </c>
      <c r="D798" s="64">
        <v>4.1349999999999998</v>
      </c>
      <c r="E798" s="59" t="s">
        <v>158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</row>
    <row r="799" spans="1:22" s="59" customFormat="1" x14ac:dyDescent="0.25">
      <c r="A799" s="61" t="s">
        <v>174</v>
      </c>
      <c r="B799" s="61">
        <v>2004</v>
      </c>
      <c r="C799" s="64">
        <v>23.693196217304902</v>
      </c>
      <c r="D799" s="64">
        <v>4.5359999999999996</v>
      </c>
      <c r="E799" s="59" t="s">
        <v>158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</row>
    <row r="800" spans="1:22" s="59" customFormat="1" x14ac:dyDescent="0.25">
      <c r="A800" s="61" t="s">
        <v>174</v>
      </c>
      <c r="B800" s="61">
        <v>2005</v>
      </c>
      <c r="C800" s="64">
        <v>22.271297384894002</v>
      </c>
      <c r="D800" s="64">
        <v>2.8130000000000002</v>
      </c>
      <c r="E800" s="59" t="s">
        <v>158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</row>
    <row r="801" spans="1:22" s="59" customFormat="1" x14ac:dyDescent="0.25">
      <c r="A801" s="61" t="s">
        <v>174</v>
      </c>
      <c r="B801" s="61">
        <v>2006</v>
      </c>
      <c r="C801" s="64">
        <v>21.3481590290654</v>
      </c>
      <c r="D801" s="64">
        <v>1.954</v>
      </c>
      <c r="E801" s="59" t="s">
        <v>158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</row>
    <row r="802" spans="1:22" s="59" customFormat="1" x14ac:dyDescent="0.25">
      <c r="A802" s="61" t="s">
        <v>174</v>
      </c>
      <c r="B802" s="61">
        <v>2007</v>
      </c>
      <c r="C802" s="64">
        <v>17.5250704668216</v>
      </c>
      <c r="D802" s="64">
        <v>3.1930000000000001</v>
      </c>
      <c r="E802" s="59" t="s">
        <v>158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</row>
    <row r="803" spans="1:22" s="59" customFormat="1" x14ac:dyDescent="0.25">
      <c r="A803" s="61" t="s">
        <v>174</v>
      </c>
      <c r="B803" s="61">
        <v>2008</v>
      </c>
      <c r="C803" s="64">
        <v>17.738616657032299</v>
      </c>
      <c r="D803" s="64">
        <v>0.19400000000000001</v>
      </c>
      <c r="E803" s="59" t="s">
        <v>158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</row>
    <row r="804" spans="1:22" s="59" customFormat="1" x14ac:dyDescent="0.25">
      <c r="A804" s="61" t="s">
        <v>174</v>
      </c>
      <c r="B804" s="61">
        <v>2009</v>
      </c>
      <c r="C804" s="64">
        <v>24.254697823253299</v>
      </c>
      <c r="D804" s="64">
        <v>-2.1749999999999998</v>
      </c>
      <c r="E804" s="59" t="s">
        <v>158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</row>
    <row r="805" spans="1:22" s="59" customFormat="1" x14ac:dyDescent="0.25">
      <c r="A805" s="61" t="s">
        <v>175</v>
      </c>
      <c r="B805" s="61">
        <v>1946</v>
      </c>
      <c r="C805" s="64">
        <v>64.993505288550793</v>
      </c>
      <c r="D805" s="64">
        <v>10.201270069762501</v>
      </c>
      <c r="E805" s="59" t="s">
        <v>156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</row>
    <row r="806" spans="1:22" s="59" customFormat="1" x14ac:dyDescent="0.25">
      <c r="A806" s="61" t="s">
        <v>175</v>
      </c>
      <c r="B806" s="61">
        <v>1947</v>
      </c>
      <c r="C806" s="64">
        <v>53.108693938677398</v>
      </c>
      <c r="D806" s="64">
        <v>13.5629733774774</v>
      </c>
      <c r="E806" s="59" t="s">
        <v>159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</row>
    <row r="807" spans="1:22" s="59" customFormat="1" x14ac:dyDescent="0.25">
      <c r="A807" s="61" t="s">
        <v>175</v>
      </c>
      <c r="B807" s="61">
        <v>1948</v>
      </c>
      <c r="C807" s="64">
        <v>45.528624856156497</v>
      </c>
      <c r="D807" s="64">
        <v>6.9515166037660503</v>
      </c>
      <c r="E807" s="59" t="s">
        <v>159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</row>
    <row r="808" spans="1:22" s="59" customFormat="1" x14ac:dyDescent="0.25">
      <c r="A808" s="61" t="s">
        <v>175</v>
      </c>
      <c r="B808" s="61">
        <v>1949</v>
      </c>
      <c r="C808" s="64">
        <v>45.474848063264297</v>
      </c>
      <c r="D808" s="64">
        <v>2.6670898660853899</v>
      </c>
      <c r="E808" s="59" t="s">
        <v>159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</row>
    <row r="809" spans="1:22" s="59" customFormat="1" x14ac:dyDescent="0.25">
      <c r="A809" s="61" t="s">
        <v>175</v>
      </c>
      <c r="B809" s="61">
        <v>1950</v>
      </c>
      <c r="C809" s="64">
        <v>31.531878192795102</v>
      </c>
      <c r="D809" s="64">
        <v>4.8700870632629503</v>
      </c>
      <c r="E809" s="59" t="s">
        <v>159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</row>
    <row r="810" spans="1:22" s="59" customFormat="1" x14ac:dyDescent="0.25">
      <c r="A810" s="61" t="s">
        <v>175</v>
      </c>
      <c r="B810" s="61">
        <v>1951</v>
      </c>
      <c r="C810" s="64">
        <v>26.343725019983999</v>
      </c>
      <c r="D810" s="64">
        <v>5.4177667373313003</v>
      </c>
      <c r="E810" s="59" t="s">
        <v>158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</row>
    <row r="811" spans="1:22" s="59" customFormat="1" x14ac:dyDescent="0.25">
      <c r="A811" s="61" t="s">
        <v>175</v>
      </c>
      <c r="B811" s="61">
        <v>1952</v>
      </c>
      <c r="C811" s="64">
        <v>23.7955817094347</v>
      </c>
      <c r="D811" s="64">
        <v>3.5243703837739102</v>
      </c>
      <c r="E811" s="59" t="s">
        <v>158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</row>
    <row r="812" spans="1:22" s="59" customFormat="1" x14ac:dyDescent="0.25">
      <c r="A812" s="61" t="s">
        <v>175</v>
      </c>
      <c r="B812" s="61">
        <v>1953</v>
      </c>
      <c r="C812" s="64">
        <v>25.961547613382201</v>
      </c>
      <c r="D812" s="64">
        <v>3.9716526174454101</v>
      </c>
      <c r="E812" s="59" t="s">
        <v>158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</row>
    <row r="813" spans="1:22" s="59" customFormat="1" x14ac:dyDescent="0.25">
      <c r="A813" s="61" t="s">
        <v>175</v>
      </c>
      <c r="B813" s="61">
        <v>1954</v>
      </c>
      <c r="C813" s="64">
        <v>26.189306548532802</v>
      </c>
      <c r="D813" s="64">
        <v>5.0475295340271602</v>
      </c>
      <c r="E813" s="59" t="s">
        <v>158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</row>
    <row r="814" spans="1:22" s="59" customFormat="1" x14ac:dyDescent="0.25">
      <c r="A814" s="61" t="s">
        <v>175</v>
      </c>
      <c r="B814" s="61">
        <v>1955</v>
      </c>
      <c r="C814" s="64">
        <v>26.701128593788599</v>
      </c>
      <c r="D814" s="64">
        <v>2.2077303295592099</v>
      </c>
      <c r="E814" s="59" t="s">
        <v>158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</row>
    <row r="815" spans="1:22" s="59" customFormat="1" x14ac:dyDescent="0.25">
      <c r="A815" s="61" t="s">
        <v>175</v>
      </c>
      <c r="B815" s="61">
        <v>1956</v>
      </c>
      <c r="C815" s="64">
        <v>26.8607530405651</v>
      </c>
      <c r="D815" s="64">
        <v>5.3367637796116103</v>
      </c>
      <c r="E815" s="59" t="s">
        <v>158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</row>
    <row r="816" spans="1:22" s="59" customFormat="1" x14ac:dyDescent="0.25">
      <c r="A816" s="61" t="s">
        <v>175</v>
      </c>
      <c r="B816" s="61">
        <v>1957</v>
      </c>
      <c r="C816" s="64">
        <v>28.1465399343545</v>
      </c>
      <c r="D816" s="64">
        <v>3.0157764940373699</v>
      </c>
      <c r="E816" s="59" t="s">
        <v>158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</row>
    <row r="817" spans="1:22" s="59" customFormat="1" x14ac:dyDescent="0.25">
      <c r="A817" s="61" t="s">
        <v>175</v>
      </c>
      <c r="B817" s="61">
        <v>1958</v>
      </c>
      <c r="C817" s="64">
        <v>28.4609853802171</v>
      </c>
      <c r="D817" s="64">
        <v>0</v>
      </c>
      <c r="E817" s="59" t="s">
        <v>158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</row>
    <row r="818" spans="1:22" s="59" customFormat="1" x14ac:dyDescent="0.25">
      <c r="A818" s="61" t="s">
        <v>175</v>
      </c>
      <c r="B818" s="61">
        <v>1959</v>
      </c>
      <c r="C818" s="64">
        <v>29.8979262226242</v>
      </c>
      <c r="D818" s="64">
        <v>4.2152969301855903</v>
      </c>
      <c r="E818" s="59" t="s">
        <v>158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</row>
    <row r="819" spans="1:22" s="59" customFormat="1" x14ac:dyDescent="0.25">
      <c r="A819" s="61" t="s">
        <v>175</v>
      </c>
      <c r="B819" s="61">
        <v>1960</v>
      </c>
      <c r="C819" s="64">
        <v>29.460947425736599</v>
      </c>
      <c r="D819" s="64">
        <v>5.6266539958652197</v>
      </c>
      <c r="E819" s="59" t="s">
        <v>158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</row>
    <row r="820" spans="1:22" s="59" customFormat="1" x14ac:dyDescent="0.25">
      <c r="A820" s="61" t="s">
        <v>175</v>
      </c>
      <c r="B820" s="61">
        <v>1961</v>
      </c>
      <c r="C820" s="64">
        <v>25.106637788253298</v>
      </c>
      <c r="D820" s="64">
        <v>6.2677256369313001</v>
      </c>
      <c r="E820" s="59" t="s">
        <v>158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</row>
    <row r="821" spans="1:22" s="59" customFormat="1" x14ac:dyDescent="0.25">
      <c r="A821" s="61" t="s">
        <v>175</v>
      </c>
      <c r="B821" s="61">
        <v>1962</v>
      </c>
      <c r="C821" s="64">
        <v>24.276155573944902</v>
      </c>
      <c r="D821" s="64">
        <v>2.8160051133831101</v>
      </c>
      <c r="E821" s="59" t="s">
        <v>158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</row>
    <row r="822" spans="1:22" s="59" customFormat="1" x14ac:dyDescent="0.25">
      <c r="A822" s="61" t="s">
        <v>175</v>
      </c>
      <c r="B822" s="61">
        <v>1963</v>
      </c>
      <c r="C822" s="64">
        <v>22.9756247125556</v>
      </c>
      <c r="D822" s="64">
        <v>3.82434097874336</v>
      </c>
      <c r="E822" s="59" t="s">
        <v>158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</row>
    <row r="823" spans="1:22" s="59" customFormat="1" x14ac:dyDescent="0.25">
      <c r="A823" s="61" t="s">
        <v>175</v>
      </c>
      <c r="B823" s="61">
        <v>1964</v>
      </c>
      <c r="C823" s="64">
        <v>22.075138077641402</v>
      </c>
      <c r="D823" s="64">
        <v>4.9776512545235896</v>
      </c>
      <c r="E823" s="59" t="s">
        <v>158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</row>
    <row r="824" spans="1:22" s="59" customFormat="1" x14ac:dyDescent="0.25">
      <c r="A824" s="61" t="s">
        <v>175</v>
      </c>
      <c r="B824" s="61">
        <v>1965</v>
      </c>
      <c r="C824" s="64">
        <v>20.505839363760099</v>
      </c>
      <c r="D824" s="64">
        <v>5.3105049332559604</v>
      </c>
      <c r="E824" s="59" t="s">
        <v>158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</row>
    <row r="825" spans="1:22" s="59" customFormat="1" x14ac:dyDescent="0.25">
      <c r="A825" s="61" t="s">
        <v>175</v>
      </c>
      <c r="B825" s="61">
        <v>1966</v>
      </c>
      <c r="C825" s="64">
        <v>22.252560977844599</v>
      </c>
      <c r="D825" s="64">
        <v>3.7820336180766101</v>
      </c>
      <c r="E825" s="59" t="s">
        <v>158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</row>
    <row r="826" spans="1:22" s="59" customFormat="1" x14ac:dyDescent="0.25">
      <c r="A826" s="61" t="s">
        <v>175</v>
      </c>
      <c r="B826" s="61">
        <v>1967</v>
      </c>
      <c r="C826" s="64">
        <v>23.102177554438899</v>
      </c>
      <c r="D826" s="64">
        <v>6.2474106458221303</v>
      </c>
      <c r="E826" s="59" t="s">
        <v>158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</row>
    <row r="827" spans="1:22" s="59" customFormat="1" x14ac:dyDescent="0.25">
      <c r="A827" s="61" t="s">
        <v>175</v>
      </c>
      <c r="B827" s="61">
        <v>1968</v>
      </c>
      <c r="C827" s="64">
        <v>23.093333333333302</v>
      </c>
      <c r="D827" s="64">
        <v>2.2456853929195399</v>
      </c>
      <c r="E827" s="59" t="s">
        <v>158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</row>
    <row r="828" spans="1:22" s="59" customFormat="1" x14ac:dyDescent="0.25">
      <c r="A828" s="61" t="s">
        <v>175</v>
      </c>
      <c r="B828" s="61">
        <v>1969</v>
      </c>
      <c r="C828" s="64">
        <v>22.793799878993902</v>
      </c>
      <c r="D828" s="64">
        <v>4.5128244027113196</v>
      </c>
      <c r="E828" s="59" t="s">
        <v>158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</row>
    <row r="829" spans="1:22" s="59" customFormat="1" x14ac:dyDescent="0.25">
      <c r="A829" s="61" t="s">
        <v>175</v>
      </c>
      <c r="B829" s="61">
        <v>1970</v>
      </c>
      <c r="C829" s="64">
        <v>23.635088949259501</v>
      </c>
      <c r="D829" s="64">
        <v>1.98701264664198</v>
      </c>
      <c r="E829" s="59" t="s">
        <v>158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</row>
    <row r="830" spans="1:22" s="59" customFormat="1" x14ac:dyDescent="0.25">
      <c r="A830" s="61" t="s">
        <v>175</v>
      </c>
      <c r="B830" s="61">
        <v>1971</v>
      </c>
      <c r="C830" s="64">
        <v>24.300544301666601</v>
      </c>
      <c r="D830" s="64">
        <v>5.1304961482731901</v>
      </c>
      <c r="E830" s="59" t="s">
        <v>158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</row>
    <row r="831" spans="1:22" s="59" customFormat="1" x14ac:dyDescent="0.25">
      <c r="A831" s="61" t="s">
        <v>175</v>
      </c>
      <c r="B831" s="61">
        <v>1972</v>
      </c>
      <c r="C831" s="64">
        <v>26.0878401723472</v>
      </c>
      <c r="D831" s="64">
        <v>5.09315929308372</v>
      </c>
      <c r="E831" s="59" t="s">
        <v>158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</row>
    <row r="832" spans="1:22" s="59" customFormat="1" x14ac:dyDescent="0.25">
      <c r="A832" s="61" t="s">
        <v>175</v>
      </c>
      <c r="B832" s="61">
        <v>1973</v>
      </c>
      <c r="C832" s="64">
        <v>26.392912062368101</v>
      </c>
      <c r="D832" s="64">
        <v>4.4131697315169696</v>
      </c>
      <c r="E832" s="59" t="s">
        <v>158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</row>
    <row r="833" spans="1:22" s="59" customFormat="1" x14ac:dyDescent="0.25">
      <c r="A833" s="61" t="s">
        <v>175</v>
      </c>
      <c r="B833" s="61">
        <v>1974</v>
      </c>
      <c r="C833" s="64">
        <v>26.164341324288898</v>
      </c>
      <c r="D833" s="64">
        <v>4.1921985523934797</v>
      </c>
      <c r="E833" s="59" t="s">
        <v>158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</row>
    <row r="834" spans="1:22" s="59" customFormat="1" x14ac:dyDescent="0.25">
      <c r="A834" s="61" t="s">
        <v>175</v>
      </c>
      <c r="B834" s="61">
        <v>1975</v>
      </c>
      <c r="C834" s="64">
        <v>27.627066212962799</v>
      </c>
      <c r="D834" s="64">
        <v>5.2278681487840704</v>
      </c>
      <c r="E834" s="59" t="s">
        <v>158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</row>
    <row r="835" spans="1:22" s="59" customFormat="1" x14ac:dyDescent="0.25">
      <c r="A835" s="61" t="s">
        <v>175</v>
      </c>
      <c r="B835" s="61">
        <v>1976</v>
      </c>
      <c r="C835" s="64">
        <v>29.423756216719699</v>
      </c>
      <c r="D835" s="64">
        <v>5.8630557470105602</v>
      </c>
      <c r="E835" s="59" t="s">
        <v>158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</row>
    <row r="836" spans="1:22" s="59" customFormat="1" x14ac:dyDescent="0.25">
      <c r="A836" s="61" t="s">
        <v>175</v>
      </c>
      <c r="B836" s="61">
        <v>1977</v>
      </c>
      <c r="C836" s="64">
        <v>34.849529060418099</v>
      </c>
      <c r="D836" s="64">
        <v>4.2675068022340001</v>
      </c>
      <c r="E836" s="59" t="s">
        <v>159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</row>
    <row r="837" spans="1:22" s="59" customFormat="1" x14ac:dyDescent="0.25">
      <c r="A837" s="61" t="s">
        <v>175</v>
      </c>
      <c r="B837" s="61">
        <v>1978</v>
      </c>
      <c r="C837" s="64">
        <v>35.642657270183399</v>
      </c>
      <c r="D837" s="64">
        <v>3.4876822459812802</v>
      </c>
      <c r="E837" s="59" t="s">
        <v>159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</row>
    <row r="838" spans="1:22" s="59" customFormat="1" x14ac:dyDescent="0.25">
      <c r="A838" s="61" t="s">
        <v>175</v>
      </c>
      <c r="B838" s="61">
        <v>1979</v>
      </c>
      <c r="C838" s="64">
        <v>38.608529651606297</v>
      </c>
      <c r="D838" s="64">
        <v>4.4812550195720604</v>
      </c>
      <c r="E838" s="59" t="s">
        <v>159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</row>
    <row r="839" spans="1:22" s="59" customFormat="1" x14ac:dyDescent="0.25">
      <c r="A839" s="61" t="s">
        <v>175</v>
      </c>
      <c r="B839" s="61">
        <v>1980</v>
      </c>
      <c r="C839" s="64">
        <v>33.970028408188199</v>
      </c>
      <c r="D839" s="64">
        <v>4.9494396588977603</v>
      </c>
      <c r="E839" s="59" t="s">
        <v>159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</row>
    <row r="840" spans="1:22" s="59" customFormat="1" x14ac:dyDescent="0.25">
      <c r="A840" s="61" t="s">
        <v>175</v>
      </c>
      <c r="B840" s="61">
        <v>1981</v>
      </c>
      <c r="C840" s="64">
        <v>29.836459023299302</v>
      </c>
      <c r="D840" s="64">
        <v>1.5475053130301</v>
      </c>
      <c r="E840" s="59" t="s">
        <v>158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</row>
    <row r="841" spans="1:22" s="59" customFormat="1" x14ac:dyDescent="0.25">
      <c r="A841" s="61" t="s">
        <v>175</v>
      </c>
      <c r="B841" s="61">
        <v>1982</v>
      </c>
      <c r="C841" s="64">
        <v>26.0019790322783</v>
      </c>
      <c r="D841" s="64">
        <v>0.12499351992121301</v>
      </c>
      <c r="E841" s="59" t="s">
        <v>158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</row>
    <row r="842" spans="1:22" s="59" customFormat="1" x14ac:dyDescent="0.25">
      <c r="A842" s="61" t="s">
        <v>175</v>
      </c>
      <c r="B842" s="61">
        <v>1983</v>
      </c>
      <c r="C842" s="64">
        <v>20.836349286882001</v>
      </c>
      <c r="D842" s="64">
        <v>3.8668937136369999</v>
      </c>
      <c r="E842" s="59" t="s">
        <v>158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</row>
    <row r="843" spans="1:22" s="59" customFormat="1" x14ac:dyDescent="0.25">
      <c r="A843" s="61" t="s">
        <v>175</v>
      </c>
      <c r="B843" s="61">
        <v>1984</v>
      </c>
      <c r="C843" s="64">
        <v>23.222822948084499</v>
      </c>
      <c r="D843" s="64">
        <v>5.8941036808377403</v>
      </c>
      <c r="E843" s="59" t="s">
        <v>158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</row>
    <row r="844" spans="1:22" s="59" customFormat="1" x14ac:dyDescent="0.25">
      <c r="A844" s="61" t="s">
        <v>175</v>
      </c>
      <c r="B844" s="61">
        <v>1985</v>
      </c>
      <c r="C844" s="64">
        <v>25.7751180235758</v>
      </c>
      <c r="D844" s="64">
        <v>5.3540295135014597</v>
      </c>
      <c r="E844" s="59" t="s">
        <v>158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</row>
    <row r="845" spans="1:22" s="59" customFormat="1" x14ac:dyDescent="0.25">
      <c r="A845" s="61" t="s">
        <v>175</v>
      </c>
      <c r="B845" s="61">
        <v>1986</v>
      </c>
      <c r="C845" s="64">
        <v>34.031596113457297</v>
      </c>
      <c r="D845" s="64">
        <v>4.0375523145842003</v>
      </c>
      <c r="E845" s="59" t="s">
        <v>159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</row>
    <row r="846" spans="1:22" s="59" customFormat="1" x14ac:dyDescent="0.25">
      <c r="A846" s="61" t="s">
        <v>175</v>
      </c>
      <c r="B846" s="61">
        <v>1987</v>
      </c>
      <c r="C846" s="64">
        <v>26.529901246975701</v>
      </c>
      <c r="D846" s="64">
        <v>1.78001352049946</v>
      </c>
      <c r="E846" s="59" t="s">
        <v>158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</row>
    <row r="847" spans="1:22" s="59" customFormat="1" x14ac:dyDescent="0.25">
      <c r="A847" s="61" t="s">
        <v>175</v>
      </c>
      <c r="B847" s="61">
        <v>1988</v>
      </c>
      <c r="C847" s="64">
        <v>25.529196884397901</v>
      </c>
      <c r="D847" s="64">
        <v>-0.17284882526092901</v>
      </c>
      <c r="E847" s="59" t="s">
        <v>158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</row>
    <row r="848" spans="1:22" s="59" customFormat="1" x14ac:dyDescent="0.25">
      <c r="A848" s="61" t="s">
        <v>175</v>
      </c>
      <c r="B848" s="61">
        <v>1989</v>
      </c>
      <c r="C848" s="64">
        <v>25.356906223455699</v>
      </c>
      <c r="D848" s="64">
        <v>0.99755854903136298</v>
      </c>
      <c r="E848" s="59" t="s">
        <v>158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</row>
    <row r="849" spans="1:22" s="59" customFormat="1" x14ac:dyDescent="0.25">
      <c r="A849" s="61" t="s">
        <v>175</v>
      </c>
      <c r="B849" s="61">
        <v>1990</v>
      </c>
      <c r="C849" s="64">
        <v>22.391432781697599</v>
      </c>
      <c r="D849" s="64">
        <v>1.9275140029591</v>
      </c>
      <c r="E849" s="59" t="s">
        <v>158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</row>
    <row r="850" spans="1:22" s="59" customFormat="1" x14ac:dyDescent="0.25">
      <c r="A850" s="61" t="s">
        <v>175</v>
      </c>
      <c r="B850" s="61">
        <v>1991</v>
      </c>
      <c r="C850" s="64">
        <v>22.9411893617213</v>
      </c>
      <c r="D850" s="64">
        <v>3.1046289614814699</v>
      </c>
      <c r="E850" s="59" t="s">
        <v>158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</row>
    <row r="851" spans="1:22" s="59" customFormat="1" x14ac:dyDescent="0.25">
      <c r="A851" s="61" t="s">
        <v>175</v>
      </c>
      <c r="B851" s="61">
        <v>1992</v>
      </c>
      <c r="C851" s="64">
        <v>27.2192636777982</v>
      </c>
      <c r="D851" s="64">
        <v>3.5231049814781001</v>
      </c>
      <c r="E851" s="59" t="s">
        <v>158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</row>
    <row r="852" spans="1:22" s="59" customFormat="1" x14ac:dyDescent="0.25">
      <c r="A852" s="61" t="s">
        <v>175</v>
      </c>
      <c r="B852" s="61">
        <v>1993</v>
      </c>
      <c r="C852" s="64">
        <v>35.353222068073698</v>
      </c>
      <c r="D852" s="64">
        <v>2.7866370789358501</v>
      </c>
      <c r="E852" s="59" t="s">
        <v>159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</row>
    <row r="853" spans="1:22" s="59" customFormat="1" x14ac:dyDescent="0.25">
      <c r="A853" s="61" t="s">
        <v>175</v>
      </c>
      <c r="B853" s="61">
        <v>1994</v>
      </c>
      <c r="C853" s="64">
        <v>33.022191473431</v>
      </c>
      <c r="D853" s="64">
        <v>5.0513843415679496</v>
      </c>
      <c r="E853" s="59" t="s">
        <v>159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</row>
    <row r="854" spans="1:22" s="59" customFormat="1" x14ac:dyDescent="0.25">
      <c r="A854" s="61" t="s">
        <v>175</v>
      </c>
      <c r="B854" s="61">
        <v>1995</v>
      </c>
      <c r="C854" s="64">
        <v>30.8175320662641</v>
      </c>
      <c r="D854" s="64">
        <v>4.1863490739812104</v>
      </c>
      <c r="E854" s="59" t="s">
        <v>159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</row>
    <row r="855" spans="1:22" s="59" customFormat="1" x14ac:dyDescent="0.25">
      <c r="A855" s="61" t="s">
        <v>175</v>
      </c>
      <c r="B855" s="61">
        <v>1996</v>
      </c>
      <c r="C855" s="64">
        <v>27.573645437032301</v>
      </c>
      <c r="D855" s="64">
        <v>5.0997663359063896</v>
      </c>
      <c r="E855" s="59" t="s">
        <v>158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</row>
    <row r="856" spans="1:22" s="59" customFormat="1" x14ac:dyDescent="0.25">
      <c r="A856" s="61" t="s">
        <v>175</v>
      </c>
      <c r="B856" s="61">
        <v>1997</v>
      </c>
      <c r="C856" s="64">
        <v>24.676906306402898</v>
      </c>
      <c r="D856" s="64">
        <v>5.3926403470454503</v>
      </c>
      <c r="E856" s="59" t="s">
        <v>158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</row>
    <row r="857" spans="1:22" s="59" customFormat="1" x14ac:dyDescent="0.25">
      <c r="A857" s="61" t="s">
        <v>175</v>
      </c>
      <c r="B857" s="61">
        <v>1998</v>
      </c>
      <c r="C857" s="64">
        <v>22.246395874986799</v>
      </c>
      <c r="D857" s="64">
        <v>2.6827834907742201</v>
      </c>
      <c r="E857" s="59" t="s">
        <v>158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</row>
    <row r="858" spans="1:22" s="59" customFormat="1" x14ac:dyDescent="0.25">
      <c r="A858" s="61" t="s">
        <v>175</v>
      </c>
      <c r="B858" s="61">
        <v>1999</v>
      </c>
      <c r="C858" s="64">
        <v>20.862523479761101</v>
      </c>
      <c r="D858" s="64">
        <v>2.0257705900823799</v>
      </c>
      <c r="E858" s="59" t="s">
        <v>158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</row>
    <row r="859" spans="1:22" s="59" customFormat="1" x14ac:dyDescent="0.25">
      <c r="A859" s="61" t="s">
        <v>175</v>
      </c>
      <c r="B859" s="61">
        <v>2000</v>
      </c>
      <c r="C859" s="64">
        <v>19.301936215603099</v>
      </c>
      <c r="D859" s="64">
        <v>3.2535679946216902</v>
      </c>
      <c r="E859" s="59" t="s">
        <v>158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</row>
    <row r="860" spans="1:22" s="59" customFormat="1" x14ac:dyDescent="0.25">
      <c r="A860" s="61" t="s">
        <v>175</v>
      </c>
      <c r="B860" s="61">
        <v>2001</v>
      </c>
      <c r="C860" s="64">
        <v>18.132787642576901</v>
      </c>
      <c r="D860" s="64">
        <v>1.99015413560657</v>
      </c>
      <c r="E860" s="59" t="s">
        <v>158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</row>
    <row r="861" spans="1:22" s="59" customFormat="1" x14ac:dyDescent="0.25">
      <c r="A861" s="61" t="s">
        <v>175</v>
      </c>
      <c r="B861" s="61">
        <v>2002</v>
      </c>
      <c r="C861" s="64">
        <v>18.992697300154699</v>
      </c>
      <c r="D861" s="64">
        <v>1.5020556300011001</v>
      </c>
      <c r="E861" s="59" t="s">
        <v>158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</row>
    <row r="862" spans="1:22" s="59" customFormat="1" x14ac:dyDescent="0.25">
      <c r="A862" s="61" t="s">
        <v>175</v>
      </c>
      <c r="B862" s="61">
        <v>2003</v>
      </c>
      <c r="C862" s="64">
        <v>21.3217218900385</v>
      </c>
      <c r="D862" s="64">
        <v>1.0135240342473499</v>
      </c>
      <c r="E862" s="59" t="s">
        <v>158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</row>
    <row r="863" spans="1:22" s="59" customFormat="1" x14ac:dyDescent="0.25">
      <c r="A863" s="61" t="s">
        <v>175</v>
      </c>
      <c r="B863" s="61">
        <v>2004</v>
      </c>
      <c r="C863" s="64">
        <v>18.401987332476601</v>
      </c>
      <c r="D863" s="64">
        <v>3.8641263641794299</v>
      </c>
      <c r="E863" s="59" t="s">
        <v>158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</row>
    <row r="864" spans="1:22" s="59" customFormat="1" x14ac:dyDescent="0.25">
      <c r="A864" s="61" t="s">
        <v>175</v>
      </c>
      <c r="B864" s="61">
        <v>2005</v>
      </c>
      <c r="C864" s="64">
        <v>17.172666159570699</v>
      </c>
      <c r="D864" s="64">
        <v>2.73920744287439</v>
      </c>
      <c r="E864" s="59" t="s">
        <v>158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</row>
    <row r="865" spans="1:22" s="59" customFormat="1" x14ac:dyDescent="0.25">
      <c r="A865" s="61" t="s">
        <v>175</v>
      </c>
      <c r="B865" s="61">
        <v>2006</v>
      </c>
      <c r="C865" s="64">
        <v>12.472992308654</v>
      </c>
      <c r="D865" s="64">
        <v>2.2808885419912901</v>
      </c>
      <c r="E865" s="59" t="s">
        <v>158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</row>
    <row r="866" spans="1:22" s="59" customFormat="1" x14ac:dyDescent="0.25">
      <c r="A866" s="61" t="s">
        <v>175</v>
      </c>
      <c r="B866" s="61">
        <v>2007</v>
      </c>
      <c r="C866" s="64">
        <v>11.6528406620673</v>
      </c>
      <c r="D866" s="64">
        <v>3.1340917857372701</v>
      </c>
      <c r="E866" s="59" t="s">
        <v>158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</row>
    <row r="867" spans="1:22" s="59" customFormat="1" x14ac:dyDescent="0.25">
      <c r="A867" s="61" t="s">
        <v>175</v>
      </c>
      <c r="B867" s="61">
        <v>2008</v>
      </c>
      <c r="C867" s="64">
        <v>13.7334793118604</v>
      </c>
      <c r="D867" s="64">
        <v>2.13213029844797</v>
      </c>
      <c r="E867" s="59" t="s">
        <v>158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</row>
    <row r="868" spans="1:22" s="59" customFormat="1" x14ac:dyDescent="0.25">
      <c r="A868" s="61" t="s">
        <v>175</v>
      </c>
      <c r="B868" s="61">
        <v>2009</v>
      </c>
      <c r="C868" s="64">
        <v>21.653991277090999</v>
      </c>
      <c r="D868" s="64">
        <v>-1.9066760919030901</v>
      </c>
      <c r="E868" s="59" t="s">
        <v>158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</row>
    <row r="869" spans="1:22" s="59" customFormat="1" x14ac:dyDescent="0.25">
      <c r="A869" s="61" t="s">
        <v>176</v>
      </c>
      <c r="B869" s="61">
        <v>1950</v>
      </c>
      <c r="C869" s="64">
        <v>24.648379052369101</v>
      </c>
      <c r="D869" s="64">
        <v>2.8372934788954298</v>
      </c>
      <c r="E869" s="59" t="s">
        <v>158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</row>
    <row r="870" spans="1:22" s="59" customFormat="1" x14ac:dyDescent="0.25">
      <c r="A870" s="61" t="s">
        <v>176</v>
      </c>
      <c r="B870" s="61">
        <v>1953</v>
      </c>
      <c r="C870" s="64">
        <v>20.792682926829301</v>
      </c>
      <c r="D870" s="64">
        <v>6.9785109615802003</v>
      </c>
      <c r="E870" s="59" t="s">
        <v>158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</row>
    <row r="871" spans="1:22" s="59" customFormat="1" x14ac:dyDescent="0.25">
      <c r="A871" s="61" t="s">
        <v>176</v>
      </c>
      <c r="B871" s="61">
        <v>1954</v>
      </c>
      <c r="C871" s="64">
        <v>20.312871287128701</v>
      </c>
      <c r="D871" s="64">
        <v>4.7986202698589802</v>
      </c>
      <c r="E871" s="59" t="s">
        <v>158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</row>
    <row r="872" spans="1:22" s="59" customFormat="1" x14ac:dyDescent="0.25">
      <c r="A872" s="61" t="s">
        <v>176</v>
      </c>
      <c r="B872" s="61">
        <v>1955</v>
      </c>
      <c r="C872" s="64">
        <v>19.670411985018699</v>
      </c>
      <c r="D872" s="64">
        <v>4.1239109390125899</v>
      </c>
      <c r="E872" s="59" t="s">
        <v>158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</row>
    <row r="873" spans="1:22" s="59" customFormat="1" x14ac:dyDescent="0.25">
      <c r="A873" s="61" t="s">
        <v>176</v>
      </c>
      <c r="B873" s="61">
        <v>1956</v>
      </c>
      <c r="C873" s="64">
        <v>19.195121951219502</v>
      </c>
      <c r="D873" s="64">
        <v>4.3650055782818997</v>
      </c>
      <c r="E873" s="59" t="s">
        <v>158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</row>
    <row r="874" spans="1:22" s="59" customFormat="1" x14ac:dyDescent="0.25">
      <c r="A874" s="61" t="s">
        <v>176</v>
      </c>
      <c r="B874" s="61">
        <v>1957</v>
      </c>
      <c r="C874" s="64">
        <v>18.524126455906799</v>
      </c>
      <c r="D874" s="64">
        <v>4.4274197140439204</v>
      </c>
      <c r="E874" s="59" t="s">
        <v>158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</row>
    <row r="875" spans="1:22" s="59" customFormat="1" x14ac:dyDescent="0.25">
      <c r="A875" s="61" t="s">
        <v>176</v>
      </c>
      <c r="B875" s="61">
        <v>1958</v>
      </c>
      <c r="C875" s="64">
        <v>17.622820919175901</v>
      </c>
      <c r="D875" s="64">
        <v>1.31371294519087</v>
      </c>
      <c r="E875" s="59" t="s">
        <v>158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</row>
    <row r="876" spans="1:22" s="59" customFormat="1" x14ac:dyDescent="0.25">
      <c r="A876" s="61" t="s">
        <v>176</v>
      </c>
      <c r="B876" s="61">
        <v>1959</v>
      </c>
      <c r="C876" s="64">
        <v>17.313521545319499</v>
      </c>
      <c r="D876" s="64">
        <v>5.4140529617311399</v>
      </c>
      <c r="E876" s="59" t="s">
        <v>158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</row>
    <row r="877" spans="1:22" s="59" customFormat="1" x14ac:dyDescent="0.25">
      <c r="A877" s="61" t="s">
        <v>176</v>
      </c>
      <c r="B877" s="61">
        <v>1960</v>
      </c>
      <c r="C877" s="64">
        <v>15.942701227830799</v>
      </c>
      <c r="D877" s="64">
        <v>6.6775829705659104</v>
      </c>
      <c r="E877" s="59" t="s">
        <v>158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</row>
    <row r="878" spans="1:22" s="59" customFormat="1" x14ac:dyDescent="0.25">
      <c r="A878" s="61" t="s">
        <v>176</v>
      </c>
      <c r="B878" s="61">
        <v>1961</v>
      </c>
      <c r="C878" s="64">
        <v>14.850443599493</v>
      </c>
      <c r="D878" s="64">
        <v>5.4621691437984499</v>
      </c>
      <c r="E878" s="59" t="s">
        <v>158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</row>
    <row r="879" spans="1:22" s="59" customFormat="1" x14ac:dyDescent="0.25">
      <c r="A879" s="61" t="s">
        <v>176</v>
      </c>
      <c r="B879" s="61">
        <v>1962</v>
      </c>
      <c r="C879" s="64">
        <v>13.985697258641199</v>
      </c>
      <c r="D879" s="64">
        <v>6.63826766063187</v>
      </c>
      <c r="E879" s="59" t="s">
        <v>158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</row>
    <row r="880" spans="1:22" s="59" customFormat="1" x14ac:dyDescent="0.25">
      <c r="A880" s="61" t="s">
        <v>176</v>
      </c>
      <c r="B880" s="61">
        <v>1963</v>
      </c>
      <c r="C880" s="64">
        <v>16.234906695938498</v>
      </c>
      <c r="D880" s="64">
        <v>5.9354194407456697</v>
      </c>
      <c r="E880" s="59" t="s">
        <v>158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</row>
    <row r="881" spans="1:22" s="59" customFormat="1" x14ac:dyDescent="0.25">
      <c r="A881" s="61" t="s">
        <v>176</v>
      </c>
      <c r="B881" s="61">
        <v>1964</v>
      </c>
      <c r="C881" s="64">
        <v>15.547667342799199</v>
      </c>
      <c r="D881" s="64">
        <v>6.5927159601546004</v>
      </c>
      <c r="E881" s="59" t="s">
        <v>158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</row>
    <row r="882" spans="1:22" s="59" customFormat="1" x14ac:dyDescent="0.25">
      <c r="A882" s="61" t="s">
        <v>176</v>
      </c>
      <c r="B882" s="61">
        <v>1965</v>
      </c>
      <c r="C882" s="64">
        <v>14.7170154686078</v>
      </c>
      <c r="D882" s="64">
        <v>7.4437663983962796</v>
      </c>
      <c r="E882" s="59" t="s">
        <v>158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</row>
    <row r="883" spans="1:22" s="59" customFormat="1" x14ac:dyDescent="0.25">
      <c r="A883" s="61" t="s">
        <v>176</v>
      </c>
      <c r="B883" s="61">
        <v>1966</v>
      </c>
      <c r="C883" s="64">
        <v>14.578073089701</v>
      </c>
      <c r="D883" s="64">
        <v>4.0690336388081096</v>
      </c>
      <c r="E883" s="59" t="s">
        <v>158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</row>
    <row r="884" spans="1:22" s="59" customFormat="1" x14ac:dyDescent="0.25">
      <c r="A884" s="61" t="s">
        <v>176</v>
      </c>
      <c r="B884" s="61">
        <v>1967</v>
      </c>
      <c r="C884" s="64">
        <v>15.9910846953938</v>
      </c>
      <c r="D884" s="64">
        <v>7.5483139550212197</v>
      </c>
      <c r="E884" s="59" t="s">
        <v>158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</row>
    <row r="885" spans="1:22" s="59" customFormat="1" x14ac:dyDescent="0.25">
      <c r="A885" s="61" t="s">
        <v>176</v>
      </c>
      <c r="B885" s="61">
        <v>1968</v>
      </c>
      <c r="C885" s="64">
        <v>16.892759562841501</v>
      </c>
      <c r="D885" s="64">
        <v>8.8963522259266608</v>
      </c>
      <c r="E885" s="59" t="s">
        <v>158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</row>
    <row r="886" spans="1:22" s="59" customFormat="1" x14ac:dyDescent="0.25">
      <c r="A886" s="61" t="s">
        <v>176</v>
      </c>
      <c r="B886" s="61">
        <v>1969</v>
      </c>
      <c r="C886" s="64">
        <v>17.617445482866</v>
      </c>
      <c r="D886" s="64">
        <v>2.1228698138267901</v>
      </c>
      <c r="E886" s="59" t="s">
        <v>158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</row>
    <row r="887" spans="1:22" s="59" customFormat="1" x14ac:dyDescent="0.25">
      <c r="A887" s="61" t="s">
        <v>176</v>
      </c>
      <c r="B887" s="61">
        <v>1970</v>
      </c>
      <c r="C887" s="64">
        <v>16.964483906770301</v>
      </c>
      <c r="D887" s="64">
        <v>9.1129530023807508</v>
      </c>
      <c r="E887" s="59" t="s">
        <v>158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</row>
    <row r="888" spans="1:22" s="59" customFormat="1" x14ac:dyDescent="0.25">
      <c r="A888" s="61" t="s">
        <v>176</v>
      </c>
      <c r="B888" s="61">
        <v>1971</v>
      </c>
      <c r="C888" s="64">
        <v>16.053987122337801</v>
      </c>
      <c r="D888" s="64">
        <v>6.6325912158067002</v>
      </c>
      <c r="E888" s="59" t="s">
        <v>158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</row>
    <row r="889" spans="1:22" s="59" customFormat="1" x14ac:dyDescent="0.25">
      <c r="A889" s="61" t="s">
        <v>176</v>
      </c>
      <c r="B889" s="61">
        <v>1972</v>
      </c>
      <c r="C889" s="64">
        <v>14.1072340425532</v>
      </c>
      <c r="D889" s="64">
        <v>8.0142475512021498</v>
      </c>
      <c r="E889" s="59" t="s">
        <v>158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</row>
    <row r="890" spans="1:22" s="59" customFormat="1" x14ac:dyDescent="0.25">
      <c r="A890" s="61" t="s">
        <v>176</v>
      </c>
      <c r="B890" s="61">
        <v>1973</v>
      </c>
      <c r="C890" s="64">
        <v>11.801559177888</v>
      </c>
      <c r="D890" s="64">
        <v>11.201347108452801</v>
      </c>
      <c r="E890" s="59" t="s">
        <v>158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</row>
    <row r="891" spans="1:22" s="59" customFormat="1" x14ac:dyDescent="0.25">
      <c r="A891" s="61" t="s">
        <v>176</v>
      </c>
      <c r="B891" s="61">
        <v>1974</v>
      </c>
      <c r="C891" s="64">
        <v>10.309755378720901</v>
      </c>
      <c r="D891" s="64">
        <v>1.14358723598909</v>
      </c>
      <c r="E891" s="59" t="s">
        <v>158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</row>
    <row r="892" spans="1:22" s="59" customFormat="1" x14ac:dyDescent="0.25">
      <c r="A892" s="61" t="s">
        <v>176</v>
      </c>
      <c r="B892" s="61">
        <v>1975</v>
      </c>
      <c r="C892" s="64">
        <v>10.2486744432662</v>
      </c>
      <c r="D892" s="64">
        <v>-4.3479616980131599</v>
      </c>
      <c r="E892" s="59" t="s">
        <v>158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</row>
    <row r="893" spans="1:22" s="59" customFormat="1" x14ac:dyDescent="0.25">
      <c r="A893" s="61" t="s">
        <v>176</v>
      </c>
      <c r="B893" s="61">
        <v>1976</v>
      </c>
      <c r="C893" s="64">
        <v>9.1113243761996205</v>
      </c>
      <c r="D893" s="64">
        <v>6.8999250008152</v>
      </c>
      <c r="E893" s="59" t="s">
        <v>158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</row>
    <row r="894" spans="1:22" s="59" customFormat="1" x14ac:dyDescent="0.25">
      <c r="A894" s="61" t="s">
        <v>176</v>
      </c>
      <c r="B894" s="61">
        <v>1977</v>
      </c>
      <c r="C894" s="64">
        <v>7.4299373794606502</v>
      </c>
      <c r="D894" s="64">
        <v>5.6019888356770204</v>
      </c>
      <c r="E894" s="59" t="s">
        <v>158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</row>
    <row r="895" spans="1:22" s="59" customFormat="1" x14ac:dyDescent="0.25">
      <c r="A895" s="61" t="s">
        <v>176</v>
      </c>
      <c r="B895" s="61">
        <v>1978</v>
      </c>
      <c r="C895" s="64">
        <v>6.81163157286373</v>
      </c>
      <c r="D895" s="64">
        <v>2.8163318361039198</v>
      </c>
      <c r="E895" s="59" t="s">
        <v>158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</row>
    <row r="896" spans="1:22" s="59" customFormat="1" x14ac:dyDescent="0.25">
      <c r="A896" s="61" t="s">
        <v>176</v>
      </c>
      <c r="B896" s="61">
        <v>1979</v>
      </c>
      <c r="C896" s="64">
        <v>6.3095770275904002</v>
      </c>
      <c r="D896" s="64">
        <v>5.6385115677983997</v>
      </c>
      <c r="E896" s="59" t="s">
        <v>158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</row>
    <row r="897" spans="1:22" s="59" customFormat="1" x14ac:dyDescent="0.25">
      <c r="A897" s="61" t="s">
        <v>176</v>
      </c>
      <c r="B897" s="61">
        <v>1980</v>
      </c>
      <c r="C897" s="64">
        <v>7.9885990892009797</v>
      </c>
      <c r="D897" s="64">
        <v>4.59024241054213</v>
      </c>
      <c r="E897" s="59" t="s">
        <v>158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</row>
    <row r="898" spans="1:22" s="59" customFormat="1" x14ac:dyDescent="0.25">
      <c r="A898" s="61" t="s">
        <v>176</v>
      </c>
      <c r="B898" s="61">
        <v>1981</v>
      </c>
      <c r="C898" s="64">
        <v>10.085468377366499</v>
      </c>
      <c r="D898" s="64">
        <v>1.5475053130301</v>
      </c>
      <c r="E898" s="59" t="s">
        <v>158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</row>
    <row r="899" spans="1:22" s="59" customFormat="1" x14ac:dyDescent="0.25">
      <c r="A899" s="61" t="s">
        <v>176</v>
      </c>
      <c r="B899" s="61">
        <v>1982</v>
      </c>
      <c r="C899" s="64">
        <v>11.3785053042299</v>
      </c>
      <c r="D899" s="64">
        <v>0.12499351992121301</v>
      </c>
      <c r="E899" s="59" t="s">
        <v>158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</row>
    <row r="900" spans="1:22" s="59" customFormat="1" x14ac:dyDescent="0.25">
      <c r="A900" s="61" t="s">
        <v>176</v>
      </c>
      <c r="B900" s="61">
        <v>1983</v>
      </c>
      <c r="C900" s="64">
        <v>12.7093018203936</v>
      </c>
      <c r="D900" s="64">
        <v>3.8668937136369999</v>
      </c>
      <c r="E900" s="59" t="s">
        <v>158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</row>
    <row r="901" spans="1:22" s="59" customFormat="1" x14ac:dyDescent="0.25">
      <c r="A901" s="61" t="s">
        <v>176</v>
      </c>
      <c r="B901" s="61">
        <v>1984</v>
      </c>
      <c r="C901" s="64">
        <v>9.0126894268981808</v>
      </c>
      <c r="D901" s="64">
        <v>5.8941036808377403</v>
      </c>
      <c r="E901" s="59" t="s">
        <v>158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</row>
    <row r="902" spans="1:22" s="59" customFormat="1" x14ac:dyDescent="0.25">
      <c r="A902" s="61" t="s">
        <v>176</v>
      </c>
      <c r="B902" s="61">
        <v>1985</v>
      </c>
      <c r="C902" s="64">
        <v>13.249885071823</v>
      </c>
      <c r="D902" s="64">
        <v>5.3540295135014597</v>
      </c>
      <c r="E902" s="59" t="s">
        <v>158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</row>
    <row r="903" spans="1:22" s="59" customFormat="1" x14ac:dyDescent="0.25">
      <c r="A903" s="61" t="s">
        <v>176</v>
      </c>
      <c r="B903" s="61">
        <v>1986</v>
      </c>
      <c r="C903" s="64">
        <v>14.0260084191387</v>
      </c>
      <c r="D903" s="64">
        <v>4.0375523145842003</v>
      </c>
      <c r="E903" s="59" t="s">
        <v>158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</row>
    <row r="904" spans="1:22" s="59" customFormat="1" x14ac:dyDescent="0.25">
      <c r="A904" s="61" t="s">
        <v>176</v>
      </c>
      <c r="B904" s="61">
        <v>1987</v>
      </c>
      <c r="C904" s="64">
        <v>15.836479260496301</v>
      </c>
      <c r="D904" s="64">
        <v>1.78001352049946</v>
      </c>
      <c r="E904" s="59" t="s">
        <v>158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</row>
    <row r="905" spans="1:22" s="59" customFormat="1" x14ac:dyDescent="0.25">
      <c r="A905" s="61" t="s">
        <v>176</v>
      </c>
      <c r="B905" s="61">
        <v>1988</v>
      </c>
      <c r="C905" s="64">
        <v>18.420300881601801</v>
      </c>
      <c r="D905" s="64">
        <v>-0.17284882526092901</v>
      </c>
      <c r="E905" s="59" t="s">
        <v>158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</row>
    <row r="906" spans="1:22" s="59" customFormat="1" x14ac:dyDescent="0.25">
      <c r="A906" s="61" t="s">
        <v>176</v>
      </c>
      <c r="B906" s="61">
        <v>1989</v>
      </c>
      <c r="C906" s="64">
        <v>21.220255151546301</v>
      </c>
      <c r="D906" s="64">
        <v>0.99755854903136298</v>
      </c>
      <c r="E906" s="59" t="s">
        <v>158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</row>
    <row r="907" spans="1:22" s="59" customFormat="1" x14ac:dyDescent="0.25">
      <c r="A907" s="61" t="s">
        <v>176</v>
      </c>
      <c r="B907" s="61">
        <v>1990</v>
      </c>
      <c r="C907" s="64">
        <v>23.8194764206321</v>
      </c>
      <c r="D907" s="64">
        <v>1.9275140029591</v>
      </c>
      <c r="E907" s="59" t="s">
        <v>158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</row>
    <row r="908" spans="1:22" s="59" customFormat="1" x14ac:dyDescent="0.25">
      <c r="A908" s="61" t="s">
        <v>176</v>
      </c>
      <c r="B908" s="61">
        <v>1991</v>
      </c>
      <c r="C908" s="64">
        <v>25.2796306614662</v>
      </c>
      <c r="D908" s="64">
        <v>3.1046289614814699</v>
      </c>
      <c r="E908" s="59" t="s">
        <v>158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</row>
    <row r="909" spans="1:22" s="59" customFormat="1" x14ac:dyDescent="0.25">
      <c r="A909" s="61" t="s">
        <v>176</v>
      </c>
      <c r="B909" s="61">
        <v>1992</v>
      </c>
      <c r="C909" s="64">
        <v>29.569307552263201</v>
      </c>
      <c r="D909" s="64">
        <v>3.5231049814781001</v>
      </c>
      <c r="E909" s="59" t="s">
        <v>158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</row>
    <row r="910" spans="1:22" s="59" customFormat="1" x14ac:dyDescent="0.25">
      <c r="A910" s="61" t="s">
        <v>176</v>
      </c>
      <c r="B910" s="61">
        <v>1993</v>
      </c>
      <c r="C910" s="64">
        <v>33.554594473987599</v>
      </c>
      <c r="D910" s="64">
        <v>2.7866370789358501</v>
      </c>
      <c r="E910" s="59" t="s">
        <v>159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</row>
    <row r="911" spans="1:22" s="59" customFormat="1" x14ac:dyDescent="0.25">
      <c r="A911" s="61" t="s">
        <v>176</v>
      </c>
      <c r="B911" s="61">
        <v>1994</v>
      </c>
      <c r="C911" s="64">
        <v>35.4400005473154</v>
      </c>
      <c r="D911" s="64">
        <v>5.0513843415679496</v>
      </c>
      <c r="E911" s="59" t="s">
        <v>159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</row>
    <row r="912" spans="1:22" s="59" customFormat="1" x14ac:dyDescent="0.25">
      <c r="A912" s="61" t="s">
        <v>176</v>
      </c>
      <c r="B912" s="61">
        <v>1995</v>
      </c>
      <c r="C912" s="64">
        <v>35.889628593667901</v>
      </c>
      <c r="D912" s="64">
        <v>4.1863490739812104</v>
      </c>
      <c r="E912" s="59" t="s">
        <v>159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</row>
    <row r="913" spans="1:22" s="59" customFormat="1" x14ac:dyDescent="0.25">
      <c r="A913" s="61" t="s">
        <v>176</v>
      </c>
      <c r="B913" s="61">
        <v>1996</v>
      </c>
      <c r="C913" s="64">
        <v>39.170436562235999</v>
      </c>
      <c r="D913" s="64">
        <v>5.0997663359063896</v>
      </c>
      <c r="E913" s="59" t="s">
        <v>159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</row>
    <row r="914" spans="1:22" s="59" customFormat="1" x14ac:dyDescent="0.25">
      <c r="A914" s="61" t="s">
        <v>176</v>
      </c>
      <c r="B914" s="61">
        <v>1997</v>
      </c>
      <c r="C914" s="64">
        <v>39.432844587904199</v>
      </c>
      <c r="D914" s="64">
        <v>5.3926403470454503</v>
      </c>
      <c r="E914" s="59" t="s">
        <v>159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</row>
    <row r="915" spans="1:22" s="59" customFormat="1" x14ac:dyDescent="0.25">
      <c r="A915" s="61" t="s">
        <v>176</v>
      </c>
      <c r="B915" s="61">
        <v>1998</v>
      </c>
      <c r="C915" s="64">
        <v>32.933777415214799</v>
      </c>
      <c r="D915" s="64">
        <v>2.6827834907742201</v>
      </c>
      <c r="E915" s="59" t="s">
        <v>159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</row>
    <row r="916" spans="1:22" s="59" customFormat="1" x14ac:dyDescent="0.25">
      <c r="A916" s="61" t="s">
        <v>176</v>
      </c>
      <c r="B916" s="61">
        <v>1999</v>
      </c>
      <c r="C916" s="64">
        <v>29.350732740734301</v>
      </c>
      <c r="D916" s="64">
        <v>2.0257705900823799</v>
      </c>
      <c r="E916" s="59" t="s">
        <v>158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</row>
    <row r="917" spans="1:22" s="59" customFormat="1" x14ac:dyDescent="0.25">
      <c r="A917" s="61" t="s">
        <v>176</v>
      </c>
      <c r="B917" s="61">
        <v>2000</v>
      </c>
      <c r="C917" s="64">
        <v>54.122458493498002</v>
      </c>
      <c r="D917" s="64">
        <v>3.2535679946216902</v>
      </c>
      <c r="E917" s="59" t="s">
        <v>159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</row>
    <row r="918" spans="1:22" s="59" customFormat="1" x14ac:dyDescent="0.25">
      <c r="A918" s="61" t="s">
        <v>176</v>
      </c>
      <c r="B918" s="61">
        <v>2001</v>
      </c>
      <c r="C918" s="64">
        <v>56.029085594085402</v>
      </c>
      <c r="D918" s="64">
        <v>1.99015413560657</v>
      </c>
      <c r="E918" s="59" t="s">
        <v>159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</row>
    <row r="919" spans="1:22" s="59" customFormat="1" x14ac:dyDescent="0.25">
      <c r="A919" s="61" t="s">
        <v>176</v>
      </c>
      <c r="B919" s="61">
        <v>2002</v>
      </c>
      <c r="C919" s="64">
        <v>58.681534917376702</v>
      </c>
      <c r="D919" s="64">
        <v>1.5020556300011001</v>
      </c>
      <c r="E919" s="59" t="s">
        <v>159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</row>
    <row r="920" spans="1:22" s="59" customFormat="1" x14ac:dyDescent="0.25">
      <c r="A920" s="61" t="s">
        <v>176</v>
      </c>
      <c r="B920" s="61">
        <v>2003</v>
      </c>
      <c r="C920" s="64">
        <v>60.164379212307502</v>
      </c>
      <c r="D920" s="64">
        <v>1.0135240342473499</v>
      </c>
      <c r="E920" s="59" t="s">
        <v>156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</row>
    <row r="921" spans="1:22" s="59" customFormat="1" x14ac:dyDescent="0.25">
      <c r="A921" s="61" t="s">
        <v>176</v>
      </c>
      <c r="B921" s="61">
        <v>2004</v>
      </c>
      <c r="C921" s="64">
        <v>62.9572810279751</v>
      </c>
      <c r="D921" s="64">
        <v>3.8641263641794299</v>
      </c>
      <c r="E921" s="59" t="s">
        <v>156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</row>
    <row r="922" spans="1:22" s="59" customFormat="1" x14ac:dyDescent="0.25">
      <c r="A922" s="61" t="s">
        <v>176</v>
      </c>
      <c r="B922" s="61">
        <v>2005</v>
      </c>
      <c r="C922" s="64">
        <v>68.237171749684805</v>
      </c>
      <c r="D922" s="64">
        <v>2.73920744287439</v>
      </c>
      <c r="E922" s="59" t="s">
        <v>156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</row>
    <row r="923" spans="1:22" s="59" customFormat="1" x14ac:dyDescent="0.25">
      <c r="A923" s="61" t="s">
        <v>176</v>
      </c>
      <c r="B923" s="61">
        <v>2006</v>
      </c>
      <c r="C923" s="64">
        <v>69.835923729140703</v>
      </c>
      <c r="D923" s="64">
        <v>2.2808885419912901</v>
      </c>
      <c r="E923" s="59" t="s">
        <v>156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</row>
    <row r="924" spans="1:22" s="59" customFormat="1" x14ac:dyDescent="0.25">
      <c r="A924" s="61" t="s">
        <v>176</v>
      </c>
      <c r="B924" s="61">
        <v>2007</v>
      </c>
      <c r="C924" s="64">
        <v>69.1290729812047</v>
      </c>
      <c r="D924" s="64">
        <v>3.1340917857372701</v>
      </c>
      <c r="E924" s="59" t="s">
        <v>156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</row>
    <row r="925" spans="1:22" s="59" customFormat="1" x14ac:dyDescent="0.25">
      <c r="A925" s="61" t="s">
        <v>176</v>
      </c>
      <c r="B925" s="61">
        <v>2008</v>
      </c>
      <c r="C925" s="64">
        <v>71.265189980027401</v>
      </c>
      <c r="D925" s="64">
        <v>2.13213029844797</v>
      </c>
      <c r="E925" s="59" t="s">
        <v>156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</row>
    <row r="926" spans="1:22" s="59" customFormat="1" x14ac:dyDescent="0.25">
      <c r="A926" s="61" t="s">
        <v>176</v>
      </c>
      <c r="B926" s="61">
        <v>2009</v>
      </c>
      <c r="C926" s="64">
        <v>80.101451176621296</v>
      </c>
      <c r="D926" s="64">
        <v>-1.9066760919030901</v>
      </c>
      <c r="E926" s="59" t="s">
        <v>156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</row>
    <row r="927" spans="1:22" s="59" customFormat="1" x14ac:dyDescent="0.25">
      <c r="A927" s="61" t="s">
        <v>177</v>
      </c>
      <c r="B927" s="61">
        <v>1946</v>
      </c>
      <c r="C927" s="64">
        <v>61.199297708249397</v>
      </c>
      <c r="D927" s="64">
        <v>4.1562496723491504</v>
      </c>
      <c r="E927" s="59" t="s">
        <v>156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</row>
    <row r="928" spans="1:22" s="59" customFormat="1" x14ac:dyDescent="0.25">
      <c r="A928" s="61" t="s">
        <v>177</v>
      </c>
      <c r="B928" s="61">
        <v>1947</v>
      </c>
      <c r="C928" s="64">
        <v>55.108075339252402</v>
      </c>
      <c r="D928" s="64">
        <v>1.9840148377332101</v>
      </c>
      <c r="E928" s="59" t="s">
        <v>159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</row>
    <row r="929" spans="1:22" s="59" customFormat="1" x14ac:dyDescent="0.25">
      <c r="A929" s="61" t="s">
        <v>177</v>
      </c>
      <c r="B929" s="61">
        <v>1948</v>
      </c>
      <c r="C929" s="64">
        <v>55.609531530894003</v>
      </c>
      <c r="D929" s="64">
        <v>0.28195043487897498</v>
      </c>
      <c r="E929" s="59" t="s">
        <v>159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</row>
    <row r="930" spans="1:22" s="59" customFormat="1" x14ac:dyDescent="0.25">
      <c r="A930" s="61" t="s">
        <v>177</v>
      </c>
      <c r="B930" s="61">
        <v>1949</v>
      </c>
      <c r="C930" s="64">
        <v>53.878367272488099</v>
      </c>
      <c r="D930" s="64">
        <v>-1.67943029228068E-2</v>
      </c>
      <c r="E930" s="59" t="s">
        <v>159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</row>
    <row r="931" spans="1:22" s="59" customFormat="1" x14ac:dyDescent="0.25">
      <c r="A931" s="61" t="s">
        <v>177</v>
      </c>
      <c r="B931" s="61">
        <v>1950</v>
      </c>
      <c r="C931" s="64">
        <v>46.221943239781297</v>
      </c>
      <c r="D931" s="64">
        <v>2.0570026199612701</v>
      </c>
      <c r="E931" s="59" t="s">
        <v>159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</row>
    <row r="932" spans="1:22" s="59" customFormat="1" x14ac:dyDescent="0.25">
      <c r="A932" s="61" t="s">
        <v>177</v>
      </c>
      <c r="B932" s="61">
        <v>1951</v>
      </c>
      <c r="C932" s="64">
        <v>39.961650717147599</v>
      </c>
      <c r="D932" s="64">
        <v>9.2057477826302794</v>
      </c>
      <c r="E932" s="59" t="s">
        <v>159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</row>
    <row r="933" spans="1:22" s="59" customFormat="1" x14ac:dyDescent="0.25">
      <c r="A933" s="61" t="s">
        <v>177</v>
      </c>
      <c r="B933" s="61">
        <v>1952</v>
      </c>
      <c r="C933" s="64">
        <v>38.9038378036674</v>
      </c>
      <c r="D933" s="64">
        <v>8.5653380451544194</v>
      </c>
      <c r="E933" s="59" t="s">
        <v>159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</row>
    <row r="934" spans="1:22" s="59" customFormat="1" x14ac:dyDescent="0.25">
      <c r="A934" s="61" t="s">
        <v>177</v>
      </c>
      <c r="B934" s="61">
        <v>1953</v>
      </c>
      <c r="C934" s="64">
        <v>40.299853092848899</v>
      </c>
      <c r="D934" s="64">
        <v>-2.87254646297752E-2</v>
      </c>
      <c r="E934" s="59" t="s">
        <v>159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</row>
    <row r="935" spans="1:22" s="59" customFormat="1" x14ac:dyDescent="0.25">
      <c r="A935" s="61" t="s">
        <v>177</v>
      </c>
      <c r="B935" s="61">
        <v>1954</v>
      </c>
      <c r="C935" s="64">
        <v>37.9393484675048</v>
      </c>
      <c r="D935" s="64">
        <v>7.0976324600566603</v>
      </c>
      <c r="E935" s="59" t="s">
        <v>159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</row>
    <row r="936" spans="1:22" s="59" customFormat="1" x14ac:dyDescent="0.25">
      <c r="A936" s="61" t="s">
        <v>177</v>
      </c>
      <c r="B936" s="61">
        <v>1955</v>
      </c>
      <c r="C936" s="64">
        <v>38.872555135785603</v>
      </c>
      <c r="D936" s="64">
        <v>3.3186168253964698</v>
      </c>
      <c r="E936" s="59" t="s">
        <v>159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</row>
    <row r="937" spans="1:22" s="59" customFormat="1" x14ac:dyDescent="0.25">
      <c r="A937" s="61" t="s">
        <v>177</v>
      </c>
      <c r="B937" s="61">
        <v>1956</v>
      </c>
      <c r="C937" s="64">
        <v>35.290189751505103</v>
      </c>
      <c r="D937" s="64">
        <v>8.1839979216212608</v>
      </c>
      <c r="E937" s="59" t="s">
        <v>159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</row>
    <row r="938" spans="1:22" s="59" customFormat="1" x14ac:dyDescent="0.25">
      <c r="A938" s="61" t="s">
        <v>177</v>
      </c>
      <c r="B938" s="61">
        <v>1957</v>
      </c>
      <c r="C938" s="64">
        <v>34.051233016679099</v>
      </c>
      <c r="D938" s="64">
        <v>3.2834265316451301</v>
      </c>
      <c r="E938" s="59" t="s">
        <v>159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</row>
    <row r="939" spans="1:22" s="59" customFormat="1" x14ac:dyDescent="0.25">
      <c r="A939" s="61" t="s">
        <v>177</v>
      </c>
      <c r="B939" s="61">
        <v>1958</v>
      </c>
      <c r="C939" s="64">
        <v>30.0156438026474</v>
      </c>
      <c r="D939" s="64">
        <v>6.2750474991198697</v>
      </c>
      <c r="E939" s="59" t="s">
        <v>159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</row>
    <row r="940" spans="1:22" s="59" customFormat="1" x14ac:dyDescent="0.25">
      <c r="A940" s="61" t="s">
        <v>177</v>
      </c>
      <c r="B940" s="61">
        <v>1981</v>
      </c>
      <c r="C940" s="64">
        <v>10.3996583828247</v>
      </c>
      <c r="D940" s="64">
        <v>-0.40798650681497201</v>
      </c>
      <c r="E940" s="59" t="s">
        <v>158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</row>
    <row r="941" spans="1:22" s="59" customFormat="1" x14ac:dyDescent="0.25">
      <c r="A941" s="61" t="s">
        <v>177</v>
      </c>
      <c r="B941" s="61">
        <v>1982</v>
      </c>
      <c r="C941" s="64">
        <v>11.583411507192</v>
      </c>
      <c r="D941" s="64">
        <v>1.23878181550685</v>
      </c>
      <c r="E941" s="59" t="s">
        <v>158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</row>
    <row r="942" spans="1:22" s="59" customFormat="1" x14ac:dyDescent="0.25">
      <c r="A942" s="61" t="s">
        <v>177</v>
      </c>
      <c r="B942" s="61">
        <v>1983</v>
      </c>
      <c r="C942" s="64">
        <v>12.9976399914182</v>
      </c>
      <c r="D942" s="64">
        <v>1.6524895528557699</v>
      </c>
      <c r="E942" s="59" t="s">
        <v>158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</row>
    <row r="943" spans="1:22" s="59" customFormat="1" x14ac:dyDescent="0.25">
      <c r="A943" s="61" t="s">
        <v>177</v>
      </c>
      <c r="B943" s="61">
        <v>1984</v>
      </c>
      <c r="C943" s="64">
        <v>17.7343610374894</v>
      </c>
      <c r="D943" s="64">
        <v>1.6980598593898399</v>
      </c>
      <c r="E943" s="59" t="s">
        <v>158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</row>
    <row r="944" spans="1:22" s="59" customFormat="1" x14ac:dyDescent="0.25">
      <c r="A944" s="61" t="s">
        <v>177</v>
      </c>
      <c r="B944" s="61">
        <v>1985</v>
      </c>
      <c r="C944" s="64">
        <v>30.3881375420921</v>
      </c>
      <c r="D944" s="64">
        <v>2.3616439040847799</v>
      </c>
      <c r="E944" s="59" t="s">
        <v>159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</row>
    <row r="945" spans="1:22" s="59" customFormat="1" x14ac:dyDescent="0.25">
      <c r="A945" s="61" t="s">
        <v>177</v>
      </c>
      <c r="B945" s="61">
        <v>1986</v>
      </c>
      <c r="C945" s="64">
        <v>35.235126022287098</v>
      </c>
      <c r="D945" s="64">
        <v>3.4320487310636199</v>
      </c>
      <c r="E945" s="59" t="s">
        <v>159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</row>
    <row r="946" spans="1:22" s="59" customFormat="1" x14ac:dyDescent="0.25">
      <c r="A946" s="61" t="s">
        <v>177</v>
      </c>
      <c r="B946" s="61">
        <v>1987</v>
      </c>
      <c r="C946" s="64">
        <v>36.2503675586089</v>
      </c>
      <c r="D946" s="64">
        <v>5.70898318787214</v>
      </c>
      <c r="E946" s="59" t="s">
        <v>159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</row>
    <row r="947" spans="1:22" s="59" customFormat="1" x14ac:dyDescent="0.25">
      <c r="A947" s="61" t="s">
        <v>177</v>
      </c>
      <c r="B947" s="61">
        <v>1988</v>
      </c>
      <c r="C947" s="64">
        <v>36.683698215048899</v>
      </c>
      <c r="D947" s="64">
        <v>5.2845471723918402</v>
      </c>
      <c r="E947" s="59" t="s">
        <v>159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</row>
    <row r="948" spans="1:22" s="59" customFormat="1" x14ac:dyDescent="0.25">
      <c r="A948" s="61" t="s">
        <v>177</v>
      </c>
      <c r="B948" s="61">
        <v>1989</v>
      </c>
      <c r="C948" s="64">
        <v>33.067137491188099</v>
      </c>
      <c r="D948" s="64">
        <v>5.0039236063244203</v>
      </c>
      <c r="E948" s="59" t="s">
        <v>159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</row>
    <row r="949" spans="1:22" s="59" customFormat="1" x14ac:dyDescent="0.25">
      <c r="A949" s="61" t="s">
        <v>177</v>
      </c>
      <c r="B949" s="61">
        <v>1990</v>
      </c>
      <c r="C949" s="64">
        <v>34.481664092092203</v>
      </c>
      <c r="D949" s="64">
        <v>3.8464548739014299</v>
      </c>
      <c r="E949" s="59" t="s">
        <v>159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</row>
    <row r="950" spans="1:22" s="59" customFormat="1" x14ac:dyDescent="0.25">
      <c r="A950" s="61" t="s">
        <v>177</v>
      </c>
      <c r="B950" s="61">
        <v>1991</v>
      </c>
      <c r="C950" s="64">
        <v>35.989719929477999</v>
      </c>
      <c r="D950" s="64">
        <v>2.5255644106449102</v>
      </c>
      <c r="E950" s="59" t="s">
        <v>159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</row>
    <row r="951" spans="1:22" s="59" customFormat="1" x14ac:dyDescent="0.25">
      <c r="A951" s="61" t="s">
        <v>177</v>
      </c>
      <c r="B951" s="61">
        <v>1992</v>
      </c>
      <c r="C951" s="64">
        <v>36.114649266543097</v>
      </c>
      <c r="D951" s="64">
        <v>0.85060066113036303</v>
      </c>
      <c r="E951" s="59" t="s">
        <v>159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</row>
    <row r="952" spans="1:22" s="59" customFormat="1" x14ac:dyDescent="0.25">
      <c r="A952" s="61" t="s">
        <v>177</v>
      </c>
      <c r="B952" s="61">
        <v>1993</v>
      </c>
      <c r="C952" s="64">
        <v>39.405957117194802</v>
      </c>
      <c r="D952" s="64">
        <v>-1.3136949227466601</v>
      </c>
      <c r="E952" s="59" t="s">
        <v>159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</row>
    <row r="953" spans="1:22" s="59" customFormat="1" x14ac:dyDescent="0.25">
      <c r="A953" s="61" t="s">
        <v>177</v>
      </c>
      <c r="B953" s="61">
        <v>1994</v>
      </c>
      <c r="C953" s="64">
        <v>48.6878002205627</v>
      </c>
      <c r="D953" s="64">
        <v>2.3345135357944402</v>
      </c>
      <c r="E953" s="59" t="s">
        <v>159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</row>
    <row r="954" spans="1:22" s="59" customFormat="1" x14ac:dyDescent="0.25">
      <c r="A954" s="61" t="s">
        <v>177</v>
      </c>
      <c r="B954" s="61">
        <v>1995</v>
      </c>
      <c r="C954" s="64">
        <v>48.767550031112002</v>
      </c>
      <c r="D954" s="64">
        <v>4.12223515715948</v>
      </c>
      <c r="E954" s="59" t="s">
        <v>159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</row>
    <row r="955" spans="1:22" s="59" customFormat="1" x14ac:dyDescent="0.25">
      <c r="A955" s="61" t="s">
        <v>177</v>
      </c>
      <c r="B955" s="61">
        <v>1996</v>
      </c>
      <c r="C955" s="64">
        <v>52.162404176411798</v>
      </c>
      <c r="D955" s="64">
        <v>2.4212609429679999</v>
      </c>
      <c r="E955" s="59" t="s">
        <v>159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</row>
    <row r="956" spans="1:22" s="59" customFormat="1" x14ac:dyDescent="0.25">
      <c r="A956" s="61" t="s">
        <v>177</v>
      </c>
      <c r="B956" s="61">
        <v>1997</v>
      </c>
      <c r="C956" s="64">
        <v>55.774437238059598</v>
      </c>
      <c r="D956" s="64">
        <v>3.8654420096368498</v>
      </c>
      <c r="E956" s="59" t="s">
        <v>159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</row>
    <row r="957" spans="1:22" s="59" customFormat="1" x14ac:dyDescent="0.25">
      <c r="A957" s="61" t="s">
        <v>177</v>
      </c>
      <c r="B957" s="61">
        <v>1998</v>
      </c>
      <c r="C957" s="64">
        <v>55.7152386633215</v>
      </c>
      <c r="D957" s="64">
        <v>4.4688462977521297</v>
      </c>
      <c r="E957" s="59" t="s">
        <v>159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</row>
    <row r="958" spans="1:22" s="59" customFormat="1" x14ac:dyDescent="0.25">
      <c r="A958" s="61" t="s">
        <v>177</v>
      </c>
      <c r="B958" s="61">
        <v>1999</v>
      </c>
      <c r="C958" s="64">
        <v>50.821806318562899</v>
      </c>
      <c r="D958" s="64">
        <v>4.7452907255159902</v>
      </c>
      <c r="E958" s="59" t="s">
        <v>159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</row>
    <row r="959" spans="1:22" s="59" customFormat="1" x14ac:dyDescent="0.25">
      <c r="A959" s="61" t="s">
        <v>177</v>
      </c>
      <c r="B959" s="61">
        <v>2000</v>
      </c>
      <c r="C959" s="64">
        <v>48.440095642612697</v>
      </c>
      <c r="D959" s="64">
        <v>5.0528062821995299</v>
      </c>
      <c r="E959" s="59" t="s">
        <v>159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</row>
    <row r="960" spans="1:22" s="59" customFormat="1" x14ac:dyDescent="0.25">
      <c r="A960" s="61" t="s">
        <v>177</v>
      </c>
      <c r="B960" s="61">
        <v>2001</v>
      </c>
      <c r="C960" s="64">
        <v>45.090630224570198</v>
      </c>
      <c r="D960" s="64">
        <v>3.64500096912337</v>
      </c>
      <c r="E960" s="59" t="s">
        <v>159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</row>
    <row r="961" spans="1:22" s="59" customFormat="1" x14ac:dyDescent="0.25">
      <c r="A961" s="61" t="s">
        <v>177</v>
      </c>
      <c r="B961" s="61">
        <v>2002</v>
      </c>
      <c r="C961" s="64">
        <v>42.780915132349399</v>
      </c>
      <c r="D961" s="64">
        <v>2.70385660350729</v>
      </c>
      <c r="E961" s="59" t="s">
        <v>159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</row>
    <row r="962" spans="1:22" s="59" customFormat="1" x14ac:dyDescent="0.25">
      <c r="A962" s="61" t="s">
        <v>177</v>
      </c>
      <c r="B962" s="61">
        <v>2003</v>
      </c>
      <c r="C962" s="64">
        <v>39.484423236334301</v>
      </c>
      <c r="D962" s="64">
        <v>3.0976765278813301</v>
      </c>
      <c r="E962" s="59" t="s">
        <v>159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</row>
    <row r="963" spans="1:22" s="59" customFormat="1" x14ac:dyDescent="0.25">
      <c r="A963" s="61" t="s">
        <v>177</v>
      </c>
      <c r="B963" s="61">
        <v>2004</v>
      </c>
      <c r="C963" s="64">
        <v>37.947450900192898</v>
      </c>
      <c r="D963" s="64">
        <v>3.2665254865631699</v>
      </c>
      <c r="E963" s="59" t="s">
        <v>159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</row>
    <row r="964" spans="1:22" s="59" customFormat="1" x14ac:dyDescent="0.25">
      <c r="A964" s="61" t="s">
        <v>177</v>
      </c>
      <c r="B964" s="61">
        <v>2005</v>
      </c>
      <c r="C964" s="64">
        <v>35.119367247951097</v>
      </c>
      <c r="D964" s="64">
        <v>3.6154531256050499</v>
      </c>
      <c r="E964" s="59" t="s">
        <v>159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</row>
    <row r="965" spans="1:22" s="59" customFormat="1" x14ac:dyDescent="0.25">
      <c r="A965" s="61" t="s">
        <v>177</v>
      </c>
      <c r="B965" s="61">
        <v>2006</v>
      </c>
      <c r="C965" s="64">
        <v>31.744598103799301</v>
      </c>
      <c r="D965" s="64">
        <v>4.0173343797493599</v>
      </c>
      <c r="E965" s="59" t="s">
        <v>159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</row>
    <row r="966" spans="1:22" s="59" customFormat="1" x14ac:dyDescent="0.25">
      <c r="A966" s="61" t="s">
        <v>177</v>
      </c>
      <c r="B966" s="61">
        <v>2007</v>
      </c>
      <c r="C966" s="64">
        <v>29.178231835323398</v>
      </c>
      <c r="D966" s="64">
        <v>3.56531749679263</v>
      </c>
      <c r="E966" s="59" t="s">
        <v>158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</row>
    <row r="967" spans="1:22" s="59" customFormat="1" x14ac:dyDescent="0.25">
      <c r="A967" s="61" t="s">
        <v>177</v>
      </c>
      <c r="B967" s="61">
        <v>2008</v>
      </c>
      <c r="C967" s="64">
        <v>32.928341754708299</v>
      </c>
      <c r="D967" s="64">
        <v>0.85572999405902905</v>
      </c>
      <c r="E967" s="59" t="s">
        <v>159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</row>
    <row r="968" spans="1:22" s="59" customFormat="1" x14ac:dyDescent="0.25">
      <c r="A968" s="61" t="s">
        <v>177</v>
      </c>
      <c r="B968" s="61">
        <v>2009</v>
      </c>
      <c r="C968" s="64">
        <v>42.542680365122401</v>
      </c>
      <c r="D968" s="64">
        <v>-3.7672327428922801</v>
      </c>
      <c r="E968" s="59" t="s">
        <v>159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</row>
    <row r="969" spans="1:22" s="59" customFormat="1" x14ac:dyDescent="0.25">
      <c r="A969" s="61" t="s">
        <v>178</v>
      </c>
      <c r="B969" s="61">
        <v>1946</v>
      </c>
      <c r="C969" s="64">
        <v>47.243371492153102</v>
      </c>
      <c r="D969" s="64">
        <v>11.3994033107838</v>
      </c>
      <c r="E969" s="59" t="s">
        <v>159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</row>
    <row r="970" spans="1:22" s="59" customFormat="1" x14ac:dyDescent="0.25">
      <c r="A970" s="61" t="s">
        <v>178</v>
      </c>
      <c r="B970" s="61">
        <v>1947</v>
      </c>
      <c r="C970" s="64">
        <v>42.214742722963003</v>
      </c>
      <c r="D970" s="64">
        <v>7.9366447629307402</v>
      </c>
      <c r="E970" s="59" t="s">
        <v>159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</row>
    <row r="971" spans="1:22" s="59" customFormat="1" x14ac:dyDescent="0.25">
      <c r="A971" s="61" t="s">
        <v>178</v>
      </c>
      <c r="B971" s="61">
        <v>1948</v>
      </c>
      <c r="C971" s="64">
        <v>39.839170017349097</v>
      </c>
      <c r="D971" s="64">
        <v>2.31577956591134</v>
      </c>
      <c r="E971" s="59" t="s">
        <v>159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</row>
    <row r="972" spans="1:22" s="59" customFormat="1" x14ac:dyDescent="0.25">
      <c r="A972" s="61" t="s">
        <v>178</v>
      </c>
      <c r="B972" s="61">
        <v>1949</v>
      </c>
      <c r="C972" s="64">
        <v>39.262870901927997</v>
      </c>
      <c r="D972" s="64">
        <v>2.9491260000628698</v>
      </c>
      <c r="E972" s="59" t="s">
        <v>159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</row>
    <row r="973" spans="1:22" s="59" customFormat="1" x14ac:dyDescent="0.25">
      <c r="A973" s="61" t="s">
        <v>178</v>
      </c>
      <c r="B973" s="61">
        <v>1950</v>
      </c>
      <c r="C973" s="64">
        <v>38.869830973616899</v>
      </c>
      <c r="D973" s="64">
        <v>6.0078469025313304</v>
      </c>
      <c r="E973" s="59" t="s">
        <v>159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</row>
    <row r="974" spans="1:22" s="59" customFormat="1" x14ac:dyDescent="0.25">
      <c r="A974" s="61" t="s">
        <v>178</v>
      </c>
      <c r="B974" s="61">
        <v>1951</v>
      </c>
      <c r="C974" s="64">
        <v>32.387038112797697</v>
      </c>
      <c r="D974" s="64">
        <v>2.9771284842307102</v>
      </c>
      <c r="E974" s="59" t="s">
        <v>159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</row>
    <row r="975" spans="1:22" s="59" customFormat="1" x14ac:dyDescent="0.25">
      <c r="A975" s="61" t="s">
        <v>178</v>
      </c>
      <c r="B975" s="61">
        <v>1952</v>
      </c>
      <c r="C975" s="64">
        <v>29.4492458119975</v>
      </c>
      <c r="D975" s="64">
        <v>0.56360978736174105</v>
      </c>
      <c r="E975" s="59" t="s">
        <v>158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</row>
    <row r="976" spans="1:22" s="59" customFormat="1" x14ac:dyDescent="0.25">
      <c r="A976" s="61" t="s">
        <v>178</v>
      </c>
      <c r="B976" s="61">
        <v>1953</v>
      </c>
      <c r="C976" s="64">
        <v>31.172221347075599</v>
      </c>
      <c r="D976" s="64">
        <v>4.0344231004395503</v>
      </c>
      <c r="E976" s="59" t="s">
        <v>159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</row>
    <row r="977" spans="1:22" s="59" customFormat="1" x14ac:dyDescent="0.25">
      <c r="A977" s="61" t="s">
        <v>178</v>
      </c>
      <c r="B977" s="61">
        <v>1954</v>
      </c>
      <c r="C977" s="64">
        <v>31.851350493876801</v>
      </c>
      <c r="D977" s="64">
        <v>5.2782633630408702</v>
      </c>
      <c r="E977" s="59" t="s">
        <v>159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</row>
    <row r="978" spans="1:22" s="59" customFormat="1" x14ac:dyDescent="0.25">
      <c r="A978" s="61" t="s">
        <v>178</v>
      </c>
      <c r="B978" s="61">
        <v>1955</v>
      </c>
      <c r="C978" s="64">
        <v>31.6386959686781</v>
      </c>
      <c r="D978" s="64">
        <v>2.8107866050271801</v>
      </c>
      <c r="E978" s="59" t="s">
        <v>159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</row>
    <row r="979" spans="1:22" s="59" customFormat="1" x14ac:dyDescent="0.25">
      <c r="A979" s="61" t="s">
        <v>178</v>
      </c>
      <c r="B979" s="61">
        <v>1956</v>
      </c>
      <c r="C979" s="64">
        <v>30.712695280679199</v>
      </c>
      <c r="D979" s="64">
        <v>3.4941008799367799</v>
      </c>
      <c r="E979" s="59" t="s">
        <v>159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</row>
    <row r="980" spans="1:22" s="59" customFormat="1" x14ac:dyDescent="0.25">
      <c r="A980" s="61" t="s">
        <v>178</v>
      </c>
      <c r="B980" s="61">
        <v>1957</v>
      </c>
      <c r="C980" s="64">
        <v>32.384715838746303</v>
      </c>
      <c r="D980" s="64">
        <v>3.08230437820629</v>
      </c>
      <c r="E980" s="59" t="s">
        <v>159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</row>
    <row r="981" spans="1:22" s="59" customFormat="1" x14ac:dyDescent="0.25">
      <c r="A981" s="61" t="s">
        <v>178</v>
      </c>
      <c r="B981" s="61">
        <v>1958</v>
      </c>
      <c r="C981" s="64">
        <v>31.879426359825899</v>
      </c>
      <c r="D981" s="64">
        <v>3.6392377736958599</v>
      </c>
      <c r="E981" s="59" t="s">
        <v>159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</row>
    <row r="982" spans="1:22" s="59" customFormat="1" x14ac:dyDescent="0.25">
      <c r="A982" s="61" t="s">
        <v>178</v>
      </c>
      <c r="B982" s="61">
        <v>1959</v>
      </c>
      <c r="C982" s="64">
        <v>32.8658766699374</v>
      </c>
      <c r="D982" s="64">
        <v>4.7004653545521098</v>
      </c>
      <c r="E982" s="59" t="s">
        <v>159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</row>
    <row r="983" spans="1:22" s="59" customFormat="1" x14ac:dyDescent="0.25">
      <c r="A983" s="61" t="s">
        <v>178</v>
      </c>
      <c r="B983" s="61">
        <v>1960</v>
      </c>
      <c r="C983" s="64">
        <v>31.5544407644018</v>
      </c>
      <c r="D983" s="64">
        <v>5.6229558910258604</v>
      </c>
      <c r="E983" s="59" t="s">
        <v>159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</row>
    <row r="984" spans="1:22" s="59" customFormat="1" x14ac:dyDescent="0.25">
      <c r="A984" s="61" t="s">
        <v>178</v>
      </c>
      <c r="B984" s="61">
        <v>1961</v>
      </c>
      <c r="C984" s="64">
        <v>28.5423193499911</v>
      </c>
      <c r="D984" s="64">
        <v>5.0915188960289202</v>
      </c>
      <c r="E984" s="59" t="s">
        <v>158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</row>
    <row r="985" spans="1:22" s="59" customFormat="1" x14ac:dyDescent="0.25">
      <c r="A985" s="61" t="s">
        <v>178</v>
      </c>
      <c r="B985" s="61">
        <v>1962</v>
      </c>
      <c r="C985" s="64">
        <v>25.030517864688498</v>
      </c>
      <c r="D985" s="64">
        <v>6.0475553376963598</v>
      </c>
      <c r="E985" s="59" t="s">
        <v>158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</row>
    <row r="986" spans="1:22" s="59" customFormat="1" x14ac:dyDescent="0.25">
      <c r="A986" s="61" t="s">
        <v>178</v>
      </c>
      <c r="B986" s="61">
        <v>1963</v>
      </c>
      <c r="C986" s="64">
        <v>23.644335051149898</v>
      </c>
      <c r="D986" s="64">
        <v>5.2707268027036598</v>
      </c>
      <c r="E986" s="59" t="s">
        <v>158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</row>
    <row r="987" spans="1:22" s="59" customFormat="1" x14ac:dyDescent="0.25">
      <c r="A987" s="61" t="s">
        <v>178</v>
      </c>
      <c r="B987" s="61">
        <v>1964</v>
      </c>
      <c r="C987" s="64">
        <v>21.4456003467707</v>
      </c>
      <c r="D987" s="64">
        <v>8.0303933007580994</v>
      </c>
      <c r="E987" s="59" t="s">
        <v>158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</row>
    <row r="988" spans="1:22" s="59" customFormat="1" x14ac:dyDescent="0.25">
      <c r="A988" s="61" t="s">
        <v>178</v>
      </c>
      <c r="B988" s="61">
        <v>1965</v>
      </c>
      <c r="C988" s="64">
        <v>19.264937670153301</v>
      </c>
      <c r="D988" s="64">
        <v>5.10999792918276</v>
      </c>
      <c r="E988" s="59" t="s">
        <v>158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</row>
    <row r="989" spans="1:22" s="59" customFormat="1" x14ac:dyDescent="0.25">
      <c r="A989" s="61" t="s">
        <v>178</v>
      </c>
      <c r="B989" s="61">
        <v>1966</v>
      </c>
      <c r="C989" s="64">
        <v>19.081213975019899</v>
      </c>
      <c r="D989" s="64">
        <v>4.3749374454756103</v>
      </c>
      <c r="E989" s="59" t="s">
        <v>158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</row>
    <row r="990" spans="1:22" s="59" customFormat="1" x14ac:dyDescent="0.25">
      <c r="A990" s="61" t="s">
        <v>178</v>
      </c>
      <c r="B990" s="61">
        <v>1967</v>
      </c>
      <c r="C990" s="64">
        <v>19.5190283646056</v>
      </c>
      <c r="D990" s="64">
        <v>3.2085376117403399</v>
      </c>
      <c r="E990" s="59" t="s">
        <v>158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</row>
    <row r="991" spans="1:22" s="59" customFormat="1" x14ac:dyDescent="0.25">
      <c r="A991" s="61" t="s">
        <v>178</v>
      </c>
      <c r="B991" s="61">
        <v>1968</v>
      </c>
      <c r="C991" s="64">
        <v>21.007827229617799</v>
      </c>
      <c r="D991" s="64">
        <v>4.4058384111220104</v>
      </c>
      <c r="E991" s="59" t="s">
        <v>158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</row>
    <row r="992" spans="1:22" s="59" customFormat="1" x14ac:dyDescent="0.25">
      <c r="A992" s="61" t="s">
        <v>178</v>
      </c>
      <c r="B992" s="61">
        <v>1969</v>
      </c>
      <c r="C992" s="64">
        <v>26.256351600965001</v>
      </c>
      <c r="D992" s="64">
        <v>5.6192938965014898</v>
      </c>
      <c r="E992" s="59" t="s">
        <v>158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</row>
    <row r="993" spans="1:22" s="59" customFormat="1" x14ac:dyDescent="0.25">
      <c r="A993" s="61" t="s">
        <v>178</v>
      </c>
      <c r="B993" s="61">
        <v>1970</v>
      </c>
      <c r="C993" s="64">
        <v>20.9927653199865</v>
      </c>
      <c r="D993" s="64">
        <v>5.5901037335187098</v>
      </c>
      <c r="E993" s="59" t="s">
        <v>158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</row>
    <row r="994" spans="1:22" s="59" customFormat="1" x14ac:dyDescent="0.25">
      <c r="A994" s="61" t="s">
        <v>178</v>
      </c>
      <c r="B994" s="61">
        <v>1971</v>
      </c>
      <c r="C994" s="64">
        <v>20.8286120881776</v>
      </c>
      <c r="D994" s="64">
        <v>0.301218113903712</v>
      </c>
      <c r="E994" s="59" t="s">
        <v>158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</row>
    <row r="995" spans="1:22" s="59" customFormat="1" x14ac:dyDescent="0.25">
      <c r="A995" s="61" t="s">
        <v>178</v>
      </c>
      <c r="B995" s="61">
        <v>1972</v>
      </c>
      <c r="C995" s="64">
        <v>22.1517682741291</v>
      </c>
      <c r="D995" s="64">
        <v>3.3021638705464702</v>
      </c>
      <c r="E995" s="59" t="s">
        <v>158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</row>
    <row r="996" spans="1:22" s="59" customFormat="1" x14ac:dyDescent="0.25">
      <c r="A996" s="61" t="s">
        <v>178</v>
      </c>
      <c r="B996" s="61">
        <v>1973</v>
      </c>
      <c r="C996" s="64">
        <v>22.618900610379999</v>
      </c>
      <c r="D996" s="64">
        <v>3.9506838172381098</v>
      </c>
      <c r="E996" s="59" t="s">
        <v>158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</row>
    <row r="997" spans="1:22" s="59" customFormat="1" x14ac:dyDescent="0.25">
      <c r="A997" s="61" t="s">
        <v>178</v>
      </c>
      <c r="B997" s="61">
        <v>1974</v>
      </c>
      <c r="C997" s="64">
        <v>24.212207225321801</v>
      </c>
      <c r="D997" s="64">
        <v>2.23094606806464</v>
      </c>
      <c r="E997" s="59" t="s">
        <v>158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</row>
    <row r="998" spans="1:22" s="59" customFormat="1" x14ac:dyDescent="0.25">
      <c r="A998" s="61" t="s">
        <v>178</v>
      </c>
      <c r="B998" s="61">
        <v>1975</v>
      </c>
      <c r="C998" s="64">
        <v>24.425087687218401</v>
      </c>
      <c r="D998" s="64">
        <v>2.0890713247135402</v>
      </c>
      <c r="E998" s="59" t="s">
        <v>158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</row>
    <row r="999" spans="1:22" s="59" customFormat="1" x14ac:dyDescent="0.25">
      <c r="A999" s="61" t="s">
        <v>178</v>
      </c>
      <c r="B999" s="61">
        <v>1976</v>
      </c>
      <c r="C999" s="64">
        <v>23.636598794228</v>
      </c>
      <c r="D999" s="64">
        <v>0.44740370078000202</v>
      </c>
      <c r="E999" s="59" t="s">
        <v>158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</row>
    <row r="1000" spans="1:22" s="59" customFormat="1" x14ac:dyDescent="0.25">
      <c r="A1000" s="61" t="s">
        <v>178</v>
      </c>
      <c r="B1000" s="61">
        <v>1977</v>
      </c>
      <c r="C1000" s="64">
        <v>26.480206261350901</v>
      </c>
      <c r="D1000" s="64">
        <v>-1.4210690044923899</v>
      </c>
      <c r="E1000" s="59" t="s">
        <v>158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</row>
    <row r="1001" spans="1:22" s="59" customFormat="1" x14ac:dyDescent="0.25">
      <c r="A1001" s="61" t="s">
        <v>178</v>
      </c>
      <c r="B1001" s="61">
        <v>1978</v>
      </c>
      <c r="C1001" s="64">
        <v>31.8038550127288</v>
      </c>
      <c r="D1001" s="64">
        <v>2.21634933001982</v>
      </c>
      <c r="E1001" s="59" t="s">
        <v>159</v>
      </c>
      <c r="G1001" s="61"/>
      <c r="H1001" s="61"/>
      <c r="I1001" s="61"/>
      <c r="J1001" s="61"/>
      <c r="K1001" s="61"/>
      <c r="L1001" s="61"/>
      <c r="M1001" s="61"/>
      <c r="N1001" s="61"/>
      <c r="O1001" s="61"/>
      <c r="P1001" s="61"/>
      <c r="Q1001" s="61"/>
      <c r="R1001" s="61"/>
      <c r="S1001" s="61"/>
      <c r="T1001" s="61"/>
      <c r="U1001" s="61"/>
      <c r="V1001" s="61"/>
    </row>
    <row r="1002" spans="1:22" s="59" customFormat="1" x14ac:dyDescent="0.25">
      <c r="A1002" s="61" t="s">
        <v>178</v>
      </c>
      <c r="B1002" s="61">
        <v>1979</v>
      </c>
      <c r="C1002" s="64">
        <v>37.884998496670001</v>
      </c>
      <c r="D1002" s="64">
        <v>3.9561894488423501</v>
      </c>
      <c r="E1002" s="59" t="s">
        <v>159</v>
      </c>
      <c r="G1002" s="61"/>
      <c r="H1002" s="61"/>
      <c r="I1002" s="61"/>
      <c r="J1002" s="61"/>
      <c r="K1002" s="61"/>
      <c r="L1002" s="61"/>
      <c r="M1002" s="61"/>
      <c r="N1002" s="61"/>
      <c r="O1002" s="61"/>
      <c r="P1002" s="61"/>
      <c r="Q1002" s="61"/>
      <c r="R1002" s="61"/>
      <c r="S1002" s="61"/>
      <c r="T1002" s="61"/>
      <c r="U1002" s="61"/>
      <c r="V1002" s="61"/>
    </row>
    <row r="1003" spans="1:22" s="59" customFormat="1" x14ac:dyDescent="0.25">
      <c r="A1003" s="61" t="s">
        <v>178</v>
      </c>
      <c r="B1003" s="61">
        <v>1980</v>
      </c>
      <c r="C1003" s="64">
        <v>41.851248949562603</v>
      </c>
      <c r="D1003" s="64">
        <v>2.5989449667655999</v>
      </c>
      <c r="E1003" s="59" t="s">
        <v>159</v>
      </c>
      <c r="G1003" s="61"/>
      <c r="H1003" s="61"/>
      <c r="I1003" s="61"/>
      <c r="J1003" s="61"/>
      <c r="K1003" s="61"/>
      <c r="L1003" s="61"/>
      <c r="M1003" s="61"/>
      <c r="N1003" s="61"/>
      <c r="O1003" s="61"/>
      <c r="P1003" s="61"/>
      <c r="Q1003" s="61"/>
      <c r="R1003" s="61"/>
      <c r="S1003" s="61"/>
      <c r="T1003" s="61"/>
      <c r="U1003" s="61"/>
      <c r="V1003" s="61"/>
    </row>
    <row r="1004" spans="1:22" s="59" customFormat="1" x14ac:dyDescent="0.25">
      <c r="A1004" s="61" t="s">
        <v>178</v>
      </c>
      <c r="B1004" s="61">
        <v>1981</v>
      </c>
      <c r="C1004" s="64">
        <v>49.312175314384099</v>
      </c>
      <c r="D1004" s="64">
        <v>-0.20224195810596399</v>
      </c>
      <c r="E1004" s="59" t="s">
        <v>159</v>
      </c>
      <c r="G1004" s="61"/>
      <c r="H1004" s="61"/>
      <c r="I1004" s="61"/>
      <c r="J1004" s="61"/>
      <c r="K1004" s="61"/>
      <c r="L1004" s="61"/>
      <c r="M1004" s="61"/>
      <c r="N1004" s="61"/>
      <c r="O1004" s="61"/>
      <c r="P1004" s="61"/>
      <c r="Q1004" s="61"/>
      <c r="R1004" s="61"/>
      <c r="S1004" s="61"/>
      <c r="T1004" s="61"/>
      <c r="U1004" s="61"/>
      <c r="V1004" s="61"/>
    </row>
    <row r="1005" spans="1:22" s="59" customFormat="1" x14ac:dyDescent="0.25">
      <c r="A1005" s="61" t="s">
        <v>178</v>
      </c>
      <c r="B1005" s="61">
        <v>1982</v>
      </c>
      <c r="C1005" s="64">
        <v>57.4758071768359</v>
      </c>
      <c r="D1005" s="64">
        <v>1.19311671732401</v>
      </c>
      <c r="E1005" s="59" t="s">
        <v>159</v>
      </c>
      <c r="G1005" s="61"/>
      <c r="H1005" s="61"/>
      <c r="I1005" s="61"/>
      <c r="J1005" s="61"/>
      <c r="K1005" s="61"/>
      <c r="L1005" s="61"/>
      <c r="M1005" s="61"/>
      <c r="N1005" s="61"/>
      <c r="O1005" s="61"/>
      <c r="P1005" s="61"/>
      <c r="Q1005" s="61"/>
      <c r="R1005" s="61"/>
      <c r="S1005" s="61"/>
      <c r="T1005" s="61"/>
      <c r="U1005" s="61"/>
      <c r="V1005" s="61"/>
    </row>
    <row r="1006" spans="1:22" s="59" customFormat="1" x14ac:dyDescent="0.25">
      <c r="A1006" s="61" t="s">
        <v>178</v>
      </c>
      <c r="B1006" s="61">
        <v>1983</v>
      </c>
      <c r="C1006" s="64">
        <v>62.506078164516602</v>
      </c>
      <c r="D1006" s="64">
        <v>1.8097593451918099</v>
      </c>
      <c r="E1006" s="59" t="s">
        <v>156</v>
      </c>
      <c r="G1006" s="61"/>
      <c r="H1006" s="61"/>
      <c r="I1006" s="61"/>
      <c r="J1006" s="61"/>
      <c r="K1006" s="61"/>
      <c r="L1006" s="61"/>
      <c r="M1006" s="61"/>
      <c r="N1006" s="61"/>
      <c r="O1006" s="61"/>
      <c r="P1006" s="61"/>
      <c r="Q1006" s="61"/>
      <c r="R1006" s="61"/>
      <c r="S1006" s="61"/>
      <c r="T1006" s="61"/>
      <c r="U1006" s="61"/>
      <c r="V1006" s="61"/>
    </row>
    <row r="1007" spans="1:22" s="59" customFormat="1" x14ac:dyDescent="0.25">
      <c r="A1007" s="61" t="s">
        <v>178</v>
      </c>
      <c r="B1007" s="61">
        <v>1984</v>
      </c>
      <c r="C1007" s="64">
        <v>64.715124752456106</v>
      </c>
      <c r="D1007" s="64">
        <v>4.2712937925111696</v>
      </c>
      <c r="E1007" s="59" t="s">
        <v>156</v>
      </c>
      <c r="G1007" s="61"/>
      <c r="H1007" s="61"/>
      <c r="I1007" s="61"/>
      <c r="J1007" s="61"/>
      <c r="K1007" s="61"/>
      <c r="L1007" s="61"/>
      <c r="M1007" s="61"/>
      <c r="N1007" s="61"/>
      <c r="O1007" s="61"/>
      <c r="P1007" s="61"/>
      <c r="Q1007" s="61"/>
      <c r="R1007" s="61"/>
      <c r="S1007" s="61"/>
      <c r="T1007" s="61"/>
      <c r="U1007" s="61"/>
      <c r="V1007" s="61"/>
    </row>
    <row r="1008" spans="1:22" s="59" customFormat="1" x14ac:dyDescent="0.25">
      <c r="A1008" s="61" t="s">
        <v>178</v>
      </c>
      <c r="B1008" s="61">
        <v>1985</v>
      </c>
      <c r="C1008" s="64">
        <v>66.206429757467006</v>
      </c>
      <c r="D1008" s="64">
        <v>2.1896632576639901</v>
      </c>
      <c r="E1008" s="59" t="s">
        <v>156</v>
      </c>
      <c r="G1008" s="61"/>
      <c r="H1008" s="61"/>
      <c r="I1008" s="61"/>
      <c r="J1008" s="61"/>
      <c r="K1008" s="61"/>
      <c r="L1008" s="61"/>
      <c r="M1008" s="61"/>
      <c r="N1008" s="61"/>
      <c r="O1008" s="61"/>
      <c r="P1008" s="61"/>
      <c r="Q1008" s="61"/>
      <c r="R1008" s="61"/>
      <c r="S1008" s="61"/>
      <c r="T1008" s="61"/>
      <c r="U1008" s="61"/>
      <c r="V1008" s="61"/>
    </row>
    <row r="1009" spans="1:22" s="59" customFormat="1" x14ac:dyDescent="0.25">
      <c r="A1009" s="61" t="s">
        <v>178</v>
      </c>
      <c r="B1009" s="61">
        <v>1986</v>
      </c>
      <c r="C1009" s="64">
        <v>64.021890601798702</v>
      </c>
      <c r="D1009" s="64">
        <v>2.8610674774038198</v>
      </c>
      <c r="E1009" s="59" t="s">
        <v>156</v>
      </c>
      <c r="G1009" s="61"/>
      <c r="H1009" s="61"/>
      <c r="I1009" s="61"/>
      <c r="J1009" s="61"/>
      <c r="K1009" s="61"/>
      <c r="L1009" s="61"/>
      <c r="M1009" s="61"/>
      <c r="N1009" s="61"/>
      <c r="O1009" s="61"/>
      <c r="P1009" s="61"/>
      <c r="Q1009" s="61"/>
      <c r="R1009" s="61"/>
      <c r="S1009" s="61"/>
      <c r="T1009" s="61"/>
      <c r="U1009" s="61"/>
      <c r="V1009" s="61"/>
    </row>
    <row r="1010" spans="1:22" s="59" customFormat="1" x14ac:dyDescent="0.25">
      <c r="A1010" s="61" t="s">
        <v>178</v>
      </c>
      <c r="B1010" s="61">
        <v>1987</v>
      </c>
      <c r="C1010" s="64">
        <v>58.2613499115227</v>
      </c>
      <c r="D1010" s="64">
        <v>3.4571354855971599</v>
      </c>
      <c r="E1010" s="59" t="s">
        <v>159</v>
      </c>
      <c r="G1010" s="61"/>
      <c r="H1010" s="61"/>
      <c r="I1010" s="61"/>
      <c r="J1010" s="61"/>
      <c r="K1010" s="61"/>
      <c r="L1010" s="61"/>
      <c r="M1010" s="61"/>
      <c r="N1010" s="61"/>
      <c r="O1010" s="61"/>
      <c r="P1010" s="61"/>
      <c r="Q1010" s="61"/>
      <c r="R1010" s="61"/>
      <c r="S1010" s="61"/>
      <c r="T1010" s="61"/>
      <c r="U1010" s="61"/>
      <c r="V1010" s="61"/>
    </row>
    <row r="1011" spans="1:22" s="59" customFormat="1" x14ac:dyDescent="0.25">
      <c r="A1011" s="61" t="s">
        <v>178</v>
      </c>
      <c r="B1011" s="61">
        <v>1988</v>
      </c>
      <c r="C1011" s="64">
        <v>52.333802381851299</v>
      </c>
      <c r="D1011" s="64">
        <v>2.6664311386509501</v>
      </c>
      <c r="E1011" s="59" t="s">
        <v>159</v>
      </c>
      <c r="G1011" s="61"/>
      <c r="H1011" s="61"/>
      <c r="I1011" s="61"/>
      <c r="J1011" s="61"/>
      <c r="K1011" s="61"/>
      <c r="L1011" s="61"/>
      <c r="M1011" s="61"/>
      <c r="N1011" s="61"/>
      <c r="O1011" s="61"/>
      <c r="P1011" s="61"/>
      <c r="Q1011" s="61"/>
      <c r="R1011" s="61"/>
      <c r="S1011" s="61"/>
      <c r="T1011" s="61"/>
      <c r="U1011" s="61"/>
      <c r="V1011" s="61"/>
    </row>
    <row r="1012" spans="1:22" s="59" customFormat="1" x14ac:dyDescent="0.25">
      <c r="A1012" s="61" t="s">
        <v>178</v>
      </c>
      <c r="B1012" s="61">
        <v>1989</v>
      </c>
      <c r="C1012" s="64">
        <v>46.396582386143997</v>
      </c>
      <c r="D1012" s="64">
        <v>2.77913350141807</v>
      </c>
      <c r="E1012" s="59" t="s">
        <v>159</v>
      </c>
      <c r="G1012" s="61"/>
      <c r="H1012" s="61"/>
      <c r="I1012" s="61"/>
      <c r="J1012" s="61"/>
      <c r="K1012" s="61"/>
      <c r="L1012" s="61"/>
      <c r="M1012" s="61"/>
      <c r="N1012" s="61"/>
      <c r="O1012" s="61"/>
      <c r="P1012" s="61"/>
      <c r="Q1012" s="61"/>
      <c r="R1012" s="61"/>
      <c r="S1012" s="61"/>
      <c r="T1012" s="61"/>
      <c r="U1012" s="61"/>
      <c r="V1012" s="61"/>
    </row>
    <row r="1013" spans="1:22" s="59" customFormat="1" x14ac:dyDescent="0.25">
      <c r="A1013" s="61" t="s">
        <v>178</v>
      </c>
      <c r="B1013" s="61">
        <v>1990</v>
      </c>
      <c r="C1013" s="64">
        <v>43.517749855778</v>
      </c>
      <c r="D1013" s="64">
        <v>1.01028834275949</v>
      </c>
      <c r="E1013" s="59" t="s">
        <v>159</v>
      </c>
      <c r="G1013" s="61"/>
      <c r="H1013" s="61"/>
      <c r="I1013" s="61"/>
      <c r="J1013" s="61"/>
      <c r="K1013" s="61"/>
      <c r="L1013" s="61"/>
      <c r="M1013" s="61"/>
      <c r="N1013" s="61"/>
      <c r="O1013" s="61"/>
      <c r="P1013" s="61"/>
      <c r="Q1013" s="61"/>
      <c r="R1013" s="61"/>
      <c r="S1013" s="61"/>
      <c r="T1013" s="61"/>
      <c r="U1013" s="61"/>
      <c r="V1013" s="61"/>
    </row>
    <row r="1014" spans="1:22" s="59" customFormat="1" x14ac:dyDescent="0.25">
      <c r="A1014" s="61" t="s">
        <v>178</v>
      </c>
      <c r="B1014" s="61">
        <v>1991</v>
      </c>
      <c r="C1014" s="64">
        <v>45.217782824031502</v>
      </c>
      <c r="D1014" s="64">
        <v>-1.1212866822901899</v>
      </c>
      <c r="E1014" s="59" t="s">
        <v>159</v>
      </c>
      <c r="G1014" s="61"/>
      <c r="H1014" s="61"/>
      <c r="I1014" s="61"/>
      <c r="J1014" s="61"/>
      <c r="K1014" s="61"/>
      <c r="L1014" s="61"/>
      <c r="M1014" s="61"/>
      <c r="N1014" s="61"/>
      <c r="O1014" s="61"/>
      <c r="P1014" s="61"/>
      <c r="Q1014" s="61"/>
      <c r="R1014" s="61"/>
      <c r="S1014" s="61"/>
      <c r="T1014" s="61"/>
      <c r="U1014" s="61"/>
      <c r="V1014" s="61"/>
    </row>
    <row r="1015" spans="1:22" s="59" customFormat="1" x14ac:dyDescent="0.25">
      <c r="A1015" s="61" t="s">
        <v>178</v>
      </c>
      <c r="B1015" s="61">
        <v>1992</v>
      </c>
      <c r="C1015" s="64">
        <v>57.592096143535301</v>
      </c>
      <c r="D1015" s="64">
        <v>-1.20351128195971</v>
      </c>
      <c r="E1015" s="59" t="s">
        <v>159</v>
      </c>
      <c r="G1015" s="61"/>
      <c r="H1015" s="61"/>
      <c r="I1015" s="61"/>
      <c r="J1015" s="61"/>
      <c r="K1015" s="61"/>
      <c r="L1015" s="61"/>
      <c r="M1015" s="61"/>
      <c r="N1015" s="61"/>
      <c r="O1015" s="61"/>
      <c r="P1015" s="61"/>
      <c r="Q1015" s="61"/>
      <c r="R1015" s="61"/>
      <c r="S1015" s="61"/>
      <c r="T1015" s="61"/>
      <c r="U1015" s="61"/>
      <c r="V1015" s="61"/>
    </row>
    <row r="1016" spans="1:22" s="59" customFormat="1" x14ac:dyDescent="0.25">
      <c r="A1016" s="61" t="s">
        <v>178</v>
      </c>
      <c r="B1016" s="61">
        <v>1993</v>
      </c>
      <c r="C1016" s="64">
        <v>71.9640519137144</v>
      </c>
      <c r="D1016" s="64">
        <v>-2.0577861113298002</v>
      </c>
      <c r="E1016" s="59" t="s">
        <v>156</v>
      </c>
      <c r="G1016" s="61"/>
      <c r="H1016" s="61"/>
      <c r="I1016" s="61"/>
      <c r="J1016" s="61"/>
      <c r="K1016" s="61"/>
      <c r="L1016" s="61"/>
      <c r="M1016" s="61"/>
      <c r="N1016" s="61"/>
      <c r="O1016" s="61"/>
      <c r="P1016" s="61"/>
      <c r="Q1016" s="61"/>
      <c r="R1016" s="61"/>
      <c r="S1016" s="61"/>
      <c r="T1016" s="61"/>
      <c r="U1016" s="61"/>
      <c r="V1016" s="61"/>
    </row>
    <row r="1017" spans="1:22" s="59" customFormat="1" x14ac:dyDescent="0.25">
      <c r="A1017" s="61" t="s">
        <v>178</v>
      </c>
      <c r="B1017" s="61">
        <v>1994</v>
      </c>
      <c r="C1017" s="64">
        <v>76.620493336033107</v>
      </c>
      <c r="D1017" s="64">
        <v>3.9468574695596499</v>
      </c>
      <c r="E1017" s="59" t="s">
        <v>156</v>
      </c>
      <c r="G1017" s="61"/>
      <c r="H1017" s="61"/>
      <c r="I1017" s="61"/>
      <c r="J1017" s="61"/>
      <c r="K1017" s="61"/>
      <c r="L1017" s="61"/>
      <c r="M1017" s="61"/>
      <c r="N1017" s="61"/>
      <c r="O1017" s="61"/>
      <c r="P1017" s="61"/>
      <c r="Q1017" s="61"/>
      <c r="R1017" s="61"/>
      <c r="S1017" s="61"/>
      <c r="T1017" s="61"/>
      <c r="U1017" s="61"/>
      <c r="V1017" s="61"/>
    </row>
    <row r="1018" spans="1:22" s="59" customFormat="1" x14ac:dyDescent="0.25">
      <c r="A1018" s="61" t="s">
        <v>178</v>
      </c>
      <c r="B1018" s="61">
        <v>1995</v>
      </c>
      <c r="C1018" s="64">
        <v>76.5938577490938</v>
      </c>
      <c r="D1018" s="64">
        <v>3.9730566020473899</v>
      </c>
      <c r="E1018" s="59" t="s">
        <v>156</v>
      </c>
      <c r="G1018" s="61"/>
      <c r="H1018" s="61"/>
      <c r="I1018" s="61"/>
      <c r="J1018" s="61"/>
      <c r="K1018" s="61"/>
      <c r="L1018" s="61"/>
      <c r="M1018" s="61"/>
      <c r="N1018" s="61"/>
      <c r="O1018" s="61"/>
      <c r="P1018" s="61"/>
      <c r="Q1018" s="61"/>
      <c r="R1018" s="61"/>
      <c r="S1018" s="61"/>
      <c r="T1018" s="61"/>
      <c r="U1018" s="61"/>
      <c r="V1018" s="61"/>
    </row>
    <row r="1019" spans="1:22" s="59" customFormat="1" x14ac:dyDescent="0.25">
      <c r="A1019" s="61" t="s">
        <v>178</v>
      </c>
      <c r="B1019" s="61">
        <v>1996</v>
      </c>
      <c r="C1019" s="64">
        <v>76.194623371434403</v>
      </c>
      <c r="D1019" s="64">
        <v>1.46052038207654</v>
      </c>
      <c r="E1019" s="59" t="s">
        <v>156</v>
      </c>
      <c r="G1019" s="61"/>
      <c r="H1019" s="61"/>
      <c r="I1019" s="61"/>
      <c r="J1019" s="61"/>
      <c r="K1019" s="61"/>
      <c r="L1019" s="61"/>
      <c r="M1019" s="61"/>
      <c r="N1019" s="61"/>
      <c r="O1019" s="61"/>
      <c r="P1019" s="61"/>
      <c r="Q1019" s="61"/>
      <c r="R1019" s="61"/>
      <c r="S1019" s="61"/>
      <c r="T1019" s="61"/>
      <c r="U1019" s="61"/>
      <c r="V1019" s="61"/>
    </row>
    <row r="1020" spans="1:22" s="59" customFormat="1" x14ac:dyDescent="0.25">
      <c r="A1020" s="61" t="s">
        <v>178</v>
      </c>
      <c r="B1020" s="61">
        <v>1997</v>
      </c>
      <c r="C1020" s="64">
        <v>74.316346652828202</v>
      </c>
      <c r="D1020" s="64">
        <v>2.4602815703182301</v>
      </c>
      <c r="E1020" s="59" t="s">
        <v>156</v>
      </c>
      <c r="G1020" s="61"/>
      <c r="H1020" s="61"/>
      <c r="I1020" s="61"/>
      <c r="J1020" s="61"/>
      <c r="K1020" s="61"/>
      <c r="L1020" s="61"/>
      <c r="M1020" s="61"/>
      <c r="N1020" s="61"/>
      <c r="O1020" s="61"/>
      <c r="P1020" s="61"/>
      <c r="Q1020" s="61"/>
      <c r="R1020" s="61"/>
      <c r="S1020" s="61"/>
      <c r="T1020" s="61"/>
      <c r="U1020" s="61"/>
      <c r="V1020" s="61"/>
    </row>
    <row r="1021" spans="1:22" s="59" customFormat="1" x14ac:dyDescent="0.25">
      <c r="A1021" s="61" t="s">
        <v>178</v>
      </c>
      <c r="B1021" s="61">
        <v>1998</v>
      </c>
      <c r="C1021" s="64">
        <v>72.007663673096104</v>
      </c>
      <c r="D1021" s="64">
        <v>3.8139455208220601</v>
      </c>
      <c r="E1021" s="59" t="s">
        <v>156</v>
      </c>
      <c r="G1021" s="61"/>
      <c r="H1021" s="61"/>
      <c r="I1021" s="61"/>
      <c r="J1021" s="61"/>
      <c r="K1021" s="61"/>
      <c r="L1021" s="61"/>
      <c r="M1021" s="61"/>
      <c r="N1021" s="61"/>
      <c r="O1021" s="61"/>
      <c r="P1021" s="61"/>
      <c r="Q1021" s="61"/>
      <c r="R1021" s="61"/>
      <c r="S1021" s="61"/>
      <c r="T1021" s="61"/>
      <c r="U1021" s="61"/>
      <c r="V1021" s="61"/>
    </row>
    <row r="1022" spans="1:22" s="59" customFormat="1" x14ac:dyDescent="0.25">
      <c r="A1022" s="61" t="s">
        <v>178</v>
      </c>
      <c r="B1022" s="61">
        <v>1999</v>
      </c>
      <c r="C1022" s="64">
        <v>64.698606854145794</v>
      </c>
      <c r="D1022" s="64">
        <v>4.5954028499961597</v>
      </c>
      <c r="E1022" s="59" t="s">
        <v>156</v>
      </c>
      <c r="G1022" s="61"/>
      <c r="H1022" s="61"/>
      <c r="I1022" s="61"/>
      <c r="J1022" s="61"/>
      <c r="K1022" s="61"/>
      <c r="L1022" s="61"/>
      <c r="M1022" s="61"/>
      <c r="N1022" s="61"/>
      <c r="O1022" s="61"/>
      <c r="P1022" s="61"/>
      <c r="Q1022" s="61"/>
      <c r="R1022" s="61"/>
      <c r="S1022" s="61"/>
      <c r="T1022" s="61"/>
      <c r="U1022" s="61"/>
      <c r="V1022" s="61"/>
    </row>
    <row r="1023" spans="1:22" s="59" customFormat="1" x14ac:dyDescent="0.25">
      <c r="A1023" s="61" t="s">
        <v>178</v>
      </c>
      <c r="B1023" s="61">
        <v>2000</v>
      </c>
      <c r="C1023" s="64">
        <v>56.853808239147703</v>
      </c>
      <c r="D1023" s="64">
        <v>4.3989324335485396</v>
      </c>
      <c r="E1023" s="59" t="s">
        <v>159</v>
      </c>
      <c r="G1023" s="61"/>
      <c r="H1023" s="61"/>
      <c r="I1023" s="61"/>
      <c r="J1023" s="61"/>
      <c r="K1023" s="61"/>
      <c r="L1023" s="61"/>
      <c r="M1023" s="61"/>
      <c r="N1023" s="61"/>
      <c r="O1023" s="61"/>
      <c r="P1023" s="61"/>
      <c r="Q1023" s="61"/>
      <c r="R1023" s="61"/>
      <c r="S1023" s="61"/>
      <c r="T1023" s="61"/>
      <c r="U1023" s="61"/>
      <c r="V1023" s="61"/>
    </row>
    <row r="1024" spans="1:22" s="59" customFormat="1" x14ac:dyDescent="0.25">
      <c r="A1024" s="61" t="s">
        <v>178</v>
      </c>
      <c r="B1024" s="61">
        <v>2001</v>
      </c>
      <c r="C1024" s="64">
        <v>49.730760302298201</v>
      </c>
      <c r="D1024" s="64">
        <v>1.05773944471679</v>
      </c>
      <c r="E1024" s="59" t="s">
        <v>159</v>
      </c>
      <c r="G1024" s="61"/>
      <c r="H1024" s="61"/>
      <c r="I1024" s="61"/>
      <c r="J1024" s="61"/>
      <c r="K1024" s="61"/>
      <c r="L1024" s="61"/>
      <c r="M1024" s="61"/>
      <c r="N1024" s="61"/>
      <c r="O1024" s="61"/>
      <c r="P1024" s="61"/>
      <c r="Q1024" s="61"/>
      <c r="R1024" s="61"/>
      <c r="S1024" s="61"/>
      <c r="T1024" s="61"/>
      <c r="U1024" s="61"/>
      <c r="V1024" s="61"/>
    </row>
    <row r="1025" spans="1:22" s="59" customFormat="1" x14ac:dyDescent="0.25">
      <c r="A1025" s="61" t="s">
        <v>178</v>
      </c>
      <c r="B1025" s="61">
        <v>2002</v>
      </c>
      <c r="C1025" s="64">
        <v>47.932426180207898</v>
      </c>
      <c r="D1025" s="64">
        <v>2.41130871594777</v>
      </c>
      <c r="E1025" s="59" t="s">
        <v>159</v>
      </c>
      <c r="G1025" s="61"/>
      <c r="H1025" s="61"/>
      <c r="I1025" s="61"/>
      <c r="J1025" s="61"/>
      <c r="K1025" s="61"/>
      <c r="L1025" s="61"/>
      <c r="M1025" s="61"/>
      <c r="N1025" s="61"/>
      <c r="O1025" s="61"/>
      <c r="P1025" s="61"/>
      <c r="Q1025" s="61"/>
      <c r="R1025" s="61"/>
      <c r="S1025" s="61"/>
      <c r="T1025" s="61"/>
      <c r="U1025" s="61"/>
      <c r="V1025" s="61"/>
    </row>
    <row r="1026" spans="1:22" s="59" customFormat="1" x14ac:dyDescent="0.25">
      <c r="A1026" s="61" t="s">
        <v>178</v>
      </c>
      <c r="B1026" s="61">
        <v>2003</v>
      </c>
      <c r="C1026" s="64">
        <v>48.853567381667098</v>
      </c>
      <c r="D1026" s="64">
        <v>1.9125969353443799</v>
      </c>
      <c r="E1026" s="59" t="s">
        <v>159</v>
      </c>
      <c r="G1026" s="61"/>
      <c r="H1026" s="61"/>
      <c r="I1026" s="61"/>
      <c r="J1026" s="61"/>
      <c r="K1026" s="61"/>
      <c r="L1026" s="61"/>
      <c r="M1026" s="61"/>
      <c r="N1026" s="61"/>
      <c r="O1026" s="61"/>
      <c r="P1026" s="61"/>
      <c r="Q1026" s="61"/>
      <c r="R1026" s="61"/>
      <c r="S1026" s="61"/>
      <c r="T1026" s="61"/>
      <c r="U1026" s="61"/>
      <c r="V1026" s="61"/>
    </row>
    <row r="1027" spans="1:22" s="59" customFormat="1" x14ac:dyDescent="0.25">
      <c r="A1027" s="61" t="s">
        <v>178</v>
      </c>
      <c r="B1027" s="61">
        <v>2004</v>
      </c>
      <c r="C1027" s="64">
        <v>47.898863220772903</v>
      </c>
      <c r="D1027" s="64">
        <v>4.1270445917684899</v>
      </c>
      <c r="E1027" s="59" t="s">
        <v>159</v>
      </c>
      <c r="G1027" s="61"/>
      <c r="H1027" s="61"/>
      <c r="I1027" s="61"/>
      <c r="J1027" s="61"/>
      <c r="K1027" s="61"/>
      <c r="L1027" s="61"/>
      <c r="M1027" s="61"/>
      <c r="N1027" s="61"/>
      <c r="O1027" s="61"/>
      <c r="P1027" s="61"/>
      <c r="Q1027" s="61"/>
      <c r="R1027" s="61"/>
      <c r="S1027" s="61"/>
      <c r="T1027" s="61"/>
      <c r="U1027" s="61"/>
      <c r="V1027" s="61"/>
    </row>
    <row r="1028" spans="1:22" s="59" customFormat="1" x14ac:dyDescent="0.25">
      <c r="A1028" s="61" t="s">
        <v>178</v>
      </c>
      <c r="B1028" s="61">
        <v>2005</v>
      </c>
      <c r="C1028" s="64">
        <v>47.841563018696903</v>
      </c>
      <c r="D1028" s="64">
        <v>3.29833935766051</v>
      </c>
      <c r="E1028" s="59" t="s">
        <v>159</v>
      </c>
      <c r="G1028" s="61"/>
      <c r="H1028" s="61"/>
      <c r="I1028" s="61"/>
      <c r="J1028" s="61"/>
      <c r="K1028" s="61"/>
      <c r="L1028" s="61"/>
      <c r="M1028" s="61"/>
      <c r="N1028" s="61"/>
      <c r="O1028" s="61"/>
      <c r="P1028" s="61"/>
      <c r="Q1028" s="61"/>
      <c r="R1028" s="61"/>
      <c r="S1028" s="61"/>
      <c r="T1028" s="61"/>
      <c r="U1028" s="61"/>
      <c r="V1028" s="61"/>
    </row>
    <row r="1029" spans="1:22" s="59" customFormat="1" x14ac:dyDescent="0.25">
      <c r="A1029" s="61" t="s">
        <v>178</v>
      </c>
      <c r="B1029" s="61">
        <v>2006</v>
      </c>
      <c r="C1029" s="64">
        <v>43.779694497016301</v>
      </c>
      <c r="D1029" s="64">
        <v>4.2464595860607801</v>
      </c>
      <c r="E1029" s="59" t="s">
        <v>159</v>
      </c>
      <c r="G1029" s="61"/>
      <c r="H1029" s="61"/>
      <c r="I1029" s="61"/>
      <c r="J1029" s="61"/>
      <c r="K1029" s="61"/>
      <c r="L1029" s="61"/>
      <c r="M1029" s="61"/>
      <c r="N1029" s="61"/>
      <c r="O1029" s="61"/>
      <c r="P1029" s="61"/>
      <c r="Q1029" s="61"/>
      <c r="R1029" s="61"/>
      <c r="S1029" s="61"/>
      <c r="T1029" s="61"/>
      <c r="U1029" s="61"/>
      <c r="V1029" s="61"/>
    </row>
    <row r="1030" spans="1:22" s="59" customFormat="1" x14ac:dyDescent="0.25">
      <c r="A1030" s="61" t="s">
        <v>178</v>
      </c>
      <c r="B1030" s="61">
        <v>2007</v>
      </c>
      <c r="C1030" s="64">
        <v>38.121656597701602</v>
      </c>
      <c r="D1030" s="64">
        <v>2.5597220886045502</v>
      </c>
      <c r="E1030" s="59" t="s">
        <v>159</v>
      </c>
      <c r="G1030" s="61"/>
      <c r="H1030" s="61"/>
      <c r="I1030" s="61"/>
      <c r="J1030" s="61"/>
      <c r="K1030" s="61"/>
      <c r="L1030" s="61"/>
      <c r="M1030" s="61"/>
      <c r="N1030" s="61"/>
      <c r="O1030" s="61"/>
      <c r="P1030" s="61"/>
      <c r="Q1030" s="61"/>
      <c r="R1030" s="61"/>
      <c r="S1030" s="61"/>
      <c r="T1030" s="61"/>
      <c r="U1030" s="61"/>
      <c r="V1030" s="61"/>
    </row>
    <row r="1031" spans="1:22" s="59" customFormat="1" x14ac:dyDescent="0.25">
      <c r="A1031" s="61" t="s">
        <v>178</v>
      </c>
      <c r="B1031" s="61">
        <v>2008</v>
      </c>
      <c r="C1031" s="64">
        <v>35.442493854692003</v>
      </c>
      <c r="D1031" s="64">
        <v>-0.15506909588707299</v>
      </c>
      <c r="E1031" s="59" t="s">
        <v>159</v>
      </c>
      <c r="G1031" s="61"/>
      <c r="H1031" s="61"/>
      <c r="I1031" s="61"/>
      <c r="J1031" s="61"/>
      <c r="K1031" s="61"/>
      <c r="L1031" s="61"/>
      <c r="M1031" s="61"/>
      <c r="N1031" s="61"/>
      <c r="O1031" s="61"/>
      <c r="P1031" s="61"/>
      <c r="Q1031" s="61"/>
      <c r="R1031" s="61"/>
      <c r="S1031" s="61"/>
      <c r="T1031" s="61"/>
      <c r="U1031" s="61"/>
      <c r="V1031" s="61"/>
    </row>
    <row r="1032" spans="1:22" s="59" customFormat="1" x14ac:dyDescent="0.25">
      <c r="A1032" s="61" t="s">
        <v>178</v>
      </c>
      <c r="B1032" s="61">
        <v>2009</v>
      </c>
      <c r="C1032" s="64">
        <v>35.243281278466398</v>
      </c>
      <c r="D1032" s="64">
        <v>-4.8277828626204302</v>
      </c>
      <c r="E1032" s="59" t="s">
        <v>159</v>
      </c>
      <c r="G1032" s="61"/>
      <c r="H1032" s="61"/>
      <c r="I1032" s="61"/>
      <c r="J1032" s="61"/>
      <c r="K1032" s="61"/>
      <c r="L1032" s="61"/>
      <c r="M1032" s="61"/>
      <c r="N1032" s="61"/>
      <c r="O1032" s="61"/>
      <c r="P1032" s="61"/>
      <c r="Q1032" s="61"/>
      <c r="R1032" s="61"/>
      <c r="S1032" s="61"/>
      <c r="T1032" s="61"/>
      <c r="U1032" s="61"/>
      <c r="V1032" s="61"/>
    </row>
    <row r="1033" spans="1:22" s="59" customFormat="1" x14ac:dyDescent="0.25">
      <c r="A1033" s="61" t="s">
        <v>179</v>
      </c>
      <c r="B1033" s="61">
        <v>1946</v>
      </c>
      <c r="C1033" s="64">
        <v>247.481942215088</v>
      </c>
      <c r="D1033" s="64">
        <v>-2.4583102256357598</v>
      </c>
      <c r="E1033" s="59" t="s">
        <v>160</v>
      </c>
      <c r="G1033" s="61"/>
      <c r="H1033" s="61"/>
      <c r="I1033" s="61"/>
      <c r="J1033" s="61"/>
      <c r="K1033" s="61"/>
      <c r="L1033" s="61"/>
      <c r="M1033" s="61"/>
      <c r="N1033" s="61"/>
      <c r="O1033" s="61"/>
      <c r="P1033" s="61"/>
      <c r="Q1033" s="61"/>
      <c r="R1033" s="61"/>
      <c r="S1033" s="61"/>
      <c r="T1033" s="61"/>
      <c r="U1033" s="61"/>
      <c r="V1033" s="61"/>
    </row>
    <row r="1034" spans="1:22" s="59" customFormat="1" x14ac:dyDescent="0.25">
      <c r="A1034" s="61" t="s">
        <v>179</v>
      </c>
      <c r="B1034" s="61">
        <v>1947</v>
      </c>
      <c r="C1034" s="64">
        <v>237.94095803936099</v>
      </c>
      <c r="D1034" s="64">
        <v>-1.27622446388918</v>
      </c>
      <c r="E1034" s="59" t="s">
        <v>160</v>
      </c>
      <c r="G1034" s="61"/>
      <c r="H1034" s="61"/>
      <c r="I1034" s="61"/>
      <c r="J1034" s="61"/>
      <c r="K1034" s="61"/>
      <c r="L1034" s="61"/>
      <c r="M1034" s="61"/>
      <c r="N1034" s="61"/>
      <c r="O1034" s="61"/>
      <c r="P1034" s="61"/>
      <c r="Q1034" s="61"/>
      <c r="R1034" s="61"/>
      <c r="S1034" s="61"/>
      <c r="T1034" s="61"/>
      <c r="U1034" s="61"/>
      <c r="V1034" s="61"/>
    </row>
    <row r="1035" spans="1:22" s="59" customFormat="1" x14ac:dyDescent="0.25">
      <c r="A1035" s="61" t="s">
        <v>179</v>
      </c>
      <c r="B1035" s="61">
        <v>1948</v>
      </c>
      <c r="C1035" s="64">
        <v>213.97193920160299</v>
      </c>
      <c r="D1035" s="64">
        <v>2.9241100534619799</v>
      </c>
      <c r="E1035" s="59" t="s">
        <v>160</v>
      </c>
      <c r="G1035" s="61"/>
      <c r="H1035" s="61"/>
      <c r="I1035" s="61"/>
      <c r="J1035" s="61"/>
      <c r="K1035" s="61"/>
      <c r="L1035" s="61"/>
      <c r="M1035" s="61"/>
      <c r="N1035" s="61"/>
      <c r="O1035" s="61"/>
      <c r="P1035" s="61"/>
      <c r="Q1035" s="61"/>
      <c r="R1035" s="61"/>
      <c r="S1035" s="61"/>
      <c r="T1035" s="61"/>
      <c r="U1035" s="61"/>
      <c r="V1035" s="61"/>
    </row>
    <row r="1036" spans="1:22" s="59" customFormat="1" x14ac:dyDescent="0.25">
      <c r="A1036" s="61" t="s">
        <v>179</v>
      </c>
      <c r="B1036" s="61">
        <v>1949</v>
      </c>
      <c r="C1036" s="64">
        <v>197.768348263398</v>
      </c>
      <c r="D1036" s="64">
        <v>3.3147168642686999</v>
      </c>
      <c r="E1036" s="59" t="s">
        <v>160</v>
      </c>
      <c r="G1036" s="61"/>
      <c r="H1036" s="61"/>
      <c r="I1036" s="61"/>
      <c r="J1036" s="61"/>
      <c r="K1036" s="61"/>
      <c r="L1036" s="61"/>
      <c r="M1036" s="61"/>
      <c r="N1036" s="61"/>
      <c r="O1036" s="61"/>
      <c r="P1036" s="61"/>
      <c r="Q1036" s="61"/>
      <c r="R1036" s="61"/>
      <c r="S1036" s="61"/>
      <c r="T1036" s="61"/>
      <c r="U1036" s="61"/>
      <c r="V1036" s="61"/>
    </row>
    <row r="1037" spans="1:22" s="59" customFormat="1" x14ac:dyDescent="0.25">
      <c r="A1037" s="61" t="s">
        <v>179</v>
      </c>
      <c r="B1037" s="61">
        <v>1950</v>
      </c>
      <c r="C1037" s="64">
        <v>193.88337841899599</v>
      </c>
      <c r="D1037" s="64">
        <v>3.1814589748480699</v>
      </c>
      <c r="E1037" s="59" t="s">
        <v>160</v>
      </c>
      <c r="G1037" s="61"/>
      <c r="H1037" s="61"/>
      <c r="I1037" s="61"/>
      <c r="J1037" s="61"/>
      <c r="K1037" s="61"/>
      <c r="L1037" s="61"/>
      <c r="M1037" s="61"/>
      <c r="N1037" s="61"/>
      <c r="O1037" s="61"/>
      <c r="P1037" s="61"/>
      <c r="Q1037" s="61"/>
      <c r="R1037" s="61"/>
      <c r="S1037" s="61"/>
      <c r="T1037" s="61"/>
      <c r="U1037" s="61"/>
      <c r="V1037" s="61"/>
    </row>
    <row r="1038" spans="1:22" s="59" customFormat="1" x14ac:dyDescent="0.25">
      <c r="A1038" s="61" t="s">
        <v>179</v>
      </c>
      <c r="B1038" s="61">
        <v>1951</v>
      </c>
      <c r="C1038" s="64">
        <v>175.338203463203</v>
      </c>
      <c r="D1038" s="64">
        <v>2.7278189333016498</v>
      </c>
      <c r="E1038" s="59" t="s">
        <v>160</v>
      </c>
      <c r="G1038" s="61"/>
      <c r="H1038" s="61"/>
      <c r="I1038" s="61"/>
      <c r="J1038" s="61"/>
      <c r="K1038" s="61"/>
      <c r="L1038" s="61"/>
      <c r="M1038" s="61"/>
      <c r="N1038" s="61"/>
      <c r="O1038" s="61"/>
      <c r="P1038" s="61"/>
      <c r="Q1038" s="61"/>
      <c r="R1038" s="61"/>
      <c r="S1038" s="61"/>
      <c r="T1038" s="61"/>
      <c r="U1038" s="61"/>
      <c r="V1038" s="61"/>
    </row>
    <row r="1039" spans="1:22" s="59" customFormat="1" x14ac:dyDescent="0.25">
      <c r="A1039" s="61" t="s">
        <v>179</v>
      </c>
      <c r="B1039" s="61">
        <v>1952</v>
      </c>
      <c r="C1039" s="64">
        <v>161.990865294375</v>
      </c>
      <c r="D1039" s="64">
        <v>5.2381426767222898E-2</v>
      </c>
      <c r="E1039" s="59" t="s">
        <v>160</v>
      </c>
      <c r="G1039" s="61"/>
      <c r="H1039" s="61"/>
      <c r="I1039" s="61"/>
      <c r="J1039" s="61"/>
      <c r="K1039" s="61"/>
      <c r="L1039" s="61"/>
      <c r="M1039" s="61"/>
      <c r="N1039" s="61"/>
      <c r="O1039" s="61"/>
      <c r="P1039" s="61"/>
      <c r="Q1039" s="61"/>
      <c r="R1039" s="61"/>
      <c r="S1039" s="61"/>
      <c r="T1039" s="61"/>
      <c r="U1039" s="61"/>
      <c r="V1039" s="61"/>
    </row>
    <row r="1040" spans="1:22" s="59" customFormat="1" x14ac:dyDescent="0.25">
      <c r="A1040" s="61" t="s">
        <v>179</v>
      </c>
      <c r="B1040" s="61">
        <v>1953</v>
      </c>
      <c r="C1040" s="64">
        <v>152.158168331289</v>
      </c>
      <c r="D1040" s="64">
        <v>3.8362957776336</v>
      </c>
      <c r="E1040" s="59" t="s">
        <v>160</v>
      </c>
      <c r="G1040" s="61"/>
      <c r="H1040" s="61"/>
      <c r="I1040" s="61"/>
      <c r="J1040" s="61"/>
      <c r="K1040" s="61"/>
      <c r="L1040" s="61"/>
      <c r="M1040" s="61"/>
      <c r="N1040" s="61"/>
      <c r="O1040" s="61"/>
      <c r="P1040" s="61"/>
      <c r="Q1040" s="61"/>
      <c r="R1040" s="61"/>
      <c r="S1040" s="61"/>
      <c r="T1040" s="61"/>
      <c r="U1040" s="61"/>
      <c r="V1040" s="61"/>
    </row>
    <row r="1041" spans="1:22" s="59" customFormat="1" x14ac:dyDescent="0.25">
      <c r="A1041" s="61" t="s">
        <v>179</v>
      </c>
      <c r="B1041" s="61">
        <v>1954</v>
      </c>
      <c r="C1041" s="64">
        <v>146.65673618007301</v>
      </c>
      <c r="D1041" s="64">
        <v>4.1118390527273201</v>
      </c>
      <c r="E1041" s="59" t="s">
        <v>160</v>
      </c>
      <c r="G1041" s="61"/>
      <c r="H1041" s="61"/>
      <c r="I1041" s="61"/>
      <c r="J1041" s="61"/>
      <c r="K1041" s="61"/>
      <c r="L1041" s="61"/>
      <c r="M1041" s="61"/>
      <c r="N1041" s="61"/>
      <c r="O1041" s="61"/>
      <c r="P1041" s="61"/>
      <c r="Q1041" s="61"/>
      <c r="R1041" s="61"/>
      <c r="S1041" s="61"/>
      <c r="T1041" s="61"/>
      <c r="U1041" s="61"/>
      <c r="V1041" s="61"/>
    </row>
    <row r="1042" spans="1:22" s="59" customFormat="1" x14ac:dyDescent="0.25">
      <c r="A1042" s="61" t="s">
        <v>179</v>
      </c>
      <c r="B1042" s="61">
        <v>1955</v>
      </c>
      <c r="C1042" s="64">
        <v>138.19394561313501</v>
      </c>
      <c r="D1042" s="64">
        <v>3.4577320629035202</v>
      </c>
      <c r="E1042" s="59" t="s">
        <v>160</v>
      </c>
      <c r="G1042" s="61"/>
      <c r="H1042" s="61"/>
      <c r="I1042" s="61"/>
      <c r="J1042" s="61"/>
      <c r="K1042" s="61"/>
      <c r="L1042" s="61"/>
      <c r="M1042" s="61"/>
      <c r="N1042" s="61"/>
      <c r="O1042" s="61"/>
      <c r="P1042" s="61"/>
      <c r="Q1042" s="61"/>
      <c r="R1042" s="61"/>
      <c r="S1042" s="61"/>
      <c r="T1042" s="61"/>
      <c r="U1042" s="61"/>
      <c r="V1042" s="61"/>
    </row>
    <row r="1043" spans="1:22" s="59" customFormat="1" x14ac:dyDescent="0.25">
      <c r="A1043" s="61" t="s">
        <v>179</v>
      </c>
      <c r="B1043" s="61">
        <v>1956</v>
      </c>
      <c r="C1043" s="64">
        <v>129.02748616148099</v>
      </c>
      <c r="D1043" s="64">
        <v>0.92815686770031403</v>
      </c>
      <c r="E1043" s="59" t="s">
        <v>160</v>
      </c>
      <c r="G1043" s="61"/>
      <c r="H1043" s="61"/>
      <c r="I1043" s="61"/>
      <c r="J1043" s="61"/>
      <c r="K1043" s="61"/>
      <c r="L1043" s="61"/>
      <c r="M1043" s="61"/>
      <c r="N1043" s="61"/>
      <c r="O1043" s="61"/>
      <c r="P1043" s="61"/>
      <c r="Q1043" s="61"/>
      <c r="R1043" s="61"/>
      <c r="S1043" s="61"/>
      <c r="T1043" s="61"/>
      <c r="U1043" s="61"/>
      <c r="V1043" s="61"/>
    </row>
    <row r="1044" spans="1:22" s="59" customFormat="1" x14ac:dyDescent="0.25">
      <c r="A1044" s="61" t="s">
        <v>179</v>
      </c>
      <c r="B1044" s="61">
        <v>1957</v>
      </c>
      <c r="C1044" s="64">
        <v>122.180502148835</v>
      </c>
      <c r="D1044" s="64">
        <v>1.6588466605396599</v>
      </c>
      <c r="E1044" s="59" t="s">
        <v>160</v>
      </c>
      <c r="G1044" s="61"/>
      <c r="H1044" s="61"/>
      <c r="I1044" s="61"/>
      <c r="J1044" s="61"/>
      <c r="K1044" s="61"/>
      <c r="L1044" s="61"/>
      <c r="M1044" s="61"/>
      <c r="N1044" s="61"/>
      <c r="O1044" s="61"/>
      <c r="P1044" s="61"/>
      <c r="Q1044" s="61"/>
      <c r="R1044" s="61"/>
      <c r="S1044" s="61"/>
      <c r="T1044" s="61"/>
      <c r="U1044" s="61"/>
      <c r="V1044" s="61"/>
    </row>
    <row r="1045" spans="1:22" s="59" customFormat="1" x14ac:dyDescent="0.25">
      <c r="A1045" s="61" t="s">
        <v>179</v>
      </c>
      <c r="B1045" s="61">
        <v>1958</v>
      </c>
      <c r="C1045" s="64">
        <v>118.1431670282</v>
      </c>
      <c r="D1045" s="64">
        <v>0.31935826063105299</v>
      </c>
      <c r="E1045" s="59" t="s">
        <v>160</v>
      </c>
      <c r="G1045" s="61"/>
      <c r="H1045" s="61"/>
      <c r="I1045" s="61"/>
      <c r="J1045" s="61"/>
      <c r="K1045" s="61"/>
      <c r="L1045" s="61"/>
      <c r="M1045" s="61"/>
      <c r="N1045" s="61"/>
      <c r="O1045" s="61"/>
      <c r="P1045" s="61"/>
      <c r="Q1045" s="61"/>
      <c r="R1045" s="61"/>
      <c r="S1045" s="61"/>
      <c r="T1045" s="61"/>
      <c r="U1045" s="61"/>
      <c r="V1045" s="61"/>
    </row>
    <row r="1046" spans="1:22" s="59" customFormat="1" x14ac:dyDescent="0.25">
      <c r="A1046" s="61" t="s">
        <v>179</v>
      </c>
      <c r="B1046" s="61">
        <v>1959</v>
      </c>
      <c r="C1046" s="64">
        <v>112.43633974043</v>
      </c>
      <c r="D1046" s="64">
        <v>4.2810111042910703</v>
      </c>
      <c r="E1046" s="59" t="s">
        <v>160</v>
      </c>
      <c r="G1046" s="61"/>
      <c r="H1046" s="61"/>
      <c r="I1046" s="61"/>
      <c r="J1046" s="61"/>
      <c r="K1046" s="61"/>
      <c r="L1046" s="61"/>
      <c r="M1046" s="61"/>
      <c r="N1046" s="61"/>
      <c r="O1046" s="61"/>
      <c r="P1046" s="61"/>
      <c r="Q1046" s="61"/>
      <c r="R1046" s="61"/>
      <c r="S1046" s="61"/>
      <c r="T1046" s="61"/>
      <c r="U1046" s="61"/>
      <c r="V1046" s="61"/>
    </row>
    <row r="1047" spans="1:22" s="59" customFormat="1" x14ac:dyDescent="0.25">
      <c r="A1047" s="61" t="s">
        <v>179</v>
      </c>
      <c r="B1047" s="61">
        <v>1960</v>
      </c>
      <c r="C1047" s="64">
        <v>106.759825999923</v>
      </c>
      <c r="D1047" s="64">
        <v>5.3301013473742804</v>
      </c>
      <c r="E1047" s="59" t="s">
        <v>160</v>
      </c>
      <c r="G1047" s="61"/>
      <c r="H1047" s="61"/>
      <c r="I1047" s="61"/>
      <c r="J1047" s="61"/>
      <c r="K1047" s="61"/>
      <c r="L1047" s="61"/>
      <c r="M1047" s="61"/>
      <c r="N1047" s="61"/>
      <c r="O1047" s="61"/>
      <c r="P1047" s="61"/>
      <c r="Q1047" s="61"/>
      <c r="R1047" s="61"/>
      <c r="S1047" s="61"/>
      <c r="T1047" s="61"/>
      <c r="U1047" s="61"/>
      <c r="V1047" s="61"/>
    </row>
    <row r="1048" spans="1:22" s="59" customFormat="1" x14ac:dyDescent="0.25">
      <c r="A1048" s="61" t="s">
        <v>179</v>
      </c>
      <c r="B1048" s="61">
        <v>1961</v>
      </c>
      <c r="C1048" s="64">
        <v>103.06059169007401</v>
      </c>
      <c r="D1048" s="64">
        <v>2.3333316399363899</v>
      </c>
      <c r="E1048" s="59" t="s">
        <v>160</v>
      </c>
      <c r="G1048" s="61"/>
      <c r="H1048" s="61"/>
      <c r="I1048" s="61"/>
      <c r="J1048" s="61"/>
      <c r="K1048" s="61"/>
      <c r="L1048" s="61"/>
      <c r="M1048" s="61"/>
      <c r="N1048" s="61"/>
      <c r="O1048" s="61"/>
      <c r="P1048" s="61"/>
      <c r="Q1048" s="61"/>
      <c r="R1048" s="61"/>
      <c r="S1048" s="61"/>
      <c r="T1048" s="61"/>
      <c r="U1048" s="61"/>
      <c r="V1048" s="61"/>
    </row>
    <row r="1049" spans="1:22" s="59" customFormat="1" x14ac:dyDescent="0.25">
      <c r="A1049" s="61" t="s">
        <v>179</v>
      </c>
      <c r="B1049" s="61">
        <v>1962</v>
      </c>
      <c r="C1049" s="64">
        <v>99.871129532235003</v>
      </c>
      <c r="D1049" s="64">
        <v>1.0812367203479001</v>
      </c>
      <c r="E1049" s="59" t="s">
        <v>160</v>
      </c>
      <c r="G1049" s="61"/>
      <c r="H1049" s="61"/>
      <c r="I1049" s="61"/>
      <c r="J1049" s="61"/>
      <c r="K1049" s="61"/>
      <c r="L1049" s="61"/>
      <c r="M1049" s="61"/>
      <c r="N1049" s="61"/>
      <c r="O1049" s="61"/>
      <c r="P1049" s="61"/>
      <c r="Q1049" s="61"/>
      <c r="R1049" s="61"/>
      <c r="S1049" s="61"/>
      <c r="T1049" s="61"/>
      <c r="U1049" s="61"/>
      <c r="V1049" s="61"/>
    </row>
    <row r="1050" spans="1:22" s="59" customFormat="1" x14ac:dyDescent="0.25">
      <c r="A1050" s="61" t="s">
        <v>179</v>
      </c>
      <c r="B1050" s="61">
        <v>1963</v>
      </c>
      <c r="C1050" s="64">
        <v>98.155151435430298</v>
      </c>
      <c r="D1050" s="64">
        <v>4.2985747541917503</v>
      </c>
      <c r="E1050" s="59" t="s">
        <v>160</v>
      </c>
      <c r="G1050" s="61"/>
      <c r="H1050" s="61"/>
      <c r="I1050" s="61"/>
      <c r="J1050" s="61"/>
      <c r="K1050" s="61"/>
      <c r="L1050" s="61"/>
      <c r="M1050" s="61"/>
      <c r="N1050" s="61"/>
      <c r="O1050" s="61"/>
      <c r="P1050" s="61"/>
      <c r="Q1050" s="61"/>
      <c r="R1050" s="61"/>
      <c r="S1050" s="61"/>
      <c r="T1050" s="61"/>
      <c r="U1050" s="61"/>
      <c r="V1050" s="61"/>
    </row>
    <row r="1051" spans="1:22" s="59" customFormat="1" x14ac:dyDescent="0.25">
      <c r="A1051" s="61" t="s">
        <v>179</v>
      </c>
      <c r="B1051" s="61">
        <v>1964</v>
      </c>
      <c r="C1051" s="64">
        <v>90.965450824605796</v>
      </c>
      <c r="D1051" s="64">
        <v>5.4803841472171904</v>
      </c>
      <c r="E1051" s="59" t="s">
        <v>160</v>
      </c>
      <c r="G1051" s="61"/>
      <c r="H1051" s="61"/>
      <c r="I1051" s="61"/>
      <c r="J1051" s="61"/>
      <c r="K1051" s="61"/>
      <c r="L1051" s="61"/>
      <c r="M1051" s="61"/>
      <c r="N1051" s="61"/>
      <c r="O1051" s="61"/>
      <c r="P1051" s="61"/>
      <c r="Q1051" s="61"/>
      <c r="R1051" s="61"/>
      <c r="S1051" s="61"/>
      <c r="T1051" s="61"/>
      <c r="U1051" s="61"/>
      <c r="V1051" s="61"/>
    </row>
    <row r="1052" spans="1:22" s="59" customFormat="1" x14ac:dyDescent="0.25">
      <c r="A1052" s="61" t="s">
        <v>179</v>
      </c>
      <c r="B1052" s="61">
        <v>1965</v>
      </c>
      <c r="C1052" s="64">
        <v>84.822224699063796</v>
      </c>
      <c r="D1052" s="64">
        <v>2.2269592196602699</v>
      </c>
      <c r="E1052" s="59" t="s">
        <v>156</v>
      </c>
      <c r="G1052" s="61"/>
      <c r="H1052" s="61"/>
      <c r="I1052" s="61"/>
      <c r="J1052" s="61"/>
      <c r="K1052" s="61"/>
      <c r="L1052" s="61"/>
      <c r="M1052" s="61"/>
      <c r="N1052" s="61"/>
      <c r="O1052" s="61"/>
      <c r="P1052" s="61"/>
      <c r="Q1052" s="61"/>
      <c r="R1052" s="61"/>
      <c r="S1052" s="61"/>
      <c r="T1052" s="61"/>
      <c r="U1052" s="61"/>
      <c r="V1052" s="61"/>
    </row>
    <row r="1053" spans="1:22" s="59" customFormat="1" x14ac:dyDescent="0.25">
      <c r="A1053" s="61" t="s">
        <v>179</v>
      </c>
      <c r="B1053" s="61">
        <v>1966</v>
      </c>
      <c r="C1053" s="64">
        <v>82.0681348032156</v>
      </c>
      <c r="D1053" s="64">
        <v>1.92516381469343</v>
      </c>
      <c r="E1053" s="59" t="s">
        <v>156</v>
      </c>
      <c r="G1053" s="61"/>
      <c r="H1053" s="61"/>
      <c r="I1053" s="61"/>
      <c r="J1053" s="61"/>
      <c r="K1053" s="61"/>
      <c r="L1053" s="61"/>
      <c r="M1053" s="61"/>
      <c r="N1053" s="61"/>
      <c r="O1053" s="61"/>
      <c r="P1053" s="61"/>
      <c r="Q1053" s="61"/>
      <c r="R1053" s="61"/>
      <c r="S1053" s="61"/>
      <c r="T1053" s="61"/>
      <c r="U1053" s="61"/>
      <c r="V1053" s="61"/>
    </row>
    <row r="1054" spans="1:22" s="59" customFormat="1" x14ac:dyDescent="0.25">
      <c r="A1054" s="61" t="s">
        <v>179</v>
      </c>
      <c r="B1054" s="61">
        <v>1967</v>
      </c>
      <c r="C1054" s="64">
        <v>79.407164668205894</v>
      </c>
      <c r="D1054" s="64">
        <v>2.4637749462301102</v>
      </c>
      <c r="E1054" s="59" t="s">
        <v>156</v>
      </c>
      <c r="G1054" s="61"/>
      <c r="H1054" s="61"/>
      <c r="I1054" s="61"/>
      <c r="J1054" s="61"/>
      <c r="K1054" s="61"/>
      <c r="L1054" s="61"/>
      <c r="M1054" s="61"/>
      <c r="N1054" s="61"/>
      <c r="O1054" s="61"/>
      <c r="P1054" s="61"/>
      <c r="Q1054" s="61"/>
      <c r="R1054" s="61"/>
      <c r="S1054" s="61"/>
      <c r="T1054" s="61"/>
      <c r="U1054" s="61"/>
      <c r="V1054" s="61"/>
    </row>
    <row r="1055" spans="1:22" s="59" customFormat="1" x14ac:dyDescent="0.25">
      <c r="A1055" s="61" t="s">
        <v>179</v>
      </c>
      <c r="B1055" s="61">
        <v>1968</v>
      </c>
      <c r="C1055" s="64">
        <v>78.326003298515701</v>
      </c>
      <c r="D1055" s="64">
        <v>4.1981580790499704</v>
      </c>
      <c r="E1055" s="59" t="s">
        <v>156</v>
      </c>
      <c r="G1055" s="61"/>
      <c r="H1055" s="61"/>
      <c r="I1055" s="61"/>
      <c r="J1055" s="61"/>
      <c r="K1055" s="61"/>
      <c r="L1055" s="61"/>
      <c r="M1055" s="61"/>
      <c r="N1055" s="61"/>
      <c r="O1055" s="61"/>
      <c r="P1055" s="61"/>
      <c r="Q1055" s="61"/>
      <c r="R1055" s="61"/>
      <c r="S1055" s="61"/>
      <c r="T1055" s="61"/>
      <c r="U1055" s="61"/>
      <c r="V1055" s="61"/>
    </row>
    <row r="1056" spans="1:22" s="59" customFormat="1" x14ac:dyDescent="0.25">
      <c r="A1056" s="61" t="s">
        <v>179</v>
      </c>
      <c r="B1056" s="61">
        <v>1969</v>
      </c>
      <c r="C1056" s="64">
        <v>72.271016311166903</v>
      </c>
      <c r="D1056" s="64">
        <v>2.0745006370576999</v>
      </c>
      <c r="E1056" s="59" t="s">
        <v>156</v>
      </c>
      <c r="G1056" s="61"/>
      <c r="H1056" s="61"/>
      <c r="I1056" s="61"/>
      <c r="J1056" s="61"/>
      <c r="K1056" s="61"/>
      <c r="L1056" s="61"/>
      <c r="M1056" s="61"/>
      <c r="N1056" s="61"/>
      <c r="O1056" s="61"/>
      <c r="P1056" s="61"/>
      <c r="Q1056" s="61"/>
      <c r="R1056" s="61"/>
      <c r="S1056" s="61"/>
      <c r="T1056" s="61"/>
      <c r="U1056" s="61"/>
      <c r="V1056" s="61"/>
    </row>
    <row r="1057" spans="1:22" s="59" customFormat="1" x14ac:dyDescent="0.25">
      <c r="A1057" s="61" t="s">
        <v>179</v>
      </c>
      <c r="B1057" s="61">
        <v>1970</v>
      </c>
      <c r="C1057" s="64">
        <v>63.987542556484001</v>
      </c>
      <c r="D1057" s="64">
        <v>2.2442424575998001</v>
      </c>
      <c r="E1057" s="59" t="s">
        <v>156</v>
      </c>
      <c r="G1057" s="61"/>
      <c r="H1057" s="61"/>
      <c r="I1057" s="61"/>
      <c r="J1057" s="61"/>
      <c r="K1057" s="61"/>
      <c r="L1057" s="61"/>
      <c r="M1057" s="61"/>
      <c r="N1057" s="61"/>
      <c r="O1057" s="61"/>
      <c r="P1057" s="61"/>
      <c r="Q1057" s="61"/>
      <c r="R1057" s="61"/>
      <c r="S1057" s="61"/>
      <c r="T1057" s="61"/>
      <c r="U1057" s="61"/>
      <c r="V1057" s="61"/>
    </row>
    <row r="1058" spans="1:22" s="59" customFormat="1" x14ac:dyDescent="0.25">
      <c r="A1058" s="61" t="s">
        <v>179</v>
      </c>
      <c r="B1058" s="61">
        <v>1971</v>
      </c>
      <c r="C1058" s="64">
        <v>57.9885555748223</v>
      </c>
      <c r="D1058" s="64">
        <v>2.0932785533153599</v>
      </c>
      <c r="E1058" s="59" t="s">
        <v>159</v>
      </c>
      <c r="G1058" s="61"/>
      <c r="H1058" s="61"/>
      <c r="I1058" s="61"/>
      <c r="J1058" s="61"/>
      <c r="K1058" s="61"/>
      <c r="L1058" s="61"/>
      <c r="M1058" s="61"/>
      <c r="N1058" s="61"/>
      <c r="O1058" s="61"/>
      <c r="P1058" s="61"/>
      <c r="Q1058" s="61"/>
      <c r="R1058" s="61"/>
      <c r="S1058" s="61"/>
      <c r="T1058" s="61"/>
      <c r="U1058" s="61"/>
      <c r="V1058" s="61"/>
    </row>
    <row r="1059" spans="1:22" s="59" customFormat="1" x14ac:dyDescent="0.25">
      <c r="A1059" s="61" t="s">
        <v>179</v>
      </c>
      <c r="B1059" s="61">
        <v>1972</v>
      </c>
      <c r="C1059" s="64">
        <v>55.461846768078502</v>
      </c>
      <c r="D1059" s="64">
        <v>3.6555442358138701</v>
      </c>
      <c r="E1059" s="59" t="s">
        <v>159</v>
      </c>
      <c r="G1059" s="61"/>
      <c r="H1059" s="61"/>
      <c r="I1059" s="61"/>
      <c r="J1059" s="61"/>
      <c r="K1059" s="61"/>
      <c r="L1059" s="61"/>
      <c r="M1059" s="61"/>
      <c r="N1059" s="61"/>
      <c r="O1059" s="61"/>
      <c r="P1059" s="61"/>
      <c r="Q1059" s="61"/>
      <c r="R1059" s="61"/>
      <c r="S1059" s="61"/>
      <c r="T1059" s="61"/>
      <c r="U1059" s="61"/>
      <c r="V1059" s="61"/>
    </row>
    <row r="1060" spans="1:22" s="59" customFormat="1" x14ac:dyDescent="0.25">
      <c r="A1060" s="61" t="s">
        <v>179</v>
      </c>
      <c r="B1060" s="61">
        <v>1973</v>
      </c>
      <c r="C1060" s="64">
        <v>49.480179757193604</v>
      </c>
      <c r="D1060" s="64">
        <v>7.1958665869729996</v>
      </c>
      <c r="E1060" s="59" t="s">
        <v>159</v>
      </c>
      <c r="G1060" s="61"/>
      <c r="H1060" s="61"/>
      <c r="I1060" s="61"/>
      <c r="J1060" s="61"/>
      <c r="K1060" s="61"/>
      <c r="L1060" s="61"/>
      <c r="M1060" s="61"/>
      <c r="N1060" s="61"/>
      <c r="O1060" s="61"/>
      <c r="P1060" s="61"/>
      <c r="Q1060" s="61"/>
      <c r="R1060" s="61"/>
      <c r="S1060" s="61"/>
      <c r="T1060" s="61"/>
      <c r="U1060" s="61"/>
      <c r="V1060" s="61"/>
    </row>
    <row r="1061" spans="1:22" s="59" customFormat="1" x14ac:dyDescent="0.25">
      <c r="A1061" s="61" t="s">
        <v>179</v>
      </c>
      <c r="B1061" s="61">
        <v>1974</v>
      </c>
      <c r="C1061" s="64">
        <v>47.477902807851997</v>
      </c>
      <c r="D1061" s="64">
        <v>-1.3129395813914</v>
      </c>
      <c r="E1061" s="59" t="s">
        <v>159</v>
      </c>
      <c r="G1061" s="61"/>
      <c r="H1061" s="61"/>
      <c r="I1061" s="61"/>
      <c r="J1061" s="61"/>
      <c r="K1061" s="61"/>
      <c r="L1061" s="61"/>
      <c r="M1061" s="61"/>
      <c r="N1061" s="61"/>
      <c r="O1061" s="61"/>
      <c r="P1061" s="61"/>
      <c r="Q1061" s="61"/>
      <c r="R1061" s="61"/>
      <c r="S1061" s="61"/>
      <c r="T1061" s="61"/>
      <c r="U1061" s="61"/>
      <c r="V1061" s="61"/>
    </row>
    <row r="1062" spans="1:22" s="59" customFormat="1" x14ac:dyDescent="0.25">
      <c r="A1062" s="61" t="s">
        <v>179</v>
      </c>
      <c r="B1062" s="61">
        <v>1975</v>
      </c>
      <c r="C1062" s="64">
        <v>42.411237197447498</v>
      </c>
      <c r="D1062" s="64">
        <v>-0.62218467018030399</v>
      </c>
      <c r="E1062" s="59" t="s">
        <v>159</v>
      </c>
      <c r="G1062" s="61"/>
      <c r="H1062" s="61"/>
      <c r="I1062" s="61"/>
      <c r="J1062" s="61"/>
      <c r="K1062" s="61"/>
      <c r="L1062" s="61"/>
      <c r="M1062" s="61"/>
      <c r="N1062" s="61"/>
      <c r="O1062" s="61"/>
      <c r="P1062" s="61"/>
      <c r="Q1062" s="61"/>
      <c r="R1062" s="61"/>
      <c r="S1062" s="61"/>
      <c r="T1062" s="61"/>
      <c r="U1062" s="61"/>
      <c r="V1062" s="61"/>
    </row>
    <row r="1063" spans="1:22" s="59" customFormat="1" x14ac:dyDescent="0.25">
      <c r="A1063" s="61" t="s">
        <v>179</v>
      </c>
      <c r="B1063" s="61">
        <v>1976</v>
      </c>
      <c r="C1063" s="64">
        <v>44.811283399591403</v>
      </c>
      <c r="D1063" s="64">
        <v>2.6349623280569601</v>
      </c>
      <c r="E1063" s="59" t="s">
        <v>159</v>
      </c>
      <c r="G1063" s="61"/>
      <c r="H1063" s="61"/>
      <c r="I1063" s="61"/>
      <c r="J1063" s="61"/>
      <c r="K1063" s="61"/>
      <c r="L1063" s="61"/>
      <c r="M1063" s="61"/>
      <c r="N1063" s="61"/>
      <c r="O1063" s="61"/>
      <c r="P1063" s="61"/>
      <c r="Q1063" s="61"/>
      <c r="R1063" s="61"/>
      <c r="S1063" s="61"/>
      <c r="T1063" s="61"/>
      <c r="U1063" s="61"/>
      <c r="V1063" s="61"/>
    </row>
    <row r="1064" spans="1:22" s="59" customFormat="1" x14ac:dyDescent="0.25">
      <c r="A1064" s="61" t="s">
        <v>179</v>
      </c>
      <c r="B1064" s="61">
        <v>1977</v>
      </c>
      <c r="C1064" s="64">
        <v>45.699550257530298</v>
      </c>
      <c r="D1064" s="64">
        <v>2.37469861666735</v>
      </c>
      <c r="E1064" s="59" t="s">
        <v>159</v>
      </c>
      <c r="G1064" s="61"/>
      <c r="H1064" s="61"/>
      <c r="I1064" s="61"/>
      <c r="J1064" s="61"/>
      <c r="K1064" s="61"/>
      <c r="L1064" s="61"/>
      <c r="M1064" s="61"/>
      <c r="N1064" s="61"/>
      <c r="O1064" s="61"/>
      <c r="P1064" s="61"/>
      <c r="Q1064" s="61"/>
      <c r="R1064" s="61"/>
      <c r="S1064" s="61"/>
      <c r="T1064" s="61"/>
      <c r="U1064" s="61"/>
      <c r="V1064" s="61"/>
    </row>
    <row r="1065" spans="1:22" s="59" customFormat="1" x14ac:dyDescent="0.25">
      <c r="A1065" s="61" t="s">
        <v>179</v>
      </c>
      <c r="B1065" s="61">
        <v>1978</v>
      </c>
      <c r="C1065" s="64">
        <v>46.756897203325799</v>
      </c>
      <c r="D1065" s="64">
        <v>3.22959975790749</v>
      </c>
      <c r="E1065" s="59" t="s">
        <v>159</v>
      </c>
      <c r="G1065" s="61"/>
      <c r="H1065" s="61"/>
      <c r="I1065" s="61"/>
      <c r="J1065" s="61"/>
      <c r="K1065" s="61"/>
      <c r="L1065" s="61"/>
      <c r="M1065" s="61"/>
      <c r="N1065" s="61"/>
      <c r="O1065" s="61"/>
      <c r="P1065" s="61"/>
      <c r="Q1065" s="61"/>
      <c r="R1065" s="61"/>
      <c r="S1065" s="61"/>
      <c r="T1065" s="61"/>
      <c r="U1065" s="61"/>
      <c r="V1065" s="61"/>
    </row>
    <row r="1066" spans="1:22" s="59" customFormat="1" x14ac:dyDescent="0.25">
      <c r="A1066" s="61" t="s">
        <v>179</v>
      </c>
      <c r="B1066" s="61">
        <v>1979</v>
      </c>
      <c r="C1066" s="64">
        <v>43.612589097480203</v>
      </c>
      <c r="D1066" s="64">
        <v>2.68007500768717</v>
      </c>
      <c r="E1066" s="59" t="s">
        <v>159</v>
      </c>
      <c r="G1066" s="61"/>
      <c r="H1066" s="61"/>
      <c r="I1066" s="61"/>
      <c r="J1066" s="61"/>
      <c r="K1066" s="61"/>
      <c r="L1066" s="61"/>
      <c r="M1066" s="61"/>
      <c r="N1066" s="61"/>
      <c r="O1066" s="61"/>
      <c r="P1066" s="61"/>
      <c r="Q1066" s="61"/>
      <c r="R1066" s="61"/>
      <c r="S1066" s="61"/>
      <c r="T1066" s="61"/>
      <c r="U1066" s="61"/>
      <c r="V1066" s="61"/>
    </row>
    <row r="1067" spans="1:22" s="59" customFormat="1" x14ac:dyDescent="0.25">
      <c r="A1067" s="61" t="s">
        <v>179</v>
      </c>
      <c r="B1067" s="61">
        <v>1980</v>
      </c>
      <c r="C1067" s="64">
        <v>40.8750171538356</v>
      </c>
      <c r="D1067" s="64">
        <v>-2.0817978839114799</v>
      </c>
      <c r="E1067" s="59" t="s">
        <v>159</v>
      </c>
      <c r="G1067" s="61"/>
      <c r="H1067" s="61"/>
      <c r="I1067" s="61"/>
      <c r="J1067" s="61"/>
      <c r="K1067" s="61"/>
      <c r="L1067" s="61"/>
      <c r="M1067" s="61"/>
      <c r="N1067" s="61"/>
      <c r="O1067" s="61"/>
      <c r="P1067" s="61"/>
      <c r="Q1067" s="61"/>
      <c r="R1067" s="61"/>
      <c r="S1067" s="61"/>
      <c r="T1067" s="61"/>
      <c r="U1067" s="61"/>
      <c r="V1067" s="61"/>
    </row>
    <row r="1068" spans="1:22" s="59" customFormat="1" x14ac:dyDescent="0.25">
      <c r="A1068" s="61" t="s">
        <v>179</v>
      </c>
      <c r="B1068" s="61">
        <v>1981</v>
      </c>
      <c r="C1068" s="64">
        <v>44.106618177845199</v>
      </c>
      <c r="D1068" s="64">
        <v>-1.32345810475475</v>
      </c>
      <c r="E1068" s="59" t="s">
        <v>159</v>
      </c>
      <c r="G1068" s="61"/>
      <c r="H1068" s="61"/>
      <c r="I1068" s="61"/>
      <c r="J1068" s="61"/>
      <c r="K1068" s="61"/>
      <c r="L1068" s="61"/>
      <c r="M1068" s="61"/>
      <c r="N1068" s="61"/>
      <c r="O1068" s="61"/>
      <c r="P1068" s="61"/>
      <c r="Q1068" s="61"/>
      <c r="R1068" s="61"/>
      <c r="S1068" s="61"/>
      <c r="T1068" s="61"/>
      <c r="U1068" s="61"/>
      <c r="V1068" s="61"/>
    </row>
    <row r="1069" spans="1:22" s="59" customFormat="1" x14ac:dyDescent="0.25">
      <c r="A1069" s="61" t="s">
        <v>179</v>
      </c>
      <c r="B1069" s="61">
        <v>1982</v>
      </c>
      <c r="C1069" s="64">
        <v>42.128074470507897</v>
      </c>
      <c r="D1069" s="64">
        <v>2.0930688172250198</v>
      </c>
      <c r="E1069" s="59" t="s">
        <v>159</v>
      </c>
      <c r="G1069" s="61"/>
      <c r="H1069" s="61"/>
      <c r="I1069" s="61"/>
      <c r="J1069" s="61"/>
      <c r="K1069" s="61"/>
      <c r="L1069" s="61"/>
      <c r="M1069" s="61"/>
      <c r="N1069" s="61"/>
      <c r="O1069" s="61"/>
      <c r="P1069" s="61"/>
      <c r="Q1069" s="61"/>
      <c r="R1069" s="61"/>
      <c r="S1069" s="61"/>
      <c r="T1069" s="61"/>
      <c r="U1069" s="61"/>
      <c r="V1069" s="61"/>
    </row>
    <row r="1070" spans="1:22" s="59" customFormat="1" x14ac:dyDescent="0.25">
      <c r="A1070" s="61" t="s">
        <v>179</v>
      </c>
      <c r="B1070" s="61">
        <v>1983</v>
      </c>
      <c r="C1070" s="64">
        <v>41.641954773165999</v>
      </c>
      <c r="D1070" s="64">
        <v>3.6243464473791902</v>
      </c>
      <c r="E1070" s="59" t="s">
        <v>159</v>
      </c>
      <c r="G1070" s="61"/>
      <c r="H1070" s="61"/>
      <c r="I1070" s="61"/>
      <c r="J1070" s="61"/>
      <c r="K1070" s="61"/>
      <c r="L1070" s="61"/>
      <c r="M1070" s="61"/>
      <c r="N1070" s="61"/>
      <c r="O1070" s="61"/>
      <c r="P1070" s="61"/>
      <c r="Q1070" s="61"/>
      <c r="R1070" s="61"/>
      <c r="S1070" s="61"/>
      <c r="T1070" s="61"/>
      <c r="U1070" s="61"/>
      <c r="V1070" s="61"/>
    </row>
    <row r="1071" spans="1:22" s="59" customFormat="1" x14ac:dyDescent="0.25">
      <c r="A1071" s="61" t="s">
        <v>179</v>
      </c>
      <c r="B1071" s="61">
        <v>1984</v>
      </c>
      <c r="C1071" s="64">
        <v>43.343245037328003</v>
      </c>
      <c r="D1071" s="64">
        <v>2.6709249269123401</v>
      </c>
      <c r="E1071" s="59" t="s">
        <v>159</v>
      </c>
      <c r="G1071" s="61"/>
      <c r="H1071" s="61"/>
      <c r="I1071" s="61"/>
      <c r="J1071" s="61"/>
      <c r="K1071" s="61"/>
      <c r="L1071" s="61"/>
      <c r="M1071" s="61"/>
      <c r="N1071" s="61"/>
      <c r="O1071" s="61"/>
      <c r="P1071" s="61"/>
      <c r="Q1071" s="61"/>
      <c r="R1071" s="61"/>
      <c r="S1071" s="61"/>
      <c r="T1071" s="61"/>
      <c r="U1071" s="61"/>
      <c r="V1071" s="61"/>
    </row>
    <row r="1072" spans="1:22" s="59" customFormat="1" x14ac:dyDescent="0.25">
      <c r="A1072" s="61" t="s">
        <v>179</v>
      </c>
      <c r="B1072" s="61">
        <v>1985</v>
      </c>
      <c r="C1072" s="64">
        <v>43.683622753332301</v>
      </c>
      <c r="D1072" s="64">
        <v>3.5993814256187999</v>
      </c>
      <c r="E1072" s="59" t="s">
        <v>159</v>
      </c>
      <c r="G1072" s="61"/>
      <c r="H1072" s="61"/>
      <c r="I1072" s="61"/>
      <c r="J1072" s="61"/>
      <c r="K1072" s="61"/>
      <c r="L1072" s="61"/>
      <c r="M1072" s="61"/>
      <c r="N1072" s="61"/>
      <c r="O1072" s="61"/>
      <c r="P1072" s="61"/>
      <c r="Q1072" s="61"/>
      <c r="R1072" s="61"/>
      <c r="S1072" s="61"/>
      <c r="T1072" s="61"/>
      <c r="U1072" s="61"/>
      <c r="V1072" s="61"/>
    </row>
    <row r="1073" spans="1:22" s="59" customFormat="1" x14ac:dyDescent="0.25">
      <c r="A1073" s="61" t="s">
        <v>179</v>
      </c>
      <c r="B1073" s="61">
        <v>1986</v>
      </c>
      <c r="C1073" s="64">
        <v>44.036345975449002</v>
      </c>
      <c r="D1073" s="64">
        <v>4.0123298227588098</v>
      </c>
      <c r="E1073" s="59" t="s">
        <v>159</v>
      </c>
      <c r="G1073" s="61"/>
      <c r="H1073" s="61"/>
      <c r="I1073" s="61"/>
      <c r="J1073" s="61"/>
      <c r="K1073" s="61"/>
      <c r="L1073" s="61"/>
      <c r="M1073" s="61"/>
      <c r="N1073" s="61"/>
      <c r="O1073" s="61"/>
      <c r="P1073" s="61"/>
      <c r="Q1073" s="61"/>
      <c r="R1073" s="61"/>
      <c r="S1073" s="61"/>
      <c r="T1073" s="61"/>
      <c r="U1073" s="61"/>
      <c r="V1073" s="61"/>
    </row>
    <row r="1074" spans="1:22" s="59" customFormat="1" x14ac:dyDescent="0.25">
      <c r="A1074" s="61" t="s">
        <v>179</v>
      </c>
      <c r="B1074" s="61">
        <v>1987</v>
      </c>
      <c r="C1074" s="64">
        <v>43.347135875333898</v>
      </c>
      <c r="D1074" s="64">
        <v>4.5620808499895702</v>
      </c>
      <c r="E1074" s="59" t="s">
        <v>159</v>
      </c>
      <c r="G1074" s="61"/>
      <c r="H1074" s="61"/>
      <c r="I1074" s="61"/>
      <c r="J1074" s="61"/>
      <c r="K1074" s="61"/>
      <c r="L1074" s="61"/>
      <c r="M1074" s="61"/>
      <c r="N1074" s="61"/>
      <c r="O1074" s="61"/>
      <c r="P1074" s="61"/>
      <c r="Q1074" s="61"/>
      <c r="R1074" s="61"/>
      <c r="S1074" s="61"/>
      <c r="T1074" s="61"/>
      <c r="U1074" s="61"/>
      <c r="V1074" s="61"/>
    </row>
    <row r="1075" spans="1:22" s="59" customFormat="1" x14ac:dyDescent="0.25">
      <c r="A1075" s="61" t="s">
        <v>179</v>
      </c>
      <c r="B1075" s="61">
        <v>1988</v>
      </c>
      <c r="C1075" s="64">
        <v>41.259325823911702</v>
      </c>
      <c r="D1075" s="64">
        <v>5.0321017914807298</v>
      </c>
      <c r="E1075" s="59" t="s">
        <v>159</v>
      </c>
      <c r="G1075" s="61"/>
      <c r="H1075" s="61"/>
      <c r="I1075" s="61"/>
      <c r="J1075" s="61"/>
      <c r="K1075" s="61"/>
      <c r="L1075" s="61"/>
      <c r="M1075" s="61"/>
      <c r="N1075" s="61"/>
      <c r="O1075" s="61"/>
      <c r="P1075" s="61"/>
      <c r="Q1075" s="61"/>
      <c r="R1075" s="61"/>
      <c r="S1075" s="61"/>
      <c r="T1075" s="61"/>
      <c r="U1075" s="61"/>
      <c r="V1075" s="61"/>
    </row>
    <row r="1076" spans="1:22" s="59" customFormat="1" x14ac:dyDescent="0.25">
      <c r="A1076" s="61" t="s">
        <v>179</v>
      </c>
      <c r="B1076" s="61">
        <v>1989</v>
      </c>
      <c r="C1076" s="64">
        <v>37.565156470718101</v>
      </c>
      <c r="D1076" s="64">
        <v>2.2814467235591702</v>
      </c>
      <c r="E1076" s="59" t="s">
        <v>159</v>
      </c>
      <c r="G1076" s="61"/>
      <c r="H1076" s="61"/>
      <c r="I1076" s="61"/>
      <c r="J1076" s="61"/>
      <c r="K1076" s="61"/>
      <c r="L1076" s="61"/>
      <c r="M1076" s="61"/>
      <c r="N1076" s="61"/>
      <c r="O1076" s="61"/>
      <c r="P1076" s="61"/>
      <c r="Q1076" s="61"/>
      <c r="R1076" s="61"/>
      <c r="S1076" s="61"/>
      <c r="T1076" s="61"/>
      <c r="U1076" s="61"/>
      <c r="V1076" s="61"/>
    </row>
    <row r="1077" spans="1:22" s="59" customFormat="1" x14ac:dyDescent="0.25">
      <c r="A1077" s="61" t="s">
        <v>179</v>
      </c>
      <c r="B1077" s="61">
        <v>1990</v>
      </c>
      <c r="C1077" s="64">
        <v>33.839514767229602</v>
      </c>
      <c r="D1077" s="64">
        <v>0.77926614626020496</v>
      </c>
      <c r="E1077" s="59" t="s">
        <v>159</v>
      </c>
      <c r="G1077" s="61"/>
      <c r="H1077" s="61"/>
      <c r="I1077" s="61"/>
      <c r="J1077" s="61"/>
      <c r="K1077" s="61"/>
      <c r="L1077" s="61"/>
      <c r="M1077" s="61"/>
      <c r="N1077" s="61"/>
      <c r="O1077" s="61"/>
      <c r="P1077" s="61"/>
      <c r="Q1077" s="61"/>
      <c r="R1077" s="61"/>
      <c r="S1077" s="61"/>
      <c r="T1077" s="61"/>
      <c r="U1077" s="61"/>
      <c r="V1077" s="61"/>
    </row>
    <row r="1078" spans="1:22" s="59" customFormat="1" x14ac:dyDescent="0.25">
      <c r="A1078" s="61" t="s">
        <v>179</v>
      </c>
      <c r="B1078" s="61">
        <v>1991</v>
      </c>
      <c r="C1078" s="64">
        <v>33.191072120588501</v>
      </c>
      <c r="D1078" s="64">
        <v>-1.3924389679299101</v>
      </c>
      <c r="E1078" s="59" t="s">
        <v>159</v>
      </c>
      <c r="G1078" s="61"/>
      <c r="H1078" s="61"/>
      <c r="I1078" s="61"/>
      <c r="J1078" s="61"/>
      <c r="K1078" s="61"/>
      <c r="L1078" s="61"/>
      <c r="M1078" s="61"/>
      <c r="N1078" s="61"/>
      <c r="O1078" s="61"/>
      <c r="P1078" s="61"/>
      <c r="Q1078" s="61"/>
      <c r="R1078" s="61"/>
      <c r="S1078" s="61"/>
      <c r="T1078" s="61"/>
      <c r="U1078" s="61"/>
      <c r="V1078" s="61"/>
    </row>
    <row r="1079" spans="1:22" s="59" customFormat="1" x14ac:dyDescent="0.25">
      <c r="A1079" s="61" t="s">
        <v>179</v>
      </c>
      <c r="B1079" s="61">
        <v>1992</v>
      </c>
      <c r="C1079" s="64">
        <v>34.4855967078189</v>
      </c>
      <c r="D1079" s="64">
        <v>0.14663044947824699</v>
      </c>
      <c r="E1079" s="59" t="s">
        <v>159</v>
      </c>
      <c r="G1079" s="61"/>
      <c r="H1079" s="61"/>
      <c r="I1079" s="61"/>
      <c r="J1079" s="61"/>
      <c r="K1079" s="61"/>
      <c r="L1079" s="61"/>
      <c r="M1079" s="61"/>
      <c r="N1079" s="61"/>
      <c r="O1079" s="61"/>
      <c r="P1079" s="61"/>
      <c r="Q1079" s="61"/>
      <c r="R1079" s="61"/>
      <c r="S1079" s="61"/>
      <c r="T1079" s="61"/>
      <c r="U1079" s="61"/>
      <c r="V1079" s="61"/>
    </row>
    <row r="1080" spans="1:22" s="59" customFormat="1" x14ac:dyDescent="0.25">
      <c r="A1080" s="61" t="s">
        <v>179</v>
      </c>
      <c r="B1080" s="61">
        <v>1993</v>
      </c>
      <c r="C1080" s="64">
        <v>38.037377177482</v>
      </c>
      <c r="D1080" s="64">
        <v>2.2222549499694999</v>
      </c>
      <c r="E1080" s="59" t="s">
        <v>159</v>
      </c>
      <c r="G1080" s="61"/>
      <c r="H1080" s="61"/>
      <c r="I1080" s="61"/>
      <c r="J1080" s="61"/>
      <c r="K1080" s="61"/>
      <c r="L1080" s="61"/>
      <c r="M1080" s="61"/>
      <c r="N1080" s="61"/>
      <c r="O1080" s="61"/>
      <c r="P1080" s="61"/>
      <c r="Q1080" s="61"/>
      <c r="R1080" s="61"/>
      <c r="S1080" s="61"/>
      <c r="T1080" s="61"/>
      <c r="U1080" s="61"/>
      <c r="V1080" s="61"/>
    </row>
    <row r="1081" spans="1:22" s="59" customFormat="1" x14ac:dyDescent="0.25">
      <c r="A1081" s="61" t="s">
        <v>179</v>
      </c>
      <c r="B1081" s="61">
        <v>1994</v>
      </c>
      <c r="C1081" s="64">
        <v>44.282360275156698</v>
      </c>
      <c r="D1081" s="64">
        <v>4.2801743285589202</v>
      </c>
      <c r="E1081" s="59" t="s">
        <v>159</v>
      </c>
      <c r="G1081" s="61"/>
      <c r="H1081" s="61"/>
      <c r="I1081" s="61"/>
      <c r="J1081" s="61"/>
      <c r="K1081" s="61"/>
      <c r="L1081" s="61"/>
      <c r="M1081" s="61"/>
      <c r="N1081" s="61"/>
      <c r="O1081" s="61"/>
      <c r="P1081" s="61"/>
      <c r="Q1081" s="61"/>
      <c r="R1081" s="61"/>
      <c r="S1081" s="61"/>
      <c r="T1081" s="61"/>
      <c r="U1081" s="61"/>
      <c r="V1081" s="61"/>
    </row>
    <row r="1082" spans="1:22" s="59" customFormat="1" x14ac:dyDescent="0.25">
      <c r="A1082" s="61" t="s">
        <v>179</v>
      </c>
      <c r="B1082" s="61">
        <v>1995</v>
      </c>
      <c r="C1082" s="64">
        <v>47.617508516691103</v>
      </c>
      <c r="D1082" s="64">
        <v>3.0427374044395199</v>
      </c>
      <c r="E1082" s="59" t="s">
        <v>159</v>
      </c>
      <c r="G1082" s="61"/>
      <c r="H1082" s="61"/>
      <c r="I1082" s="61"/>
      <c r="J1082" s="61"/>
      <c r="K1082" s="61"/>
      <c r="L1082" s="61"/>
      <c r="M1082" s="61"/>
      <c r="N1082" s="61"/>
      <c r="O1082" s="61"/>
      <c r="P1082" s="61"/>
      <c r="Q1082" s="61"/>
      <c r="R1082" s="61"/>
      <c r="S1082" s="61"/>
      <c r="T1082" s="61"/>
      <c r="U1082" s="61"/>
      <c r="V1082" s="61"/>
    </row>
    <row r="1083" spans="1:22" s="59" customFormat="1" x14ac:dyDescent="0.25">
      <c r="A1083" s="61" t="s">
        <v>179</v>
      </c>
      <c r="B1083" s="61">
        <v>1996</v>
      </c>
      <c r="C1083" s="64">
        <v>49.976974029263502</v>
      </c>
      <c r="D1083" s="64">
        <v>2.8792564816511499</v>
      </c>
      <c r="E1083" s="59" t="s">
        <v>159</v>
      </c>
      <c r="G1083" s="61"/>
      <c r="H1083" s="61"/>
      <c r="I1083" s="61"/>
      <c r="J1083" s="61"/>
      <c r="K1083" s="61"/>
      <c r="L1083" s="61"/>
      <c r="M1083" s="61"/>
      <c r="N1083" s="61"/>
      <c r="O1083" s="61"/>
      <c r="P1083" s="61"/>
      <c r="Q1083" s="61"/>
      <c r="R1083" s="61"/>
      <c r="S1083" s="61"/>
      <c r="T1083" s="61"/>
      <c r="U1083" s="61"/>
      <c r="V1083" s="61"/>
    </row>
    <row r="1084" spans="1:22" s="59" customFormat="1" x14ac:dyDescent="0.25">
      <c r="A1084" s="61" t="s">
        <v>179</v>
      </c>
      <c r="B1084" s="61">
        <v>1997</v>
      </c>
      <c r="C1084" s="64">
        <v>50.541986811132197</v>
      </c>
      <c r="D1084" s="64">
        <v>3.3071700785332099</v>
      </c>
      <c r="E1084" s="59" t="s">
        <v>159</v>
      </c>
      <c r="G1084" s="61"/>
      <c r="H1084" s="61"/>
      <c r="I1084" s="61"/>
      <c r="J1084" s="61"/>
      <c r="K1084" s="61"/>
      <c r="L1084" s="61"/>
      <c r="M1084" s="61"/>
      <c r="N1084" s="61"/>
      <c r="O1084" s="61"/>
      <c r="P1084" s="61"/>
      <c r="Q1084" s="61"/>
      <c r="R1084" s="61"/>
      <c r="S1084" s="61"/>
      <c r="T1084" s="61"/>
      <c r="U1084" s="61"/>
      <c r="V1084" s="61"/>
    </row>
    <row r="1085" spans="1:22" s="59" customFormat="1" x14ac:dyDescent="0.25">
      <c r="A1085" s="61" t="s">
        <v>179</v>
      </c>
      <c r="B1085" s="61">
        <v>1998</v>
      </c>
      <c r="C1085" s="64">
        <v>47.5974346549092</v>
      </c>
      <c r="D1085" s="64">
        <v>3.6057308180755401</v>
      </c>
      <c r="E1085" s="59" t="s">
        <v>159</v>
      </c>
      <c r="G1085" s="61"/>
      <c r="H1085" s="61"/>
      <c r="I1085" s="61"/>
      <c r="J1085" s="61"/>
      <c r="K1085" s="61"/>
      <c r="L1085" s="61"/>
      <c r="M1085" s="61"/>
      <c r="N1085" s="61"/>
      <c r="O1085" s="61"/>
      <c r="P1085" s="61"/>
      <c r="Q1085" s="61"/>
      <c r="R1085" s="61"/>
      <c r="S1085" s="61"/>
      <c r="T1085" s="61"/>
      <c r="U1085" s="61"/>
      <c r="V1085" s="61"/>
    </row>
    <row r="1086" spans="1:22" s="59" customFormat="1" x14ac:dyDescent="0.25">
      <c r="A1086" s="61" t="s">
        <v>179</v>
      </c>
      <c r="B1086" s="61">
        <v>1999</v>
      </c>
      <c r="C1086" s="64">
        <v>45.398770363830202</v>
      </c>
      <c r="D1086" s="64">
        <v>3.4732411573344102</v>
      </c>
      <c r="E1086" s="59" t="s">
        <v>159</v>
      </c>
      <c r="G1086" s="61"/>
      <c r="H1086" s="61"/>
      <c r="I1086" s="61"/>
      <c r="J1086" s="61"/>
      <c r="K1086" s="61"/>
      <c r="L1086" s="61"/>
      <c r="M1086" s="61"/>
      <c r="N1086" s="61"/>
      <c r="O1086" s="61"/>
      <c r="P1086" s="61"/>
      <c r="Q1086" s="61"/>
      <c r="R1086" s="61"/>
      <c r="S1086" s="61"/>
      <c r="T1086" s="61"/>
      <c r="U1086" s="61"/>
      <c r="V1086" s="61"/>
    </row>
    <row r="1087" spans="1:22" s="59" customFormat="1" x14ac:dyDescent="0.25">
      <c r="A1087" s="61" t="s">
        <v>179</v>
      </c>
      <c r="B1087" s="61">
        <v>2000</v>
      </c>
      <c r="C1087" s="64">
        <v>43.648294527681102</v>
      </c>
      <c r="D1087" s="64">
        <v>3.9150367497438099</v>
      </c>
      <c r="E1087" s="59" t="s">
        <v>159</v>
      </c>
      <c r="G1087" s="61"/>
      <c r="H1087" s="61"/>
      <c r="I1087" s="61"/>
      <c r="J1087" s="61"/>
      <c r="K1087" s="61"/>
      <c r="L1087" s="61"/>
      <c r="M1087" s="61"/>
      <c r="N1087" s="61"/>
      <c r="O1087" s="61"/>
      <c r="P1087" s="61"/>
      <c r="Q1087" s="61"/>
      <c r="R1087" s="61"/>
      <c r="S1087" s="61"/>
      <c r="T1087" s="61"/>
      <c r="U1087" s="61"/>
      <c r="V1087" s="61"/>
    </row>
    <row r="1088" spans="1:22" s="59" customFormat="1" x14ac:dyDescent="0.25">
      <c r="A1088" s="61" t="s">
        <v>179</v>
      </c>
      <c r="B1088" s="61">
        <v>2001</v>
      </c>
      <c r="C1088" s="64">
        <v>41.685684870643598</v>
      </c>
      <c r="D1088" s="64">
        <v>2.4618320250495902</v>
      </c>
      <c r="E1088" s="59" t="s">
        <v>159</v>
      </c>
      <c r="G1088" s="61"/>
      <c r="H1088" s="61"/>
      <c r="I1088" s="61"/>
      <c r="J1088" s="61"/>
      <c r="K1088" s="61"/>
      <c r="L1088" s="61"/>
      <c r="M1088" s="61"/>
      <c r="N1088" s="61"/>
      <c r="O1088" s="61"/>
      <c r="P1088" s="61"/>
      <c r="Q1088" s="61"/>
      <c r="R1088" s="61"/>
      <c r="S1088" s="61"/>
      <c r="T1088" s="61"/>
      <c r="U1088" s="61"/>
      <c r="V1088" s="61"/>
    </row>
    <row r="1089" spans="1:22" s="59" customFormat="1" x14ac:dyDescent="0.25">
      <c r="A1089" s="61" t="s">
        <v>179</v>
      </c>
      <c r="B1089" s="61">
        <v>2002</v>
      </c>
      <c r="C1089" s="64">
        <v>40.401500979951003</v>
      </c>
      <c r="D1089" s="64">
        <v>2.0965327954538102</v>
      </c>
      <c r="E1089" s="59" t="s">
        <v>159</v>
      </c>
      <c r="G1089" s="61"/>
      <c r="H1089" s="61"/>
      <c r="I1089" s="61"/>
      <c r="J1089" s="61"/>
      <c r="K1089" s="61"/>
      <c r="L1089" s="61"/>
      <c r="M1089" s="61"/>
      <c r="N1089" s="61"/>
      <c r="O1089" s="61"/>
      <c r="P1089" s="61"/>
      <c r="Q1089" s="61"/>
      <c r="R1089" s="61"/>
      <c r="S1089" s="61"/>
      <c r="T1089" s="61"/>
      <c r="U1089" s="61"/>
      <c r="V1089" s="61"/>
    </row>
    <row r="1090" spans="1:22" s="59" customFormat="1" x14ac:dyDescent="0.25">
      <c r="A1090" s="61" t="s">
        <v>179</v>
      </c>
      <c r="B1090" s="61">
        <v>2003</v>
      </c>
      <c r="C1090" s="64">
        <v>39.307529923333803</v>
      </c>
      <c r="D1090" s="64">
        <v>2.81802206208706</v>
      </c>
      <c r="E1090" s="59" t="s">
        <v>159</v>
      </c>
      <c r="G1090" s="61"/>
      <c r="H1090" s="61"/>
      <c r="I1090" s="61"/>
      <c r="J1090" s="61"/>
      <c r="K1090" s="61"/>
      <c r="L1090" s="61"/>
      <c r="M1090" s="61"/>
      <c r="N1090" s="61"/>
      <c r="O1090" s="61"/>
      <c r="P1090" s="61"/>
      <c r="Q1090" s="61"/>
      <c r="R1090" s="61"/>
      <c r="S1090" s="61"/>
      <c r="T1090" s="61"/>
      <c r="U1090" s="61"/>
      <c r="V1090" s="61"/>
    </row>
    <row r="1091" spans="1:22" s="59" customFormat="1" x14ac:dyDescent="0.25">
      <c r="A1091" s="61" t="s">
        <v>179</v>
      </c>
      <c r="B1091" s="61">
        <v>2004</v>
      </c>
      <c r="C1091" s="64">
        <v>41.326810534016097</v>
      </c>
      <c r="D1091" s="64">
        <v>2.7578074413070901</v>
      </c>
      <c r="E1091" s="59" t="s">
        <v>159</v>
      </c>
      <c r="G1091" s="61"/>
      <c r="H1091" s="61"/>
      <c r="I1091" s="61"/>
      <c r="J1091" s="61"/>
      <c r="K1091" s="61"/>
      <c r="L1091" s="61"/>
      <c r="M1091" s="61"/>
      <c r="N1091" s="61"/>
      <c r="O1091" s="61"/>
      <c r="P1091" s="61"/>
      <c r="Q1091" s="61"/>
      <c r="R1091" s="61"/>
      <c r="S1091" s="61"/>
      <c r="T1091" s="61"/>
      <c r="U1091" s="61"/>
      <c r="V1091" s="61"/>
    </row>
    <row r="1092" spans="1:22" s="59" customFormat="1" x14ac:dyDescent="0.25">
      <c r="A1092" s="61" t="s">
        <v>179</v>
      </c>
      <c r="B1092" s="61">
        <v>2005</v>
      </c>
      <c r="C1092" s="64">
        <v>38.594644594357497</v>
      </c>
      <c r="D1092" s="64">
        <v>2.0575864642266199</v>
      </c>
      <c r="E1092" s="59" t="s">
        <v>159</v>
      </c>
      <c r="G1092" s="61"/>
      <c r="H1092" s="61"/>
      <c r="I1092" s="61"/>
      <c r="J1092" s="61"/>
      <c r="K1092" s="61"/>
      <c r="L1092" s="61"/>
      <c r="M1092" s="61"/>
      <c r="N1092" s="61"/>
      <c r="O1092" s="61"/>
      <c r="P1092" s="61"/>
      <c r="Q1092" s="61"/>
      <c r="R1092" s="61"/>
      <c r="S1092" s="61"/>
      <c r="T1092" s="61"/>
      <c r="U1092" s="61"/>
      <c r="V1092" s="61"/>
    </row>
    <row r="1093" spans="1:22" s="59" customFormat="1" x14ac:dyDescent="0.25">
      <c r="A1093" s="61" t="s">
        <v>179</v>
      </c>
      <c r="B1093" s="61">
        <v>2006</v>
      </c>
      <c r="C1093" s="64">
        <v>40.051289787298202</v>
      </c>
      <c r="D1093" s="64">
        <v>2.8378382900685599</v>
      </c>
      <c r="E1093" s="59" t="s">
        <v>159</v>
      </c>
      <c r="G1093" s="61"/>
      <c r="H1093" s="61"/>
      <c r="I1093" s="61"/>
      <c r="J1093" s="61"/>
      <c r="K1093" s="61"/>
      <c r="L1093" s="61"/>
      <c r="M1093" s="61"/>
      <c r="N1093" s="61"/>
      <c r="O1093" s="61"/>
      <c r="P1093" s="61"/>
      <c r="Q1093" s="61"/>
      <c r="R1093" s="61"/>
      <c r="S1093" s="61"/>
      <c r="T1093" s="61"/>
      <c r="U1093" s="61"/>
      <c r="V1093" s="61"/>
    </row>
    <row r="1094" spans="1:22" s="59" customFormat="1" x14ac:dyDescent="0.25">
      <c r="A1094" s="61" t="s">
        <v>179</v>
      </c>
      <c r="B1094" s="61">
        <v>2007</v>
      </c>
      <c r="C1094" s="64">
        <v>41.0328262610088</v>
      </c>
      <c r="D1094" s="64">
        <v>3.0223821099320198</v>
      </c>
      <c r="E1094" s="59" t="s">
        <v>159</v>
      </c>
      <c r="G1094" s="61"/>
      <c r="H1094" s="61"/>
      <c r="I1094" s="61"/>
      <c r="J1094" s="61"/>
      <c r="K1094" s="61"/>
      <c r="L1094" s="61"/>
      <c r="M1094" s="61"/>
      <c r="N1094" s="61"/>
      <c r="O1094" s="61"/>
      <c r="P1094" s="61"/>
      <c r="Q1094" s="61"/>
      <c r="R1094" s="61"/>
      <c r="S1094" s="61"/>
      <c r="T1094" s="61"/>
      <c r="U1094" s="61"/>
      <c r="V1094" s="61"/>
    </row>
    <row r="1095" spans="1:22" s="59" customFormat="1" x14ac:dyDescent="0.25">
      <c r="A1095" s="61" t="s">
        <v>179</v>
      </c>
      <c r="B1095" s="61">
        <v>2008</v>
      </c>
      <c r="C1095" s="64">
        <v>42.451819017917003</v>
      </c>
      <c r="D1095" s="64">
        <v>0.70691524518950999</v>
      </c>
      <c r="E1095" s="59" t="s">
        <v>159</v>
      </c>
      <c r="G1095" s="61"/>
      <c r="H1095" s="61"/>
      <c r="I1095" s="61"/>
      <c r="J1095" s="61"/>
      <c r="K1095" s="61"/>
      <c r="L1095" s="61"/>
      <c r="M1095" s="61"/>
      <c r="N1095" s="61"/>
      <c r="O1095" s="61"/>
      <c r="P1095" s="61"/>
      <c r="Q1095" s="61"/>
      <c r="R1095" s="61"/>
      <c r="S1095" s="61"/>
      <c r="T1095" s="61"/>
      <c r="U1095" s="61"/>
      <c r="V1095" s="61"/>
    </row>
    <row r="1096" spans="1:22" s="59" customFormat="1" x14ac:dyDescent="0.25">
      <c r="A1096" s="61" t="s">
        <v>180</v>
      </c>
      <c r="B1096" s="61">
        <v>1946</v>
      </c>
      <c r="C1096" s="64">
        <v>121.25206983483299</v>
      </c>
      <c r="D1096" s="64">
        <v>-10.942158616577199</v>
      </c>
      <c r="E1096" s="59" t="s">
        <v>160</v>
      </c>
      <c r="G1096" s="61"/>
      <c r="H1096" s="61"/>
      <c r="I1096" s="61"/>
      <c r="J1096" s="61"/>
      <c r="K1096" s="61"/>
      <c r="L1096" s="61"/>
      <c r="M1096" s="61"/>
      <c r="N1096" s="61"/>
      <c r="O1096" s="61"/>
      <c r="P1096" s="61"/>
      <c r="Q1096" s="61"/>
      <c r="R1096" s="61"/>
      <c r="S1096" s="61"/>
      <c r="T1096" s="61"/>
      <c r="U1096" s="61"/>
      <c r="V1096" s="61"/>
    </row>
    <row r="1097" spans="1:22" s="59" customFormat="1" x14ac:dyDescent="0.25">
      <c r="A1097" s="61" t="s">
        <v>180</v>
      </c>
      <c r="B1097" s="61">
        <v>1947</v>
      </c>
      <c r="C1097" s="64">
        <v>105.811709589922</v>
      </c>
      <c r="D1097" s="64">
        <v>-0.89833723914742902</v>
      </c>
      <c r="E1097" s="59" t="s">
        <v>160</v>
      </c>
      <c r="G1097" s="61"/>
      <c r="H1097" s="61"/>
      <c r="I1097" s="61"/>
      <c r="J1097" s="61"/>
      <c r="K1097" s="61"/>
      <c r="L1097" s="61"/>
      <c r="M1097" s="61"/>
      <c r="N1097" s="61"/>
      <c r="O1097" s="61"/>
      <c r="P1097" s="61"/>
      <c r="Q1097" s="61"/>
      <c r="R1097" s="61"/>
      <c r="S1097" s="61"/>
      <c r="T1097" s="61"/>
      <c r="U1097" s="61"/>
      <c r="V1097" s="61"/>
    </row>
    <row r="1098" spans="1:22" s="59" customFormat="1" x14ac:dyDescent="0.25">
      <c r="A1098" s="61" t="s">
        <v>180</v>
      </c>
      <c r="B1098" s="61">
        <v>1948</v>
      </c>
      <c r="C1098" s="64">
        <v>93.754086403938999</v>
      </c>
      <c r="D1098" s="64">
        <v>4.39727492821351</v>
      </c>
      <c r="E1098" s="59" t="s">
        <v>160</v>
      </c>
      <c r="G1098" s="61"/>
      <c r="H1098" s="61"/>
      <c r="I1098" s="61"/>
      <c r="J1098" s="61"/>
      <c r="K1098" s="61"/>
      <c r="L1098" s="61"/>
      <c r="M1098" s="61"/>
      <c r="N1098" s="61"/>
      <c r="O1098" s="61"/>
      <c r="P1098" s="61"/>
      <c r="Q1098" s="61"/>
      <c r="R1098" s="61"/>
      <c r="S1098" s="61"/>
      <c r="T1098" s="61"/>
      <c r="U1098" s="61"/>
      <c r="V1098" s="61"/>
    </row>
    <row r="1099" spans="1:22" s="59" customFormat="1" x14ac:dyDescent="0.25">
      <c r="A1099" s="61" t="s">
        <v>180</v>
      </c>
      <c r="B1099" s="61">
        <v>1949</v>
      </c>
      <c r="C1099" s="64">
        <v>94.599685576347298</v>
      </c>
      <c r="D1099" s="64">
        <v>-0.51235033976917399</v>
      </c>
      <c r="E1099" s="59" t="s">
        <v>160</v>
      </c>
      <c r="G1099" s="61"/>
      <c r="H1099" s="61"/>
      <c r="I1099" s="61"/>
      <c r="J1099" s="61"/>
      <c r="K1099" s="61"/>
      <c r="L1099" s="61"/>
      <c r="M1099" s="61"/>
      <c r="N1099" s="61"/>
      <c r="O1099" s="61"/>
      <c r="P1099" s="61"/>
      <c r="Q1099" s="61"/>
      <c r="R1099" s="61"/>
      <c r="S1099" s="61"/>
      <c r="T1099" s="61"/>
      <c r="U1099" s="61"/>
      <c r="V1099" s="61"/>
    </row>
    <row r="1100" spans="1:22" s="59" customFormat="1" x14ac:dyDescent="0.25">
      <c r="A1100" s="61" t="s">
        <v>180</v>
      </c>
      <c r="B1100" s="61">
        <v>1950</v>
      </c>
      <c r="C1100" s="64">
        <v>87.625928617977493</v>
      </c>
      <c r="D1100" s="64">
        <v>8.7439692090854901</v>
      </c>
      <c r="E1100" s="59" t="s">
        <v>156</v>
      </c>
      <c r="G1100" s="61"/>
      <c r="H1100" s="61"/>
      <c r="I1100" s="61"/>
      <c r="J1100" s="61"/>
      <c r="K1100" s="61"/>
      <c r="L1100" s="61"/>
      <c r="M1100" s="61"/>
      <c r="N1100" s="61"/>
      <c r="O1100" s="61"/>
      <c r="P1100" s="61"/>
      <c r="Q1100" s="61"/>
      <c r="R1100" s="61"/>
      <c r="S1100" s="61"/>
      <c r="T1100" s="61"/>
      <c r="U1100" s="61"/>
      <c r="V1100" s="61"/>
    </row>
    <row r="1101" spans="1:22" s="59" customFormat="1" x14ac:dyDescent="0.25">
      <c r="A1101" s="61" t="s">
        <v>180</v>
      </c>
      <c r="B1101" s="61">
        <v>1951</v>
      </c>
      <c r="C1101" s="64">
        <v>75.220152318007706</v>
      </c>
      <c r="D1101" s="64">
        <v>7.7318045862412799</v>
      </c>
      <c r="E1101" s="59" t="s">
        <v>156</v>
      </c>
      <c r="G1101" s="61"/>
      <c r="H1101" s="61"/>
      <c r="I1101" s="61"/>
      <c r="J1101" s="61"/>
      <c r="K1101" s="61"/>
      <c r="L1101" s="61"/>
      <c r="M1101" s="61"/>
      <c r="N1101" s="61"/>
      <c r="O1101" s="61"/>
      <c r="P1101" s="61"/>
      <c r="Q1101" s="61"/>
      <c r="R1101" s="61"/>
      <c r="S1101" s="61"/>
      <c r="T1101" s="61"/>
      <c r="U1101" s="61"/>
      <c r="V1101" s="61"/>
    </row>
    <row r="1102" spans="1:22" s="59" customFormat="1" x14ac:dyDescent="0.25">
      <c r="A1102" s="61" t="s">
        <v>180</v>
      </c>
      <c r="B1102" s="61">
        <v>1952</v>
      </c>
      <c r="C1102" s="64">
        <v>72.315148977114106</v>
      </c>
      <c r="D1102" s="64">
        <v>3.83138216648931</v>
      </c>
      <c r="E1102" s="59" t="s">
        <v>156</v>
      </c>
      <c r="G1102" s="61"/>
      <c r="H1102" s="61"/>
      <c r="I1102" s="61"/>
      <c r="J1102" s="61"/>
      <c r="K1102" s="61"/>
      <c r="L1102" s="61"/>
      <c r="M1102" s="61"/>
      <c r="N1102" s="61"/>
      <c r="O1102" s="61"/>
      <c r="P1102" s="61"/>
      <c r="Q1102" s="61"/>
      <c r="R1102" s="61"/>
      <c r="S1102" s="61"/>
      <c r="T1102" s="61"/>
      <c r="U1102" s="61"/>
      <c r="V1102" s="61"/>
    </row>
    <row r="1103" spans="1:22" s="59" customFormat="1" x14ac:dyDescent="0.25">
      <c r="A1103" s="61" t="s">
        <v>180</v>
      </c>
      <c r="B1103" s="61">
        <v>1953</v>
      </c>
      <c r="C1103" s="64">
        <v>70.147920284471397</v>
      </c>
      <c r="D1103" s="64">
        <v>4.60359196042603</v>
      </c>
      <c r="E1103" s="59" t="s">
        <v>156</v>
      </c>
      <c r="G1103" s="61"/>
      <c r="H1103" s="61"/>
      <c r="I1103" s="61"/>
      <c r="J1103" s="61"/>
      <c r="K1103" s="61"/>
      <c r="L1103" s="61"/>
      <c r="M1103" s="61"/>
      <c r="N1103" s="61"/>
      <c r="O1103" s="61"/>
      <c r="P1103" s="61"/>
      <c r="Q1103" s="61"/>
      <c r="R1103" s="61"/>
      <c r="S1103" s="61"/>
      <c r="T1103" s="61"/>
      <c r="U1103" s="61"/>
      <c r="V1103" s="61"/>
    </row>
    <row r="1104" spans="1:22" s="59" customFormat="1" x14ac:dyDescent="0.25">
      <c r="A1104" s="61" t="s">
        <v>180</v>
      </c>
      <c r="B1104" s="61">
        <v>1954</v>
      </c>
      <c r="C1104" s="64">
        <v>71.309042878023106</v>
      </c>
      <c r="D1104" s="64">
        <v>-0.630538513974088</v>
      </c>
      <c r="E1104" s="59" t="s">
        <v>156</v>
      </c>
      <c r="G1104" s="61"/>
      <c r="H1104" s="61"/>
      <c r="I1104" s="61"/>
      <c r="J1104" s="61"/>
      <c r="K1104" s="61"/>
      <c r="L1104" s="61"/>
      <c r="M1104" s="61"/>
      <c r="N1104" s="61"/>
      <c r="O1104" s="61"/>
      <c r="P1104" s="61"/>
      <c r="Q1104" s="61"/>
      <c r="R1104" s="61"/>
      <c r="S1104" s="61"/>
      <c r="T1104" s="61"/>
      <c r="U1104" s="61"/>
      <c r="V1104" s="61"/>
    </row>
    <row r="1105" spans="1:22" s="59" customFormat="1" x14ac:dyDescent="0.25">
      <c r="A1105" s="61" t="s">
        <v>180</v>
      </c>
      <c r="B1105" s="61">
        <v>1955</v>
      </c>
      <c r="C1105" s="64">
        <v>66.162098578008198</v>
      </c>
      <c r="D1105" s="64">
        <v>7.1985937232035697</v>
      </c>
      <c r="E1105" s="59" t="s">
        <v>156</v>
      </c>
      <c r="G1105" s="61"/>
      <c r="H1105" s="61"/>
      <c r="I1105" s="61"/>
      <c r="J1105" s="61"/>
      <c r="K1105" s="61"/>
      <c r="L1105" s="61"/>
      <c r="M1105" s="61"/>
      <c r="N1105" s="61"/>
      <c r="O1105" s="61"/>
      <c r="P1105" s="61"/>
      <c r="Q1105" s="61"/>
      <c r="R1105" s="61"/>
      <c r="S1105" s="61"/>
      <c r="T1105" s="61"/>
      <c r="U1105" s="61"/>
      <c r="V1105" s="61"/>
    </row>
    <row r="1106" spans="1:22" s="59" customFormat="1" x14ac:dyDescent="0.25">
      <c r="A1106" s="61" t="s">
        <v>180</v>
      </c>
      <c r="B1106" s="61">
        <v>1956</v>
      </c>
      <c r="C1106" s="64">
        <v>62.357296216049399</v>
      </c>
      <c r="D1106" s="64">
        <v>1.97576290845096</v>
      </c>
      <c r="E1106" s="59" t="s">
        <v>156</v>
      </c>
      <c r="G1106" s="61"/>
      <c r="H1106" s="61"/>
      <c r="I1106" s="61"/>
      <c r="J1106" s="61"/>
      <c r="K1106" s="61"/>
      <c r="L1106" s="61"/>
      <c r="M1106" s="61"/>
      <c r="N1106" s="61"/>
      <c r="O1106" s="61"/>
      <c r="P1106" s="61"/>
      <c r="Q1106" s="61"/>
      <c r="R1106" s="61"/>
      <c r="S1106" s="61"/>
      <c r="T1106" s="61"/>
      <c r="U1106" s="61"/>
      <c r="V1106" s="61"/>
    </row>
    <row r="1107" spans="1:22" s="59" customFormat="1" x14ac:dyDescent="0.25">
      <c r="A1107" s="61" t="s">
        <v>180</v>
      </c>
      <c r="B1107" s="61">
        <v>1957</v>
      </c>
      <c r="C1107" s="64">
        <v>58.669957036651503</v>
      </c>
      <c r="D1107" s="64">
        <v>2.0159234419735701</v>
      </c>
      <c r="E1107" s="59" t="s">
        <v>159</v>
      </c>
      <c r="G1107" s="61"/>
      <c r="H1107" s="61"/>
      <c r="I1107" s="61"/>
      <c r="J1107" s="61"/>
      <c r="K1107" s="61"/>
      <c r="L1107" s="61"/>
      <c r="M1107" s="61"/>
      <c r="N1107" s="61"/>
      <c r="O1107" s="61"/>
      <c r="P1107" s="61"/>
      <c r="Q1107" s="61"/>
      <c r="R1107" s="61"/>
      <c r="S1107" s="61"/>
      <c r="T1107" s="61"/>
      <c r="U1107" s="61"/>
      <c r="V1107" s="61"/>
    </row>
    <row r="1108" spans="1:22" s="59" customFormat="1" x14ac:dyDescent="0.25">
      <c r="A1108" s="61" t="s">
        <v>180</v>
      </c>
      <c r="B1108" s="61">
        <v>1958</v>
      </c>
      <c r="C1108" s="64">
        <v>59.148805168236301</v>
      </c>
      <c r="D1108" s="64">
        <v>-0.90346391911114698</v>
      </c>
      <c r="E1108" s="59" t="s">
        <v>159</v>
      </c>
      <c r="G1108" s="61"/>
      <c r="H1108" s="61"/>
      <c r="I1108" s="61"/>
      <c r="J1108" s="61"/>
      <c r="K1108" s="61"/>
      <c r="L1108" s="61"/>
      <c r="M1108" s="61"/>
      <c r="N1108" s="61"/>
      <c r="O1108" s="61"/>
      <c r="P1108" s="61"/>
      <c r="Q1108" s="61"/>
      <c r="R1108" s="61"/>
      <c r="S1108" s="61"/>
      <c r="T1108" s="61"/>
      <c r="U1108" s="61"/>
      <c r="V1108" s="61"/>
    </row>
    <row r="1109" spans="1:22" s="59" customFormat="1" x14ac:dyDescent="0.25">
      <c r="A1109" s="61" t="s">
        <v>180</v>
      </c>
      <c r="B1109" s="61">
        <v>1959</v>
      </c>
      <c r="C1109" s="64">
        <v>56.1993499956573</v>
      </c>
      <c r="D1109" s="64">
        <v>7.1733395406579703</v>
      </c>
      <c r="E1109" s="59" t="s">
        <v>159</v>
      </c>
      <c r="G1109" s="61"/>
      <c r="H1109" s="61"/>
      <c r="I1109" s="61"/>
      <c r="J1109" s="61"/>
      <c r="K1109" s="61"/>
      <c r="L1109" s="61"/>
      <c r="M1109" s="61"/>
      <c r="N1109" s="61"/>
      <c r="O1109" s="61"/>
      <c r="P1109" s="61"/>
      <c r="Q1109" s="61"/>
      <c r="R1109" s="61"/>
      <c r="S1109" s="61"/>
      <c r="T1109" s="61"/>
      <c r="U1109" s="61"/>
      <c r="V1109" s="61"/>
    </row>
    <row r="1110" spans="1:22" s="59" customFormat="1" x14ac:dyDescent="0.25">
      <c r="A1110" s="61" t="s">
        <v>180</v>
      </c>
      <c r="B1110" s="61">
        <v>1960</v>
      </c>
      <c r="C1110" s="64">
        <v>54.394141498480302</v>
      </c>
      <c r="D1110" s="64">
        <v>2.4760180995475198</v>
      </c>
      <c r="E1110" s="59" t="s">
        <v>159</v>
      </c>
      <c r="G1110" s="61"/>
      <c r="H1110" s="61"/>
      <c r="I1110" s="61"/>
      <c r="J1110" s="61"/>
      <c r="K1110" s="61"/>
      <c r="L1110" s="61"/>
      <c r="M1110" s="61"/>
      <c r="N1110" s="61"/>
      <c r="O1110" s="61"/>
      <c r="P1110" s="61"/>
      <c r="Q1110" s="61"/>
      <c r="R1110" s="61"/>
      <c r="S1110" s="61"/>
      <c r="T1110" s="61"/>
      <c r="U1110" s="61"/>
      <c r="V1110" s="61"/>
    </row>
    <row r="1111" spans="1:22" s="59" customFormat="1" x14ac:dyDescent="0.25">
      <c r="A1111" s="61" t="s">
        <v>180</v>
      </c>
      <c r="B1111" s="61">
        <v>1961</v>
      </c>
      <c r="C1111" s="64">
        <v>53.041655398311299</v>
      </c>
      <c r="D1111" s="64">
        <v>2.33141403793846</v>
      </c>
      <c r="E1111" s="59" t="s">
        <v>159</v>
      </c>
      <c r="G1111" s="61"/>
      <c r="H1111" s="61"/>
      <c r="I1111" s="61"/>
      <c r="J1111" s="61"/>
      <c r="K1111" s="61"/>
      <c r="L1111" s="61"/>
      <c r="M1111" s="61"/>
      <c r="N1111" s="61"/>
      <c r="O1111" s="61"/>
      <c r="P1111" s="61"/>
      <c r="Q1111" s="61"/>
      <c r="R1111" s="61"/>
      <c r="S1111" s="61"/>
      <c r="T1111" s="61"/>
      <c r="U1111" s="61"/>
      <c r="V1111" s="61"/>
    </row>
    <row r="1112" spans="1:22" s="59" customFormat="1" x14ac:dyDescent="0.25">
      <c r="A1112" s="61" t="s">
        <v>180</v>
      </c>
      <c r="B1112" s="61">
        <v>1962</v>
      </c>
      <c r="C1112" s="64">
        <v>50.913577381082497</v>
      </c>
      <c r="D1112" s="64">
        <v>6.0582001449825702</v>
      </c>
      <c r="E1112" s="59" t="s">
        <v>159</v>
      </c>
      <c r="G1112" s="61"/>
      <c r="H1112" s="61"/>
      <c r="I1112" s="61"/>
      <c r="J1112" s="61"/>
      <c r="K1112" s="61"/>
      <c r="L1112" s="61"/>
      <c r="M1112" s="61"/>
      <c r="N1112" s="61"/>
      <c r="O1112" s="61"/>
      <c r="P1112" s="61"/>
      <c r="Q1112" s="61"/>
      <c r="R1112" s="61"/>
      <c r="S1112" s="61"/>
      <c r="T1112" s="61"/>
      <c r="U1112" s="61"/>
      <c r="V1112" s="61"/>
    </row>
    <row r="1113" spans="1:22" s="59" customFormat="1" x14ac:dyDescent="0.25">
      <c r="A1113" s="61" t="s">
        <v>180</v>
      </c>
      <c r="B1113" s="61">
        <v>1963</v>
      </c>
      <c r="C1113" s="64">
        <v>49.5078719643898</v>
      </c>
      <c r="D1113" s="64">
        <v>4.3711756281734004</v>
      </c>
      <c r="E1113" s="59" t="s">
        <v>159</v>
      </c>
      <c r="G1113" s="61"/>
      <c r="H1113" s="61"/>
      <c r="I1113" s="61"/>
      <c r="J1113" s="61"/>
      <c r="K1113" s="61"/>
      <c r="L1113" s="61"/>
      <c r="M1113" s="61"/>
      <c r="N1113" s="61"/>
      <c r="O1113" s="61"/>
      <c r="P1113" s="61"/>
      <c r="Q1113" s="61"/>
      <c r="R1113" s="61"/>
      <c r="S1113" s="61"/>
      <c r="T1113" s="61"/>
      <c r="U1113" s="61"/>
      <c r="V1113" s="61"/>
    </row>
    <row r="1114" spans="1:22" s="59" customFormat="1" x14ac:dyDescent="0.25">
      <c r="A1114" s="61" t="s">
        <v>180</v>
      </c>
      <c r="B1114" s="61">
        <v>1964</v>
      </c>
      <c r="C1114" s="64">
        <v>46.973010737944499</v>
      </c>
      <c r="D1114" s="64">
        <v>5.7878816228521801</v>
      </c>
      <c r="E1114" s="59" t="s">
        <v>159</v>
      </c>
      <c r="G1114" s="61"/>
      <c r="H1114" s="61"/>
      <c r="I1114" s="61"/>
      <c r="J1114" s="61"/>
      <c r="K1114" s="61"/>
      <c r="L1114" s="61"/>
      <c r="M1114" s="61"/>
      <c r="N1114" s="61"/>
      <c r="O1114" s="61"/>
      <c r="P1114" s="61"/>
      <c r="Q1114" s="61"/>
      <c r="R1114" s="61"/>
      <c r="S1114" s="61"/>
      <c r="T1114" s="61"/>
      <c r="U1114" s="61"/>
      <c r="V1114" s="61"/>
    </row>
    <row r="1115" spans="1:22" s="59" customFormat="1" x14ac:dyDescent="0.25">
      <c r="A1115" s="61" t="s">
        <v>180</v>
      </c>
      <c r="B1115" s="61">
        <v>1965</v>
      </c>
      <c r="C1115" s="64">
        <v>44.120970516478899</v>
      </c>
      <c r="D1115" s="64">
        <v>6.4204227220469701</v>
      </c>
      <c r="E1115" s="59" t="s">
        <v>159</v>
      </c>
      <c r="G1115" s="61"/>
      <c r="H1115" s="61"/>
      <c r="I1115" s="61"/>
      <c r="J1115" s="61"/>
      <c r="K1115" s="61"/>
      <c r="L1115" s="61"/>
      <c r="M1115" s="61"/>
      <c r="N1115" s="61"/>
      <c r="O1115" s="61"/>
      <c r="P1115" s="61"/>
      <c r="Q1115" s="61"/>
      <c r="R1115" s="61"/>
      <c r="S1115" s="61"/>
      <c r="T1115" s="61"/>
      <c r="U1115" s="61"/>
      <c r="V1115" s="61"/>
    </row>
    <row r="1116" spans="1:22" s="59" customFormat="1" x14ac:dyDescent="0.25">
      <c r="A1116" s="61" t="s">
        <v>180</v>
      </c>
      <c r="B1116" s="61">
        <v>1966</v>
      </c>
      <c r="C1116" s="64">
        <v>40.612807895772498</v>
      </c>
      <c r="D1116" s="64">
        <v>6.51505498462648</v>
      </c>
      <c r="E1116" s="59" t="s">
        <v>159</v>
      </c>
      <c r="G1116" s="61"/>
      <c r="H1116" s="61"/>
      <c r="I1116" s="61"/>
      <c r="J1116" s="61"/>
      <c r="K1116" s="61"/>
      <c r="L1116" s="61"/>
      <c r="M1116" s="61"/>
      <c r="N1116" s="61"/>
      <c r="O1116" s="61"/>
      <c r="P1116" s="61"/>
      <c r="Q1116" s="61"/>
      <c r="R1116" s="61"/>
      <c r="S1116" s="61"/>
      <c r="T1116" s="61"/>
      <c r="U1116" s="61"/>
      <c r="V1116" s="61"/>
    </row>
    <row r="1117" spans="1:22" s="59" customFormat="1" x14ac:dyDescent="0.25">
      <c r="A1117" s="61" t="s">
        <v>180</v>
      </c>
      <c r="B1117" s="61">
        <v>1967</v>
      </c>
      <c r="C1117" s="64">
        <v>39.1904057898847</v>
      </c>
      <c r="D1117" s="64">
        <v>2.52776116297817</v>
      </c>
      <c r="E1117" s="59" t="s">
        <v>159</v>
      </c>
      <c r="G1117" s="61"/>
      <c r="H1117" s="61"/>
      <c r="I1117" s="61"/>
      <c r="J1117" s="61"/>
      <c r="K1117" s="61"/>
      <c r="L1117" s="61"/>
      <c r="M1117" s="61"/>
      <c r="N1117" s="61"/>
      <c r="O1117" s="61"/>
      <c r="P1117" s="61"/>
      <c r="Q1117" s="61"/>
      <c r="R1117" s="61"/>
      <c r="S1117" s="61"/>
      <c r="T1117" s="61"/>
      <c r="U1117" s="61"/>
      <c r="V1117" s="61"/>
    </row>
    <row r="1118" spans="1:22" s="59" customFormat="1" x14ac:dyDescent="0.25">
      <c r="A1118" s="61" t="s">
        <v>180</v>
      </c>
      <c r="B1118" s="61">
        <v>1968</v>
      </c>
      <c r="C1118" s="64">
        <v>38.203825722796203</v>
      </c>
      <c r="D1118" s="64">
        <v>4.8421052631578902</v>
      </c>
      <c r="E1118" s="59" t="s">
        <v>159</v>
      </c>
      <c r="G1118" s="61"/>
      <c r="H1118" s="61"/>
      <c r="I1118" s="61"/>
      <c r="J1118" s="61"/>
      <c r="K1118" s="61"/>
      <c r="L1118" s="61"/>
      <c r="M1118" s="61"/>
      <c r="N1118" s="61"/>
      <c r="O1118" s="61"/>
      <c r="P1118" s="61"/>
      <c r="Q1118" s="61"/>
      <c r="R1118" s="61"/>
      <c r="S1118" s="61"/>
      <c r="T1118" s="61"/>
      <c r="U1118" s="61"/>
      <c r="V1118" s="61"/>
    </row>
    <row r="1119" spans="1:22" s="59" customFormat="1" x14ac:dyDescent="0.25">
      <c r="A1119" s="61" t="s">
        <v>180</v>
      </c>
      <c r="B1119" s="61">
        <v>1969</v>
      </c>
      <c r="C1119" s="64">
        <v>35.932573531186499</v>
      </c>
      <c r="D1119" s="64">
        <v>3.1064015096530899</v>
      </c>
      <c r="E1119" s="59" t="s">
        <v>159</v>
      </c>
      <c r="G1119" s="61"/>
      <c r="H1119" s="61"/>
      <c r="I1119" s="61"/>
      <c r="J1119" s="61"/>
      <c r="K1119" s="61"/>
      <c r="L1119" s="61"/>
      <c r="M1119" s="61"/>
      <c r="N1119" s="61"/>
      <c r="O1119" s="61"/>
      <c r="P1119" s="61"/>
      <c r="Q1119" s="61"/>
      <c r="R1119" s="61"/>
      <c r="S1119" s="61"/>
      <c r="T1119" s="61"/>
      <c r="U1119" s="61"/>
      <c r="V1119" s="61"/>
    </row>
    <row r="1120" spans="1:22" s="59" customFormat="1" x14ac:dyDescent="0.25">
      <c r="A1120" s="61" t="s">
        <v>180</v>
      </c>
      <c r="B1120" s="61">
        <v>1970</v>
      </c>
      <c r="C1120" s="64">
        <v>35.7236547192526</v>
      </c>
      <c r="D1120" s="64">
        <v>0.19006053780090701</v>
      </c>
      <c r="E1120" s="59" t="s">
        <v>159</v>
      </c>
      <c r="G1120" s="61"/>
      <c r="H1120" s="61"/>
      <c r="I1120" s="61"/>
      <c r="J1120" s="61"/>
      <c r="K1120" s="61"/>
      <c r="L1120" s="61"/>
      <c r="M1120" s="61"/>
      <c r="N1120" s="61"/>
      <c r="O1120" s="61"/>
      <c r="P1120" s="61"/>
      <c r="Q1120" s="61"/>
      <c r="R1120" s="61"/>
      <c r="S1120" s="61"/>
      <c r="T1120" s="61"/>
      <c r="U1120" s="61"/>
      <c r="V1120" s="61"/>
    </row>
    <row r="1121" spans="1:22" s="59" customFormat="1" x14ac:dyDescent="0.25">
      <c r="A1121" s="61" t="s">
        <v>180</v>
      </c>
      <c r="B1121" s="61">
        <v>1971</v>
      </c>
      <c r="C1121" s="64">
        <v>35.332778173233898</v>
      </c>
      <c r="D1121" s="64">
        <v>3.3583924682077</v>
      </c>
      <c r="E1121" s="59" t="s">
        <v>159</v>
      </c>
      <c r="G1121" s="61"/>
      <c r="H1121" s="61"/>
      <c r="I1121" s="61"/>
      <c r="J1121" s="61"/>
      <c r="K1121" s="61"/>
      <c r="L1121" s="61"/>
      <c r="M1121" s="61"/>
      <c r="N1121" s="61"/>
      <c r="O1121" s="61"/>
      <c r="P1121" s="61"/>
      <c r="Q1121" s="61"/>
      <c r="R1121" s="61"/>
      <c r="S1121" s="61"/>
      <c r="T1121" s="61"/>
      <c r="U1121" s="61"/>
      <c r="V1121" s="61"/>
    </row>
    <row r="1122" spans="1:22" s="59" customFormat="1" x14ac:dyDescent="0.25">
      <c r="A1122" s="61" t="s">
        <v>180</v>
      </c>
      <c r="B1122" s="61">
        <v>1972</v>
      </c>
      <c r="C1122" s="64">
        <v>34.514941509087997</v>
      </c>
      <c r="D1122" s="64">
        <v>5.31121836267645</v>
      </c>
      <c r="E1122" s="59" t="s">
        <v>159</v>
      </c>
      <c r="G1122" s="61"/>
      <c r="H1122" s="61"/>
      <c r="I1122" s="61"/>
      <c r="J1122" s="61"/>
      <c r="K1122" s="61"/>
      <c r="L1122" s="61"/>
      <c r="M1122" s="61"/>
      <c r="N1122" s="61"/>
      <c r="O1122" s="61"/>
      <c r="P1122" s="61"/>
      <c r="Q1122" s="61"/>
      <c r="R1122" s="61"/>
      <c r="S1122" s="61"/>
      <c r="T1122" s="61"/>
      <c r="U1122" s="61"/>
      <c r="V1122" s="61"/>
    </row>
    <row r="1123" spans="1:22" s="59" customFormat="1" x14ac:dyDescent="0.25">
      <c r="A1123" s="61" t="s">
        <v>180</v>
      </c>
      <c r="B1123" s="61">
        <v>1973</v>
      </c>
      <c r="C1123" s="64">
        <v>33.143428004919301</v>
      </c>
      <c r="D1123" s="64">
        <v>5.79426382942101</v>
      </c>
      <c r="E1123" s="59" t="s">
        <v>159</v>
      </c>
      <c r="G1123" s="61"/>
      <c r="H1123" s="61"/>
      <c r="I1123" s="61"/>
      <c r="J1123" s="61"/>
      <c r="K1123" s="61"/>
      <c r="L1123" s="61"/>
      <c r="M1123" s="61"/>
      <c r="N1123" s="61"/>
      <c r="O1123" s="61"/>
      <c r="P1123" s="61"/>
      <c r="Q1123" s="61"/>
      <c r="R1123" s="61"/>
      <c r="S1123" s="61"/>
      <c r="T1123" s="61"/>
      <c r="U1123" s="61"/>
      <c r="V1123" s="61"/>
    </row>
    <row r="1124" spans="1:22" s="59" customFormat="1" x14ac:dyDescent="0.25">
      <c r="A1124" s="61" t="s">
        <v>180</v>
      </c>
      <c r="B1124" s="61">
        <v>1974</v>
      </c>
      <c r="C1124" s="64">
        <v>31.681214787062402</v>
      </c>
      <c r="D1124" s="64">
        <v>-0.55114907463901197</v>
      </c>
      <c r="E1124" s="59" t="s">
        <v>159</v>
      </c>
      <c r="G1124" s="61"/>
      <c r="H1124" s="61"/>
      <c r="I1124" s="61"/>
      <c r="J1124" s="61"/>
      <c r="K1124" s="61"/>
      <c r="L1124" s="61"/>
      <c r="M1124" s="61"/>
      <c r="N1124" s="61"/>
      <c r="O1124" s="61"/>
      <c r="P1124" s="61"/>
      <c r="Q1124" s="61"/>
      <c r="R1124" s="61"/>
      <c r="S1124" s="61"/>
      <c r="T1124" s="61"/>
      <c r="U1124" s="61"/>
      <c r="V1124" s="61"/>
    </row>
    <row r="1125" spans="1:22" s="59" customFormat="1" x14ac:dyDescent="0.25">
      <c r="A1125" s="61" t="s">
        <v>180</v>
      </c>
      <c r="B1125" s="61">
        <v>1975</v>
      </c>
      <c r="C1125" s="64">
        <v>32.557183855406997</v>
      </c>
      <c r="D1125" s="64">
        <v>-0.212683285956761</v>
      </c>
      <c r="E1125" s="59" t="s">
        <v>159</v>
      </c>
      <c r="G1125" s="61"/>
      <c r="H1125" s="61"/>
      <c r="I1125" s="61"/>
      <c r="J1125" s="61"/>
      <c r="K1125" s="61"/>
      <c r="L1125" s="61"/>
      <c r="M1125" s="61"/>
      <c r="N1125" s="61"/>
      <c r="O1125" s="61"/>
      <c r="P1125" s="61"/>
      <c r="Q1125" s="61"/>
      <c r="R1125" s="61"/>
      <c r="S1125" s="61"/>
      <c r="T1125" s="61"/>
      <c r="U1125" s="61"/>
      <c r="V1125" s="61"/>
    </row>
    <row r="1126" spans="1:22" s="59" customFormat="1" x14ac:dyDescent="0.25">
      <c r="A1126" s="61" t="s">
        <v>180</v>
      </c>
      <c r="B1126" s="61">
        <v>1976</v>
      </c>
      <c r="C1126" s="64">
        <v>34.003781650772801</v>
      </c>
      <c r="D1126" s="64">
        <v>5.3653038221129297</v>
      </c>
      <c r="E1126" s="59" t="s">
        <v>159</v>
      </c>
      <c r="G1126" s="61"/>
      <c r="H1126" s="61"/>
      <c r="I1126" s="61"/>
      <c r="J1126" s="61"/>
      <c r="K1126" s="61"/>
      <c r="L1126" s="61"/>
      <c r="M1126" s="61"/>
      <c r="N1126" s="61"/>
      <c r="O1126" s="61"/>
      <c r="P1126" s="61"/>
      <c r="Q1126" s="61"/>
      <c r="R1126" s="61"/>
      <c r="S1126" s="61"/>
      <c r="T1126" s="61"/>
      <c r="U1126" s="61"/>
      <c r="V1126" s="61"/>
    </row>
    <row r="1127" spans="1:22" s="59" customFormat="1" x14ac:dyDescent="0.25">
      <c r="A1127" s="61" t="s">
        <v>180</v>
      </c>
      <c r="B1127" s="61">
        <v>1977</v>
      </c>
      <c r="C1127" s="64">
        <v>34.423920003940701</v>
      </c>
      <c r="D1127" s="64">
        <v>4.5980588567093896</v>
      </c>
      <c r="E1127" s="59" t="s">
        <v>159</v>
      </c>
      <c r="G1127" s="61"/>
      <c r="H1127" s="61"/>
      <c r="I1127" s="61"/>
      <c r="J1127" s="61"/>
      <c r="K1127" s="61"/>
      <c r="L1127" s="61"/>
      <c r="M1127" s="61"/>
      <c r="N1127" s="61"/>
      <c r="O1127" s="61"/>
      <c r="P1127" s="61"/>
      <c r="Q1127" s="61"/>
      <c r="R1127" s="61"/>
      <c r="S1127" s="61"/>
      <c r="T1127" s="61"/>
      <c r="U1127" s="61"/>
      <c r="V1127" s="61"/>
    </row>
    <row r="1128" spans="1:22" s="59" customFormat="1" x14ac:dyDescent="0.25">
      <c r="A1128" s="61" t="s">
        <v>180</v>
      </c>
      <c r="B1128" s="61">
        <v>1978</v>
      </c>
      <c r="C1128" s="64">
        <v>33.636062429156901</v>
      </c>
      <c r="D1128" s="64">
        <v>5.5767335477992601</v>
      </c>
      <c r="E1128" s="59" t="s">
        <v>159</v>
      </c>
      <c r="G1128" s="61"/>
      <c r="H1128" s="61"/>
      <c r="I1128" s="61"/>
      <c r="J1128" s="61"/>
      <c r="K1128" s="61"/>
      <c r="L1128" s="61"/>
      <c r="M1128" s="61"/>
      <c r="N1128" s="61"/>
      <c r="O1128" s="61"/>
      <c r="P1128" s="61"/>
      <c r="Q1128" s="61"/>
      <c r="R1128" s="61"/>
      <c r="S1128" s="61"/>
      <c r="T1128" s="61"/>
      <c r="U1128" s="61"/>
      <c r="V1128" s="61"/>
    </row>
    <row r="1129" spans="1:22" s="59" customFormat="1" x14ac:dyDescent="0.25">
      <c r="A1129" s="61" t="s">
        <v>180</v>
      </c>
      <c r="B1129" s="61">
        <v>1979</v>
      </c>
      <c r="C1129" s="64">
        <v>32.258176567012697</v>
      </c>
      <c r="D1129" s="64">
        <v>3.1245596731013001</v>
      </c>
      <c r="E1129" s="59" t="s">
        <v>159</v>
      </c>
      <c r="G1129" s="61"/>
      <c r="H1129" s="61"/>
      <c r="I1129" s="61"/>
      <c r="J1129" s="61"/>
      <c r="K1129" s="61"/>
      <c r="L1129" s="61"/>
      <c r="M1129" s="61"/>
      <c r="N1129" s="61"/>
      <c r="O1129" s="61"/>
      <c r="P1129" s="61"/>
      <c r="Q1129" s="61"/>
      <c r="R1129" s="61"/>
      <c r="S1129" s="61"/>
      <c r="T1129" s="61"/>
      <c r="U1129" s="61"/>
      <c r="V1129" s="61"/>
    </row>
    <row r="1130" spans="1:22" s="59" customFormat="1" x14ac:dyDescent="0.25">
      <c r="A1130" s="61" t="s">
        <v>180</v>
      </c>
      <c r="B1130" s="61">
        <v>1980</v>
      </c>
      <c r="C1130" s="64">
        <v>32.556256949176898</v>
      </c>
      <c r="D1130" s="64">
        <v>-0.27327070879590298</v>
      </c>
      <c r="E1130" s="59" t="s">
        <v>159</v>
      </c>
      <c r="G1130" s="61"/>
      <c r="H1130" s="61"/>
      <c r="I1130" s="61"/>
      <c r="J1130" s="61"/>
      <c r="K1130" s="61"/>
      <c r="L1130" s="61"/>
      <c r="M1130" s="61"/>
      <c r="N1130" s="61"/>
      <c r="O1130" s="61"/>
      <c r="P1130" s="61"/>
      <c r="Q1130" s="61"/>
      <c r="R1130" s="61"/>
      <c r="S1130" s="61"/>
      <c r="T1130" s="61"/>
      <c r="U1130" s="61"/>
      <c r="V1130" s="61"/>
    </row>
    <row r="1131" spans="1:22" s="59" customFormat="1" x14ac:dyDescent="0.25">
      <c r="A1131" s="61" t="s">
        <v>180</v>
      </c>
      <c r="B1131" s="61">
        <v>1981</v>
      </c>
      <c r="C1131" s="64">
        <v>31.912978124600201</v>
      </c>
      <c r="D1131" s="64">
        <v>2.5381058400411001</v>
      </c>
      <c r="E1131" s="59" t="s">
        <v>159</v>
      </c>
      <c r="G1131" s="61"/>
      <c r="H1131" s="61"/>
      <c r="I1131" s="61"/>
      <c r="J1131" s="61"/>
      <c r="K1131" s="61"/>
      <c r="L1131" s="61"/>
      <c r="M1131" s="61"/>
      <c r="N1131" s="61"/>
      <c r="O1131" s="61"/>
      <c r="P1131" s="61"/>
      <c r="Q1131" s="61"/>
      <c r="R1131" s="61"/>
      <c r="S1131" s="61"/>
      <c r="T1131" s="61"/>
      <c r="U1131" s="61"/>
      <c r="V1131" s="61"/>
    </row>
    <row r="1132" spans="1:22" s="59" customFormat="1" x14ac:dyDescent="0.25">
      <c r="A1132" s="61" t="s">
        <v>180</v>
      </c>
      <c r="B1132" s="61">
        <v>1982</v>
      </c>
      <c r="C1132" s="64">
        <v>35.104942825525598</v>
      </c>
      <c r="D1132" s="64">
        <v>-1.9424772848744001</v>
      </c>
      <c r="E1132" s="59" t="s">
        <v>159</v>
      </c>
      <c r="G1132" s="61"/>
      <c r="H1132" s="61"/>
      <c r="I1132" s="61"/>
      <c r="J1132" s="61"/>
      <c r="K1132" s="61"/>
      <c r="L1132" s="61"/>
      <c r="M1132" s="61"/>
      <c r="N1132" s="61"/>
      <c r="O1132" s="61"/>
      <c r="P1132" s="61"/>
      <c r="Q1132" s="61"/>
      <c r="R1132" s="61"/>
      <c r="S1132" s="61"/>
      <c r="T1132" s="61"/>
      <c r="U1132" s="61"/>
      <c r="V1132" s="61"/>
    </row>
    <row r="1133" spans="1:22" s="59" customFormat="1" x14ac:dyDescent="0.25">
      <c r="A1133" s="61" t="s">
        <v>180</v>
      </c>
      <c r="B1133" s="61">
        <v>1983</v>
      </c>
      <c r="C1133" s="64">
        <v>38.963673400101897</v>
      </c>
      <c r="D1133" s="64">
        <v>4.51889829498033</v>
      </c>
      <c r="E1133" s="59" t="s">
        <v>159</v>
      </c>
      <c r="G1133" s="61"/>
      <c r="H1133" s="61"/>
      <c r="I1133" s="61"/>
      <c r="J1133" s="61"/>
      <c r="K1133" s="61"/>
      <c r="L1133" s="61"/>
      <c r="M1133" s="61"/>
      <c r="N1133" s="61"/>
      <c r="O1133" s="61"/>
      <c r="P1133" s="61"/>
      <c r="Q1133" s="61"/>
      <c r="R1133" s="61"/>
      <c r="S1133" s="61"/>
      <c r="T1133" s="61"/>
      <c r="U1133" s="61"/>
      <c r="V1133" s="61"/>
    </row>
    <row r="1134" spans="1:22" s="59" customFormat="1" x14ac:dyDescent="0.25">
      <c r="A1134" s="61" t="s">
        <v>180</v>
      </c>
      <c r="B1134" s="61">
        <v>1984</v>
      </c>
      <c r="C1134" s="64">
        <v>39.997608690121901</v>
      </c>
      <c r="D1134" s="64">
        <v>7.1852286431341996</v>
      </c>
      <c r="E1134" s="59" t="s">
        <v>159</v>
      </c>
      <c r="G1134" s="61"/>
      <c r="H1134" s="61"/>
      <c r="I1134" s="61"/>
      <c r="J1134" s="61"/>
      <c r="K1134" s="61"/>
      <c r="L1134" s="61"/>
      <c r="M1134" s="61"/>
      <c r="N1134" s="61"/>
      <c r="O1134" s="61"/>
      <c r="P1134" s="61"/>
      <c r="Q1134" s="61"/>
      <c r="R1134" s="61"/>
      <c r="S1134" s="61"/>
      <c r="T1134" s="61"/>
      <c r="U1134" s="61"/>
      <c r="V1134" s="61"/>
    </row>
    <row r="1135" spans="1:22" s="59" customFormat="1" x14ac:dyDescent="0.25">
      <c r="A1135" s="61" t="s">
        <v>180</v>
      </c>
      <c r="B1135" s="61">
        <v>1985</v>
      </c>
      <c r="C1135" s="64">
        <v>43.227101363366899</v>
      </c>
      <c r="D1135" s="64">
        <v>4.1386021194751397</v>
      </c>
      <c r="E1135" s="59" t="s">
        <v>159</v>
      </c>
      <c r="G1135" s="61"/>
      <c r="H1135" s="61"/>
      <c r="I1135" s="61"/>
      <c r="J1135" s="61"/>
      <c r="K1135" s="61"/>
      <c r="L1135" s="61"/>
      <c r="M1135" s="61"/>
      <c r="N1135" s="61"/>
      <c r="O1135" s="61"/>
      <c r="P1135" s="61"/>
      <c r="Q1135" s="61"/>
      <c r="R1135" s="61"/>
      <c r="S1135" s="61"/>
      <c r="T1135" s="61"/>
      <c r="U1135" s="61"/>
      <c r="V1135" s="61"/>
    </row>
    <row r="1136" spans="1:22" s="59" customFormat="1" x14ac:dyDescent="0.25">
      <c r="A1136" s="61" t="s">
        <v>180</v>
      </c>
      <c r="B1136" s="61">
        <v>1986</v>
      </c>
      <c r="C1136" s="64">
        <v>47.651456618864998</v>
      </c>
      <c r="D1136" s="64">
        <v>3.4631276188807698</v>
      </c>
      <c r="E1136" s="59" t="s">
        <v>159</v>
      </c>
      <c r="G1136" s="61"/>
      <c r="H1136" s="61"/>
      <c r="I1136" s="61"/>
      <c r="J1136" s="61"/>
      <c r="K1136" s="61"/>
      <c r="L1136" s="61"/>
      <c r="M1136" s="61"/>
      <c r="N1136" s="61"/>
      <c r="O1136" s="61"/>
      <c r="P1136" s="61"/>
      <c r="Q1136" s="61"/>
      <c r="R1136" s="61"/>
      <c r="S1136" s="61"/>
      <c r="T1136" s="61"/>
      <c r="U1136" s="61"/>
      <c r="V1136" s="61"/>
    </row>
    <row r="1137" spans="1:23" s="59" customFormat="1" x14ac:dyDescent="0.25">
      <c r="A1137" s="61" t="s">
        <v>180</v>
      </c>
      <c r="B1137" s="61">
        <v>1987</v>
      </c>
      <c r="C1137" s="64">
        <v>49.621587934992803</v>
      </c>
      <c r="D1137" s="64">
        <v>3.2004515628307302</v>
      </c>
      <c r="E1137" s="59" t="s">
        <v>159</v>
      </c>
      <c r="G1137" s="61"/>
      <c r="H1137" s="61"/>
      <c r="I1137" s="61"/>
      <c r="J1137" s="61"/>
      <c r="K1137" s="61"/>
      <c r="L1137" s="61"/>
      <c r="M1137" s="61"/>
      <c r="N1137" s="61"/>
      <c r="O1137" s="61"/>
      <c r="P1137" s="61"/>
      <c r="Q1137" s="61"/>
      <c r="R1137" s="61"/>
      <c r="S1137" s="61"/>
      <c r="T1137" s="61"/>
      <c r="U1137" s="61"/>
      <c r="V1137" s="61"/>
    </row>
    <row r="1138" spans="1:23" s="59" customFormat="1" x14ac:dyDescent="0.25">
      <c r="A1138" s="61" t="s">
        <v>180</v>
      </c>
      <c r="B1138" s="61">
        <v>1988</v>
      </c>
      <c r="C1138" s="64">
        <v>51.022227904497697</v>
      </c>
      <c r="D1138" s="64">
        <v>4.1103195547837403</v>
      </c>
      <c r="E1138" s="59" t="s">
        <v>159</v>
      </c>
      <c r="G1138" s="61"/>
      <c r="H1138" s="61"/>
      <c r="I1138" s="61"/>
      <c r="J1138" s="61"/>
      <c r="K1138" s="61"/>
      <c r="L1138" s="61"/>
      <c r="M1138" s="61"/>
      <c r="N1138" s="61"/>
      <c r="O1138" s="61"/>
      <c r="P1138" s="61"/>
      <c r="Q1138" s="61"/>
      <c r="R1138" s="61"/>
      <c r="S1138" s="61"/>
      <c r="T1138" s="61"/>
      <c r="U1138" s="61"/>
      <c r="V1138" s="61"/>
    </row>
    <row r="1139" spans="1:23" s="59" customFormat="1" x14ac:dyDescent="0.25">
      <c r="A1139" s="61" t="s">
        <v>180</v>
      </c>
      <c r="B1139" s="61">
        <v>1989</v>
      </c>
      <c r="C1139" s="64">
        <v>52.122926619124101</v>
      </c>
      <c r="D1139" s="64">
        <v>3.5724136119465801</v>
      </c>
      <c r="E1139" s="59" t="s">
        <v>159</v>
      </c>
      <c r="G1139" s="61"/>
      <c r="H1139" s="61"/>
      <c r="I1139" s="61"/>
      <c r="J1139" s="61"/>
      <c r="K1139" s="61"/>
      <c r="L1139" s="61"/>
      <c r="M1139" s="61"/>
      <c r="N1139" s="61"/>
      <c r="O1139" s="61"/>
      <c r="P1139" s="61"/>
      <c r="Q1139" s="61"/>
      <c r="R1139" s="61"/>
      <c r="S1139" s="61"/>
      <c r="T1139" s="61"/>
      <c r="U1139" s="61"/>
      <c r="V1139" s="61"/>
    </row>
    <row r="1140" spans="1:23" s="59" customFormat="1" x14ac:dyDescent="0.25">
      <c r="A1140" s="61" t="s">
        <v>180</v>
      </c>
      <c r="B1140" s="61">
        <v>1990</v>
      </c>
      <c r="C1140" s="64">
        <v>55.741978308370001</v>
      </c>
      <c r="D1140" s="64">
        <v>1.8767673949707799</v>
      </c>
      <c r="E1140" s="59" t="s">
        <v>159</v>
      </c>
      <c r="G1140" s="61"/>
      <c r="H1140" s="61"/>
      <c r="I1140" s="61"/>
      <c r="J1140" s="61"/>
      <c r="K1140" s="61"/>
      <c r="L1140" s="61"/>
      <c r="M1140" s="61"/>
      <c r="N1140" s="61"/>
      <c r="O1140" s="61"/>
      <c r="P1140" s="61"/>
      <c r="Q1140" s="61"/>
      <c r="R1140" s="61"/>
      <c r="S1140" s="61"/>
      <c r="T1140" s="61"/>
      <c r="U1140" s="61"/>
      <c r="V1140" s="61"/>
    </row>
    <row r="1141" spans="1:23" s="59" customFormat="1" x14ac:dyDescent="0.25">
      <c r="A1141" s="61" t="s">
        <v>180</v>
      </c>
      <c r="B1141" s="61">
        <v>1991</v>
      </c>
      <c r="C1141" s="64">
        <v>61.168928283857099</v>
      </c>
      <c r="D1141" s="64">
        <v>-0.23400838944970201</v>
      </c>
      <c r="E1141" s="59" t="s">
        <v>156</v>
      </c>
      <c r="G1141" s="61"/>
      <c r="H1141" s="61"/>
      <c r="I1141" s="61"/>
      <c r="J1141" s="61"/>
      <c r="K1141" s="61"/>
      <c r="L1141" s="61"/>
      <c r="M1141" s="61"/>
      <c r="N1141" s="61"/>
      <c r="O1141" s="61"/>
      <c r="P1141" s="61"/>
      <c r="Q1141" s="61"/>
      <c r="R1141" s="61"/>
      <c r="S1141" s="61"/>
      <c r="T1141" s="61"/>
      <c r="U1141" s="61"/>
      <c r="V1141" s="61"/>
    </row>
    <row r="1142" spans="1:23" s="59" customFormat="1" x14ac:dyDescent="0.25">
      <c r="A1142" s="61" t="s">
        <v>180</v>
      </c>
      <c r="B1142" s="61">
        <v>1992</v>
      </c>
      <c r="C1142" s="64">
        <v>64.087486487898701</v>
      </c>
      <c r="D1142" s="64">
        <v>3.3935945902109799</v>
      </c>
      <c r="E1142" s="59" t="s">
        <v>156</v>
      </c>
      <c r="G1142" s="61"/>
      <c r="H1142" s="61"/>
      <c r="I1142" s="61"/>
      <c r="J1142" s="61"/>
      <c r="K1142" s="61"/>
      <c r="L1142" s="61"/>
      <c r="M1142" s="61"/>
      <c r="N1142" s="61"/>
      <c r="O1142" s="61"/>
      <c r="P1142" s="61"/>
      <c r="Q1142" s="61"/>
      <c r="R1142" s="61"/>
      <c r="S1142" s="61"/>
      <c r="T1142" s="61"/>
      <c r="U1142" s="61"/>
      <c r="V1142" s="61"/>
    </row>
    <row r="1143" spans="1:23" s="59" customFormat="1" x14ac:dyDescent="0.25">
      <c r="A1143" s="61" t="s">
        <v>180</v>
      </c>
      <c r="B1143" s="61">
        <v>1993</v>
      </c>
      <c r="C1143" s="64">
        <v>66.165055091024996</v>
      </c>
      <c r="D1143" s="64">
        <v>2.8514196763644599</v>
      </c>
      <c r="E1143" s="59" t="s">
        <v>156</v>
      </c>
      <c r="G1143" s="61"/>
      <c r="H1143" s="61"/>
      <c r="I1143" s="61"/>
      <c r="J1143" s="61"/>
      <c r="K1143" s="61"/>
      <c r="L1143" s="61"/>
      <c r="M1143" s="61"/>
      <c r="N1143" s="61"/>
      <c r="O1143" s="61"/>
      <c r="P1143" s="61"/>
      <c r="Q1143" s="61"/>
      <c r="R1143" s="61"/>
      <c r="S1143" s="61"/>
      <c r="T1143" s="61"/>
      <c r="U1143" s="61"/>
      <c r="V1143" s="61"/>
    </row>
    <row r="1144" spans="1:23" s="59" customFormat="1" x14ac:dyDescent="0.25">
      <c r="A1144" s="61" t="s">
        <v>180</v>
      </c>
      <c r="B1144" s="61">
        <v>1994</v>
      </c>
      <c r="C1144" s="64">
        <v>66.2331325864196</v>
      </c>
      <c r="D1144" s="64">
        <v>4.0746650397728699</v>
      </c>
      <c r="E1144" s="59" t="s">
        <v>156</v>
      </c>
      <c r="G1144" s="61"/>
      <c r="H1144" s="61"/>
      <c r="I1144" s="61"/>
      <c r="J1144" s="61"/>
      <c r="K1144" s="61"/>
      <c r="L1144" s="61"/>
      <c r="M1144" s="61"/>
      <c r="N1144" s="61"/>
      <c r="O1144" s="61"/>
      <c r="P1144" s="61"/>
      <c r="Q1144" s="61"/>
      <c r="R1144" s="61"/>
      <c r="S1144" s="61"/>
      <c r="T1144" s="61"/>
      <c r="U1144" s="61"/>
      <c r="V1144" s="61"/>
    </row>
    <row r="1145" spans="1:23" s="59" customFormat="1" x14ac:dyDescent="0.25">
      <c r="A1145" s="61" t="s">
        <v>180</v>
      </c>
      <c r="B1145" s="61">
        <v>1995</v>
      </c>
      <c r="C1145" s="64">
        <v>67.082726215612198</v>
      </c>
      <c r="D1145" s="64">
        <v>2.5138940557114999</v>
      </c>
      <c r="E1145" s="59" t="s">
        <v>156</v>
      </c>
      <c r="G1145" s="61"/>
      <c r="H1145" s="61"/>
      <c r="I1145" s="61"/>
      <c r="J1145" s="61"/>
      <c r="K1145" s="61"/>
      <c r="L1145" s="61"/>
      <c r="M1145" s="61"/>
      <c r="N1145" s="61"/>
      <c r="O1145" s="61"/>
      <c r="P1145" s="61"/>
      <c r="Q1145" s="61"/>
      <c r="R1145" s="61"/>
      <c r="S1145" s="61"/>
      <c r="T1145" s="61"/>
      <c r="U1145" s="61"/>
      <c r="V1145" s="61"/>
    </row>
    <row r="1146" spans="1:23" s="59" customFormat="1" x14ac:dyDescent="0.25">
      <c r="A1146" s="61" t="s">
        <v>180</v>
      </c>
      <c r="B1146" s="61">
        <v>1996</v>
      </c>
      <c r="C1146" s="64">
        <v>66.655749685985796</v>
      </c>
      <c r="D1146" s="64">
        <v>3.7410514971903499</v>
      </c>
      <c r="E1146" s="59" t="s">
        <v>156</v>
      </c>
      <c r="G1146" s="61"/>
      <c r="H1146" s="61"/>
      <c r="I1146" s="61"/>
      <c r="J1146" s="61"/>
      <c r="K1146" s="61"/>
      <c r="L1146" s="61"/>
      <c r="M1146" s="61"/>
      <c r="N1146" s="61"/>
      <c r="O1146" s="61"/>
      <c r="P1146" s="61"/>
      <c r="Q1146" s="61"/>
      <c r="R1146" s="61"/>
      <c r="S1146" s="61"/>
      <c r="T1146" s="61"/>
      <c r="U1146" s="61"/>
      <c r="V1146" s="61"/>
    </row>
    <row r="1147" spans="1:23" s="59" customFormat="1" x14ac:dyDescent="0.25">
      <c r="A1147" s="61" t="s">
        <v>180</v>
      </c>
      <c r="B1147" s="61">
        <v>1997</v>
      </c>
      <c r="C1147" s="64">
        <v>64.965028219924605</v>
      </c>
      <c r="D1147" s="64">
        <v>4.4562694113781101</v>
      </c>
      <c r="E1147" s="59" t="s">
        <v>156</v>
      </c>
      <c r="G1147" s="61"/>
      <c r="H1147" s="61"/>
      <c r="I1147" s="61"/>
      <c r="J1147" s="61"/>
      <c r="K1147" s="61"/>
      <c r="L1147" s="61"/>
      <c r="M1147" s="61"/>
      <c r="N1147" s="61"/>
      <c r="O1147" s="61"/>
      <c r="P1147" s="61"/>
      <c r="Q1147" s="61"/>
      <c r="R1147" s="61"/>
      <c r="S1147" s="61"/>
      <c r="T1147" s="61"/>
      <c r="U1147" s="61"/>
      <c r="V1147" s="61"/>
    </row>
    <row r="1148" spans="1:23" s="59" customFormat="1" x14ac:dyDescent="0.25">
      <c r="A1148" s="61" t="s">
        <v>180</v>
      </c>
      <c r="B1148" s="61">
        <v>1998</v>
      </c>
      <c r="C1148" s="64">
        <v>62.844066741320297</v>
      </c>
      <c r="D1148" s="64">
        <v>4.3554590381863898</v>
      </c>
      <c r="E1148" s="59" t="s">
        <v>156</v>
      </c>
      <c r="G1148" s="61"/>
      <c r="H1148" s="61"/>
      <c r="I1148" s="61"/>
      <c r="J1148" s="61"/>
      <c r="K1148" s="61"/>
      <c r="L1148" s="61"/>
      <c r="M1148" s="61"/>
      <c r="N1148" s="61"/>
      <c r="O1148" s="61"/>
      <c r="P1148" s="61"/>
      <c r="Q1148" s="61"/>
      <c r="R1148" s="61"/>
      <c r="S1148" s="61"/>
      <c r="T1148" s="61"/>
      <c r="U1148" s="61"/>
      <c r="V1148" s="61"/>
      <c r="W1148" s="61"/>
    </row>
    <row r="1149" spans="1:23" s="59" customFormat="1" x14ac:dyDescent="0.25">
      <c r="A1149" s="61" t="s">
        <v>180</v>
      </c>
      <c r="B1149" s="61">
        <v>1999</v>
      </c>
      <c r="C1149" s="64">
        <v>60.472239285989197</v>
      </c>
      <c r="D1149" s="64">
        <v>4.8261778577332501</v>
      </c>
      <c r="E1149" s="59" t="s">
        <v>156</v>
      </c>
      <c r="G1149" s="61"/>
      <c r="H1149" s="61"/>
      <c r="I1149" s="61"/>
      <c r="J1149" s="61"/>
      <c r="K1149" s="61"/>
      <c r="L1149" s="61"/>
      <c r="M1149" s="61"/>
      <c r="N1149" s="61"/>
      <c r="O1149" s="61"/>
      <c r="P1149" s="61"/>
      <c r="Q1149" s="61"/>
      <c r="R1149" s="61"/>
      <c r="S1149" s="61"/>
      <c r="T1149" s="61"/>
      <c r="U1149" s="61"/>
      <c r="V1149" s="61"/>
      <c r="W1149" s="61"/>
    </row>
    <row r="1150" spans="1:23" s="59" customFormat="1" x14ac:dyDescent="0.25">
      <c r="A1150" s="61" t="s">
        <v>180</v>
      </c>
      <c r="B1150" s="61">
        <v>2000</v>
      </c>
      <c r="C1150" s="64">
        <v>57.018320955504201</v>
      </c>
      <c r="D1150" s="64">
        <v>4.1392233622145298</v>
      </c>
      <c r="E1150" s="59" t="s">
        <v>159</v>
      </c>
      <c r="G1150" s="61"/>
      <c r="H1150" s="61"/>
      <c r="I1150" s="61"/>
      <c r="J1150" s="61"/>
      <c r="K1150" s="61"/>
      <c r="L1150" s="61"/>
      <c r="M1150" s="61"/>
      <c r="N1150" s="61"/>
      <c r="O1150" s="61"/>
      <c r="P1150" s="61"/>
      <c r="Q1150" s="61"/>
      <c r="R1150" s="61"/>
      <c r="S1150" s="61"/>
      <c r="T1150" s="61"/>
      <c r="U1150" s="61"/>
      <c r="V1150" s="61"/>
      <c r="W1150" s="61"/>
    </row>
    <row r="1151" spans="1:23" s="59" customFormat="1" x14ac:dyDescent="0.25">
      <c r="A1151" s="61" t="s">
        <v>180</v>
      </c>
      <c r="B1151" s="61">
        <v>2001</v>
      </c>
      <c r="C1151" s="64">
        <v>56.458783731601599</v>
      </c>
      <c r="D1151" s="64">
        <v>1.0796365579903899</v>
      </c>
      <c r="E1151" s="59" t="s">
        <v>159</v>
      </c>
      <c r="G1151" s="61"/>
      <c r="H1151" s="61"/>
      <c r="I1151" s="61"/>
      <c r="J1151" s="61"/>
      <c r="K1151" s="61"/>
      <c r="L1151" s="61"/>
      <c r="M1151" s="61"/>
      <c r="N1151" s="61"/>
      <c r="O1151" s="61"/>
      <c r="P1151" s="61"/>
      <c r="Q1151" s="61"/>
      <c r="R1151" s="61"/>
      <c r="S1151" s="61"/>
      <c r="T1151" s="61"/>
      <c r="U1151" s="61"/>
      <c r="V1151" s="61"/>
      <c r="W1151" s="61"/>
    </row>
    <row r="1152" spans="1:23" s="59" customFormat="1" x14ac:dyDescent="0.25">
      <c r="A1152" s="61" t="s">
        <v>180</v>
      </c>
      <c r="B1152" s="61">
        <v>2002</v>
      </c>
      <c r="C1152" s="64">
        <v>58.523401572940102</v>
      </c>
      <c r="D1152" s="64">
        <v>1.8136632825719099</v>
      </c>
      <c r="E1152" s="59" t="s">
        <v>159</v>
      </c>
      <c r="G1152" s="61"/>
      <c r="H1152" s="61"/>
      <c r="I1152" s="61"/>
      <c r="J1152" s="61"/>
      <c r="K1152" s="61"/>
      <c r="L1152" s="61"/>
      <c r="M1152" s="61"/>
      <c r="N1152" s="61"/>
      <c r="O1152" s="61"/>
      <c r="P1152" s="61"/>
      <c r="Q1152" s="61"/>
      <c r="R1152" s="61"/>
      <c r="S1152" s="61"/>
      <c r="T1152" s="61"/>
      <c r="U1152" s="61"/>
      <c r="V1152" s="61"/>
      <c r="W1152" s="61"/>
    </row>
    <row r="1153" spans="1:23" s="59" customFormat="1" x14ac:dyDescent="0.25">
      <c r="A1153" s="61" t="s">
        <v>180</v>
      </c>
      <c r="B1153" s="61">
        <v>2003</v>
      </c>
      <c r="C1153" s="64">
        <v>60.879287232604298</v>
      </c>
      <c r="D1153" s="64">
        <v>2.49026226954039</v>
      </c>
      <c r="E1153" s="59" t="s">
        <v>156</v>
      </c>
      <c r="G1153" s="61"/>
      <c r="H1153" s="61"/>
      <c r="I1153" s="61"/>
      <c r="J1153" s="61"/>
      <c r="K1153" s="61"/>
      <c r="L1153" s="61"/>
      <c r="M1153" s="61"/>
      <c r="N1153" s="61"/>
      <c r="O1153" s="61"/>
      <c r="P1153" s="61"/>
      <c r="Q1153" s="61"/>
      <c r="R1153" s="61"/>
      <c r="S1153" s="61"/>
      <c r="T1153" s="61"/>
      <c r="U1153" s="61"/>
      <c r="V1153" s="61"/>
      <c r="W1153" s="61"/>
    </row>
    <row r="1154" spans="1:23" s="59" customFormat="1" x14ac:dyDescent="0.25">
      <c r="A1154" s="61" t="s">
        <v>180</v>
      </c>
      <c r="B1154" s="61">
        <v>2004</v>
      </c>
      <c r="C1154" s="64">
        <v>62.177090078447598</v>
      </c>
      <c r="D1154" s="64">
        <v>3.57326847230315</v>
      </c>
      <c r="E1154" s="59" t="s">
        <v>156</v>
      </c>
      <c r="G1154" s="61"/>
      <c r="H1154" s="61"/>
      <c r="I1154" s="61"/>
      <c r="J1154" s="61"/>
      <c r="K1154" s="61"/>
      <c r="L1154" s="61"/>
      <c r="M1154" s="61"/>
      <c r="N1154" s="61"/>
      <c r="O1154" s="61"/>
      <c r="P1154" s="61"/>
      <c r="Q1154" s="61"/>
      <c r="R1154" s="61"/>
      <c r="S1154" s="61"/>
      <c r="T1154" s="61"/>
      <c r="U1154" s="61"/>
      <c r="V1154" s="61"/>
      <c r="W1154" s="61"/>
    </row>
    <row r="1155" spans="1:23" s="59" customFormat="1" x14ac:dyDescent="0.25">
      <c r="A1155" s="61" t="s">
        <v>180</v>
      </c>
      <c r="B1155" s="61">
        <v>2005</v>
      </c>
      <c r="C1155" s="64">
        <v>62.766724124287897</v>
      </c>
      <c r="D1155" s="64">
        <v>3.0545181754431798</v>
      </c>
      <c r="E1155" s="59" t="s">
        <v>156</v>
      </c>
      <c r="G1155" s="61"/>
      <c r="H1155" s="61"/>
      <c r="I1155" s="61"/>
      <c r="J1155" s="61"/>
      <c r="K1155" s="61"/>
      <c r="L1155" s="61"/>
      <c r="M1155" s="61"/>
      <c r="N1155" s="61"/>
      <c r="O1155" s="61"/>
      <c r="P1155" s="61"/>
      <c r="Q1155" s="61"/>
      <c r="R1155" s="61"/>
      <c r="S1155" s="61"/>
      <c r="T1155" s="61"/>
      <c r="U1155" s="61"/>
      <c r="V1155" s="61"/>
      <c r="W1155" s="61"/>
    </row>
    <row r="1156" spans="1:23" s="59" customFormat="1" x14ac:dyDescent="0.25">
      <c r="A1156" s="61" t="s">
        <v>180</v>
      </c>
      <c r="B1156" s="61">
        <v>2006</v>
      </c>
      <c r="C1156" s="64">
        <v>63.489973256921701</v>
      </c>
      <c r="D1156" s="64">
        <v>2.6728066843904301</v>
      </c>
      <c r="E1156" s="59" t="s">
        <v>156</v>
      </c>
      <c r="G1156" s="61"/>
      <c r="H1156" s="61"/>
      <c r="I1156" s="61"/>
      <c r="J1156" s="61"/>
      <c r="K1156" s="61"/>
      <c r="L1156" s="61"/>
      <c r="M1156" s="61"/>
      <c r="N1156" s="61"/>
      <c r="O1156" s="61"/>
      <c r="P1156" s="61"/>
      <c r="Q1156" s="61"/>
      <c r="R1156" s="61"/>
      <c r="S1156" s="61"/>
      <c r="T1156" s="61"/>
      <c r="U1156" s="61"/>
      <c r="V1156" s="61"/>
      <c r="W1156" s="61"/>
    </row>
    <row r="1157" spans="1:23" s="59" customFormat="1" x14ac:dyDescent="0.25">
      <c r="A1157" s="61" t="s">
        <v>180</v>
      </c>
      <c r="B1157" s="61">
        <v>2007</v>
      </c>
      <c r="C1157" s="64">
        <v>63.985487634654902</v>
      </c>
      <c r="D1157" s="64">
        <v>2.1416131070729501</v>
      </c>
      <c r="E1157" s="59" t="s">
        <v>156</v>
      </c>
      <c r="G1157" s="61"/>
      <c r="H1157" s="61"/>
      <c r="I1157" s="61"/>
      <c r="J1157" s="61"/>
      <c r="K1157" s="61"/>
      <c r="L1157" s="61"/>
      <c r="M1157" s="61"/>
      <c r="N1157" s="61"/>
      <c r="O1157" s="61"/>
      <c r="P1157" s="61"/>
      <c r="Q1157" s="61"/>
      <c r="R1157" s="61"/>
      <c r="S1157" s="61"/>
      <c r="T1157" s="61"/>
      <c r="U1157" s="61"/>
      <c r="V1157" s="61"/>
      <c r="W1157" s="61"/>
    </row>
    <row r="1158" spans="1:23" s="59" customFormat="1" x14ac:dyDescent="0.25">
      <c r="A1158" s="61" t="s">
        <v>180</v>
      </c>
      <c r="B1158" s="61">
        <v>2008</v>
      </c>
      <c r="C1158" s="64">
        <v>74.091060958319602</v>
      </c>
      <c r="D1158" s="64">
        <v>0.43816630325710398</v>
      </c>
      <c r="E1158" s="59" t="s">
        <v>156</v>
      </c>
      <c r="G1158" s="61"/>
      <c r="H1158" s="61"/>
      <c r="I1158" s="61"/>
      <c r="J1158" s="61"/>
      <c r="K1158" s="61"/>
      <c r="L1158" s="61"/>
      <c r="M1158" s="61"/>
      <c r="N1158" s="61"/>
      <c r="O1158" s="61"/>
      <c r="P1158" s="61"/>
      <c r="Q1158" s="61"/>
      <c r="R1158" s="61"/>
      <c r="S1158" s="61"/>
      <c r="T1158" s="61"/>
      <c r="U1158" s="61"/>
      <c r="V1158" s="61"/>
      <c r="W1158" s="61"/>
    </row>
    <row r="1159" spans="1:23" s="59" customFormat="1" x14ac:dyDescent="0.25">
      <c r="A1159" s="61" t="s">
        <v>180</v>
      </c>
      <c r="B1159" s="61">
        <v>2009</v>
      </c>
      <c r="C1159" s="64">
        <v>83.482834708413293</v>
      </c>
      <c r="D1159" s="64">
        <v>-2.7301699384210298</v>
      </c>
      <c r="E1159" s="59" t="s">
        <v>156</v>
      </c>
      <c r="G1159" s="61"/>
      <c r="H1159" s="61"/>
      <c r="I1159" s="61"/>
      <c r="J1159" s="61"/>
      <c r="K1159" s="61"/>
      <c r="L1159" s="61"/>
      <c r="M1159" s="61"/>
      <c r="N1159" s="61"/>
      <c r="O1159" s="61"/>
      <c r="P1159" s="61"/>
      <c r="Q1159" s="61"/>
      <c r="R1159" s="61"/>
      <c r="S1159" s="61"/>
      <c r="T1159" s="61"/>
      <c r="U1159" s="61"/>
      <c r="V1159" s="61"/>
      <c r="W1159" s="61"/>
    </row>
    <row r="1160" spans="1:23" s="59" customFormat="1" x14ac:dyDescent="0.25">
      <c r="A1160" s="61"/>
      <c r="B1160" s="61"/>
      <c r="C1160" s="61"/>
      <c r="D1160" s="61"/>
      <c r="G1160" s="61"/>
      <c r="H1160" s="61"/>
      <c r="I1160" s="61"/>
      <c r="J1160" s="61"/>
      <c r="K1160" s="61"/>
      <c r="L1160" s="61"/>
      <c r="M1160" s="61"/>
      <c r="N1160" s="61"/>
      <c r="O1160" s="61"/>
      <c r="P1160" s="61"/>
      <c r="Q1160" s="61"/>
      <c r="R1160" s="61"/>
      <c r="S1160" s="61"/>
      <c r="T1160" s="61"/>
      <c r="U1160" s="61"/>
      <c r="V1160" s="61"/>
      <c r="W1160" s="61"/>
    </row>
    <row r="1161" spans="1:23" s="59" customFormat="1" x14ac:dyDescent="0.25">
      <c r="A1161" s="61"/>
      <c r="B1161" s="61"/>
      <c r="C1161" s="61"/>
      <c r="D1161" s="61"/>
      <c r="G1161" s="61"/>
      <c r="H1161" s="61"/>
      <c r="I1161" s="61"/>
      <c r="J1161" s="61"/>
      <c r="K1161" s="61"/>
      <c r="L1161" s="61"/>
      <c r="M1161" s="61"/>
      <c r="N1161" s="61"/>
      <c r="O1161" s="61"/>
      <c r="P1161" s="61"/>
      <c r="Q1161" s="61"/>
      <c r="R1161" s="61"/>
      <c r="S1161" s="61"/>
      <c r="T1161" s="61"/>
      <c r="U1161" s="61"/>
      <c r="V1161" s="61"/>
      <c r="W1161" s="61"/>
    </row>
    <row r="1162" spans="1:23" s="59" customFormat="1" x14ac:dyDescent="0.25">
      <c r="A1162" s="61"/>
      <c r="B1162" s="61"/>
      <c r="C1162" s="61"/>
      <c r="D1162" s="61"/>
      <c r="G1162" s="61"/>
      <c r="H1162" s="61"/>
      <c r="I1162" s="61"/>
      <c r="J1162" s="61"/>
      <c r="K1162" s="61"/>
      <c r="L1162" s="61"/>
      <c r="M1162" s="61"/>
      <c r="N1162" s="61"/>
      <c r="O1162" s="61"/>
      <c r="P1162" s="61"/>
      <c r="Q1162" s="61"/>
      <c r="R1162" s="61"/>
      <c r="S1162" s="61"/>
      <c r="T1162" s="61"/>
      <c r="U1162" s="61"/>
      <c r="V1162" s="61"/>
      <c r="W1162" s="61"/>
    </row>
    <row r="1163" spans="1:23" s="59" customFormat="1" x14ac:dyDescent="0.25">
      <c r="A1163" s="61"/>
      <c r="B1163" s="61"/>
      <c r="C1163" s="61"/>
      <c r="D1163" s="61"/>
      <c r="G1163" s="61"/>
      <c r="H1163" s="61"/>
      <c r="I1163" s="61"/>
      <c r="J1163" s="61"/>
      <c r="K1163" s="61"/>
      <c r="L1163" s="61"/>
      <c r="M1163" s="61"/>
      <c r="N1163" s="61"/>
      <c r="O1163" s="61"/>
      <c r="P1163" s="61"/>
      <c r="Q1163" s="61"/>
      <c r="R1163" s="61"/>
      <c r="S1163" s="61"/>
      <c r="T1163" s="61"/>
      <c r="U1163" s="61"/>
      <c r="V1163" s="61"/>
      <c r="W1163" s="61"/>
    </row>
    <row r="1164" spans="1:23" s="59" customFormat="1" x14ac:dyDescent="0.25">
      <c r="A1164" s="61"/>
      <c r="B1164" s="61"/>
      <c r="C1164" s="61"/>
      <c r="D1164" s="61"/>
      <c r="G1164" s="61"/>
      <c r="H1164" s="61"/>
      <c r="I1164" s="61"/>
      <c r="J1164" s="61"/>
      <c r="K1164" s="61"/>
      <c r="L1164" s="61"/>
      <c r="M1164" s="61"/>
      <c r="N1164" s="61"/>
      <c r="O1164" s="61"/>
      <c r="P1164" s="61"/>
      <c r="Q1164" s="61"/>
      <c r="R1164" s="61"/>
      <c r="S1164" s="61"/>
      <c r="T1164" s="61"/>
      <c r="U1164" s="61"/>
      <c r="V1164" s="61"/>
      <c r="W1164" s="61"/>
    </row>
  </sheetData>
  <autoFilter ref="A2:E1163"/>
  <hyperlinks>
    <hyperlink ref="B1" r:id="rId1"/>
  </hyperlinks>
  <pageMargins left="0.7" right="0.7" top="0.75" bottom="0.75" header="0.3" footer="0.3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1.453125" defaultRowHeight="12.5" x14ac:dyDescent="0.25"/>
  <cols>
    <col min="1" max="1" width="11.453125" customWidth="1"/>
    <col min="2" max="2" width="6.26953125" customWidth="1"/>
    <col min="3" max="3" width="10" customWidth="1"/>
    <col min="4" max="4" width="9.1796875" customWidth="1"/>
    <col min="5" max="5" width="10.1796875" customWidth="1"/>
    <col min="6" max="6" width="4.7265625" customWidth="1"/>
    <col min="7" max="7" width="9.54296875" customWidth="1"/>
    <col min="8" max="8" width="9.453125" customWidth="1"/>
    <col min="9" max="9" width="9.7265625" customWidth="1"/>
    <col min="10" max="10" width="7.26953125" style="109" customWidth="1"/>
    <col min="11" max="11" width="9.26953125" customWidth="1"/>
    <col min="12" max="12" width="5.54296875" customWidth="1"/>
    <col min="13" max="13" width="11" customWidth="1"/>
    <col min="14" max="14" width="4.26953125" customWidth="1"/>
    <col min="15" max="15" width="8.81640625" customWidth="1"/>
    <col min="16" max="16" width="10" customWidth="1"/>
  </cols>
  <sheetData>
    <row r="1" spans="1:17" ht="37.5" x14ac:dyDescent="0.25">
      <c r="B1" s="155"/>
      <c r="C1" s="156" t="s">
        <v>366</v>
      </c>
      <c r="D1" s="156"/>
      <c r="E1" s="156"/>
      <c r="F1" s="157"/>
      <c r="G1" s="158" t="s">
        <v>367</v>
      </c>
      <c r="H1" s="158"/>
      <c r="I1" s="158"/>
      <c r="J1" s="159"/>
      <c r="K1" s="160"/>
      <c r="L1" s="155"/>
      <c r="M1" s="161" t="s">
        <v>368</v>
      </c>
      <c r="N1" s="161"/>
      <c r="O1" s="162" t="s">
        <v>369</v>
      </c>
      <c r="P1" s="162"/>
    </row>
    <row r="2" spans="1:17" ht="39" x14ac:dyDescent="0.4">
      <c r="A2" s="163" t="s">
        <v>370</v>
      </c>
      <c r="B2" s="164" t="s">
        <v>371</v>
      </c>
      <c r="C2" s="165" t="s">
        <v>372</v>
      </c>
      <c r="D2" s="165" t="s">
        <v>373</v>
      </c>
      <c r="E2" s="165" t="s">
        <v>374</v>
      </c>
      <c r="F2" s="165"/>
      <c r="G2" s="165" t="s">
        <v>372</v>
      </c>
      <c r="H2" s="165" t="s">
        <v>373</v>
      </c>
      <c r="I2" s="165" t="s">
        <v>374</v>
      </c>
      <c r="J2" s="166"/>
      <c r="K2" s="163" t="s">
        <v>370</v>
      </c>
      <c r="L2" s="164" t="s">
        <v>371</v>
      </c>
      <c r="M2" s="165" t="s">
        <v>375</v>
      </c>
      <c r="N2" s="165"/>
      <c r="O2" s="165" t="s">
        <v>376</v>
      </c>
      <c r="P2" s="165" t="s">
        <v>374</v>
      </c>
    </row>
    <row r="3" spans="1:17" x14ac:dyDescent="0.25">
      <c r="A3" s="3" t="s">
        <v>377</v>
      </c>
      <c r="B3" s="155">
        <v>0.2</v>
      </c>
      <c r="C3" s="155">
        <v>-180</v>
      </c>
      <c r="D3" s="155">
        <f>C3-$C$6</f>
        <v>-209</v>
      </c>
      <c r="E3" s="155">
        <f>(C3-$C$6)^2</f>
        <v>43681</v>
      </c>
      <c r="F3" s="155"/>
      <c r="G3" s="155">
        <v>-10</v>
      </c>
      <c r="H3" s="155">
        <f>G3-$G$6</f>
        <v>-25.5</v>
      </c>
      <c r="I3" s="155">
        <f>(G3-$G$6)^2</f>
        <v>650.25</v>
      </c>
      <c r="K3" s="3" t="s">
        <v>377</v>
      </c>
      <c r="L3" s="155">
        <v>0.2</v>
      </c>
      <c r="M3" s="155">
        <f>H3*D3</f>
        <v>5329.5</v>
      </c>
      <c r="N3" s="155"/>
      <c r="O3" s="155">
        <f>G3+C3</f>
        <v>-190</v>
      </c>
      <c r="P3" s="155">
        <f>(O3-$O$6)^2</f>
        <v>54990.25</v>
      </c>
    </row>
    <row r="4" spans="1:17" x14ac:dyDescent="0.25">
      <c r="A4" s="3" t="s">
        <v>378</v>
      </c>
      <c r="B4" s="155">
        <v>0.5</v>
      </c>
      <c r="C4" s="155">
        <v>10</v>
      </c>
      <c r="D4" s="155">
        <f>C4-$C$6</f>
        <v>-19</v>
      </c>
      <c r="E4" s="155">
        <f>(C4-$C$6)^2</f>
        <v>361</v>
      </c>
      <c r="F4" s="155"/>
      <c r="G4" s="155">
        <v>5</v>
      </c>
      <c r="H4" s="155">
        <f>G4-$G$6</f>
        <v>-10.5</v>
      </c>
      <c r="I4" s="155">
        <f>(G4-$G$6)^2</f>
        <v>110.25</v>
      </c>
      <c r="K4" s="3" t="s">
        <v>378</v>
      </c>
      <c r="L4" s="155">
        <v>0.5</v>
      </c>
      <c r="M4" s="155">
        <f>H4*D4</f>
        <v>199.5</v>
      </c>
      <c r="N4" s="155"/>
      <c r="O4" s="155">
        <f>G4+C4</f>
        <v>15</v>
      </c>
      <c r="P4" s="155">
        <f>(O4-$O$6)^2</f>
        <v>870.25</v>
      </c>
    </row>
    <row r="5" spans="1:17" x14ac:dyDescent="0.25">
      <c r="A5" s="3" t="s">
        <v>379</v>
      </c>
      <c r="B5" s="155">
        <v>0.3</v>
      </c>
      <c r="C5" s="155">
        <v>200</v>
      </c>
      <c r="D5" s="155">
        <f>C5-$C$6</f>
        <v>171</v>
      </c>
      <c r="E5" s="155">
        <f>(C5-$C$6)^2</f>
        <v>29241</v>
      </c>
      <c r="F5" s="155"/>
      <c r="G5" s="155">
        <v>50</v>
      </c>
      <c r="H5" s="155">
        <f>G5-$G$6</f>
        <v>34.5</v>
      </c>
      <c r="I5" s="155">
        <f>(G5-$G$6)^2</f>
        <v>1190.25</v>
      </c>
      <c r="K5" s="3" t="s">
        <v>379</v>
      </c>
      <c r="L5" s="155">
        <v>0.3</v>
      </c>
      <c r="M5" s="155">
        <f>H5*D5</f>
        <v>5899.5</v>
      </c>
      <c r="N5" s="155"/>
      <c r="O5" s="155">
        <f>G5+C5</f>
        <v>250</v>
      </c>
      <c r="P5" s="155">
        <f>(O5-$O$6)^2</f>
        <v>42230.25</v>
      </c>
    </row>
    <row r="6" spans="1:17" x14ac:dyDescent="0.25">
      <c r="A6" t="s">
        <v>380</v>
      </c>
      <c r="B6" s="155"/>
      <c r="C6" s="155">
        <f>SUMPRODUCT(C3:C5,$B$3:$B$5)</f>
        <v>29</v>
      </c>
      <c r="D6" s="155"/>
      <c r="E6" s="155"/>
      <c r="F6" s="155"/>
      <c r="G6" s="155">
        <f>SUMPRODUCT(G3:G5,$B$3:$B$5)</f>
        <v>15.5</v>
      </c>
      <c r="H6" s="155"/>
      <c r="I6" s="155"/>
      <c r="N6" s="164" t="s">
        <v>381</v>
      </c>
      <c r="O6" s="155">
        <f>SUMPRODUCT(O3:O5,$B$3:$B$5)</f>
        <v>44.5</v>
      </c>
      <c r="P6" s="167">
        <f>SUMPRODUCT(P3:P5,$B$3:$B$5)</f>
        <v>24102.25</v>
      </c>
      <c r="Q6" t="s">
        <v>382</v>
      </c>
    </row>
    <row r="7" spans="1:17" x14ac:dyDescent="0.25">
      <c r="A7" t="s">
        <v>383</v>
      </c>
      <c r="B7" s="155"/>
      <c r="C7" s="168">
        <f>SUMPRODUCT(E3:E5,$B$3:$B$5)</f>
        <v>17689</v>
      </c>
      <c r="D7" s="169"/>
      <c r="E7" s="164" t="s">
        <v>65</v>
      </c>
      <c r="F7" s="164"/>
      <c r="G7" s="168">
        <f>SUMPRODUCT(I3:I5,$B$3:$B$5)</f>
        <v>542.25</v>
      </c>
      <c r="H7" s="169"/>
      <c r="I7" s="164" t="s">
        <v>65</v>
      </c>
      <c r="J7" s="108"/>
      <c r="L7" s="164" t="s">
        <v>333</v>
      </c>
      <c r="M7" s="168">
        <f>SUMPRODUCT($M$3:$M$5,$B$3:$B$5)</f>
        <v>2935.5</v>
      </c>
      <c r="N7" s="164"/>
      <c r="O7" s="164"/>
      <c r="P7" s="167">
        <f>C7+G7</f>
        <v>18231.25</v>
      </c>
      <c r="Q7" t="s">
        <v>384</v>
      </c>
    </row>
    <row r="8" spans="1:17" x14ac:dyDescent="0.25">
      <c r="A8" t="s">
        <v>185</v>
      </c>
      <c r="B8" s="155"/>
      <c r="C8" s="170">
        <f>SQRT(C7)</f>
        <v>133</v>
      </c>
      <c r="D8" s="170"/>
      <c r="E8" s="170"/>
      <c r="F8" s="170"/>
      <c r="G8" s="168">
        <f>SQRT(G7)</f>
        <v>23.286262044390035</v>
      </c>
      <c r="H8" s="168"/>
      <c r="I8" s="168"/>
      <c r="J8" s="171"/>
      <c r="L8" s="3" t="s">
        <v>334</v>
      </c>
      <c r="M8" s="107">
        <f>M7/(C8*G8)</f>
        <v>0.94783046456122255</v>
      </c>
      <c r="N8" s="168"/>
      <c r="O8" s="155"/>
      <c r="P8" s="172">
        <f>G7+C7+2*M7</f>
        <v>24102.25</v>
      </c>
      <c r="Q8" t="s">
        <v>385</v>
      </c>
    </row>
    <row r="9" spans="1:17" x14ac:dyDescent="0.25">
      <c r="B9" s="155"/>
      <c r="C9" s="155"/>
      <c r="D9" s="155"/>
      <c r="E9" s="164"/>
      <c r="F9" s="164"/>
      <c r="G9" s="155"/>
      <c r="H9" s="155"/>
      <c r="I9" s="164" t="s">
        <v>65</v>
      </c>
      <c r="J9" s="108"/>
      <c r="N9" s="168"/>
      <c r="O9" s="155"/>
      <c r="P9" s="155"/>
    </row>
    <row r="10" spans="1:17" x14ac:dyDescent="0.25">
      <c r="B10" s="155"/>
      <c r="C10" s="155"/>
      <c r="D10" s="155"/>
      <c r="E10" s="155"/>
      <c r="F10" s="155"/>
      <c r="G10" s="155"/>
      <c r="H10" s="155"/>
      <c r="I10" s="155"/>
      <c r="N10" s="107"/>
      <c r="O10" s="155"/>
      <c r="P10" s="155"/>
    </row>
    <row r="11" spans="1:17" x14ac:dyDescent="0.25">
      <c r="B11" s="155"/>
      <c r="C11" s="155"/>
      <c r="D11" s="155"/>
      <c r="E11" s="155"/>
      <c r="F11" s="155"/>
      <c r="G11" s="155"/>
      <c r="H11" s="155"/>
      <c r="I11" s="155"/>
      <c r="K11" s="155"/>
      <c r="L11" s="155"/>
      <c r="M11" s="155"/>
      <c r="N11" s="155"/>
      <c r="O11" s="155"/>
      <c r="P11" s="155"/>
    </row>
    <row r="19" spans="3:3" x14ac:dyDescent="0.25">
      <c r="C19">
        <v>99</v>
      </c>
    </row>
    <row r="20" spans="3:3" x14ac:dyDescent="0.25">
      <c r="C20">
        <v>14</v>
      </c>
    </row>
    <row r="21" spans="3:3" x14ac:dyDescent="0.25">
      <c r="C21">
        <v>56</v>
      </c>
    </row>
  </sheetData>
  <mergeCells count="3">
    <mergeCell ref="C1:E1"/>
    <mergeCell ref="G1:I1"/>
    <mergeCell ref="O1:P1"/>
  </mergeCells>
  <printOptions gridLines="1"/>
  <pageMargins left="0.78740157499999996" right="0.78740157499999996" top="0.984251969" bottom="0.984251969" header="0.4921259845" footer="0.4921259845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zoomScaleNormal="100" workbookViewId="0"/>
  </sheetViews>
  <sheetFormatPr defaultColWidth="11.453125" defaultRowHeight="12.5" x14ac:dyDescent="0.25"/>
  <cols>
    <col min="1" max="1" width="14.7265625" bestFit="1" customWidth="1"/>
    <col min="2" max="2" width="12.453125" bestFit="1" customWidth="1"/>
  </cols>
  <sheetData>
    <row r="1" spans="1:5" x14ac:dyDescent="0.25">
      <c r="A1" t="s">
        <v>116</v>
      </c>
      <c r="B1" s="69">
        <v>0</v>
      </c>
      <c r="C1" s="70">
        <v>1</v>
      </c>
      <c r="D1" s="71">
        <v>1</v>
      </c>
      <c r="E1" s="72">
        <v>2</v>
      </c>
    </row>
    <row r="2" spans="1:5" x14ac:dyDescent="0.25">
      <c r="A2" s="73" t="s">
        <v>185</v>
      </c>
      <c r="B2" s="69">
        <v>1</v>
      </c>
      <c r="C2" s="70">
        <v>0.5</v>
      </c>
      <c r="D2" s="71">
        <v>2</v>
      </c>
      <c r="E2" s="72">
        <v>2</v>
      </c>
    </row>
    <row r="3" spans="1:5" x14ac:dyDescent="0.25">
      <c r="A3" s="53" t="s">
        <v>41</v>
      </c>
      <c r="B3">
        <v>2.5000000000000001E-2</v>
      </c>
      <c r="C3">
        <v>2.5000000000000001E-2</v>
      </c>
      <c r="D3">
        <v>2.5000000000000001E-2</v>
      </c>
      <c r="E3">
        <v>2.5000000000000001E-2</v>
      </c>
    </row>
    <row r="4" spans="1:5" x14ac:dyDescent="0.25">
      <c r="A4" s="53" t="s">
        <v>186</v>
      </c>
      <c r="B4" s="29">
        <f>NORMINV(B3,B1,B2)</f>
        <v>-1.9599639845400538</v>
      </c>
      <c r="C4" s="29">
        <f>NORMINV(C3,C1,C2)</f>
        <v>2.0018007729973086E-2</v>
      </c>
      <c r="D4" s="29">
        <f>NORMINV(D3,D1,D2)</f>
        <v>-2.9199279690801077</v>
      </c>
      <c r="E4" s="29">
        <f>NORMINV(E3,E1,E2)</f>
        <v>-1.9199279690801077</v>
      </c>
    </row>
    <row r="5" spans="1:5" x14ac:dyDescent="0.25">
      <c r="A5" t="s">
        <v>187</v>
      </c>
      <c r="B5" s="29">
        <f>EXP(-((B4-B$1)^2)/(2*B$2^2))/SQRT(2*3.14*B$2)</f>
        <v>5.8459890020002368E-2</v>
      </c>
      <c r="C5" s="29">
        <f>EXP(-((C4-C$1)^2)/(2*C$2^2))/SQRT(2*3.14*C$2)</f>
        <v>8.2674769321126898E-2</v>
      </c>
      <c r="D5" s="29">
        <f>EXP(-((D4-D$1)^2)/(2*D$2^2))/SQRT(2*3.14*D$2)</f>
        <v>4.1337384660563449E-2</v>
      </c>
      <c r="E5" s="29">
        <f>EXP(-((E4-E$1)^2)/(2*E$2^2))/SQRT(2*3.14*E$2)</f>
        <v>4.1337384660563449E-2</v>
      </c>
    </row>
    <row r="7" spans="1:5" x14ac:dyDescent="0.25">
      <c r="A7">
        <v>-6</v>
      </c>
      <c r="B7">
        <f>EXP(-(($A7-B$1)^2)/(2*B$2^2))/(B$2*SQRT(2*3.14))</f>
        <v>6.0774235424813474E-9</v>
      </c>
      <c r="C7">
        <f>EXP(-(($A7-C$1)^2)/(2*C$2^2))/(C$2*SQRT(2*3.14))</f>
        <v>2.1937692630343714E-43</v>
      </c>
      <c r="D7">
        <f>EXP(-(($A7-D$1)^2)/(2*D$2^2))/(D$2*SQRT(2*3.14))</f>
        <v>4.3645199282779347E-4</v>
      </c>
      <c r="E7">
        <f>EXP(-(($A7-E$1)^2)/(2*E$2^2))/(E$2*SQRT(2*3.14))</f>
        <v>6.6932080889509231E-5</v>
      </c>
    </row>
    <row r="8" spans="1:5" x14ac:dyDescent="0.25">
      <c r="A8" s="42">
        <f t="shared" ref="A8:A71" si="0">A7+0.1</f>
        <v>-5.9</v>
      </c>
      <c r="B8">
        <f t="shared" ref="B8:E71" si="1">EXP(-(($A8-B$1)^2)/(2*B$2^2))/(B$2*SQRT(2*3.14))</f>
        <v>1.1018556948148046E-8</v>
      </c>
      <c r="C8">
        <f t="shared" si="1"/>
        <v>3.5361412705989527E-42</v>
      </c>
      <c r="D8">
        <f t="shared" si="1"/>
        <v>5.1927228897724858E-4</v>
      </c>
      <c r="E8">
        <f t="shared" si="1"/>
        <v>8.1648903263973751E-5</v>
      </c>
    </row>
    <row r="9" spans="1:5" x14ac:dyDescent="0.25">
      <c r="A9" s="42">
        <f t="shared" si="0"/>
        <v>-5.8000000000000007</v>
      </c>
      <c r="B9">
        <f t="shared" si="1"/>
        <v>1.9778210396685578E-8</v>
      </c>
      <c r="C9">
        <f t="shared" si="1"/>
        <v>5.4764167156318255E-41</v>
      </c>
      <c r="D9">
        <f t="shared" si="1"/>
        <v>6.1626581429170509E-4</v>
      </c>
      <c r="E9">
        <f t="shared" si="1"/>
        <v>9.9352922737827194E-5</v>
      </c>
    </row>
    <row r="10" spans="1:5" x14ac:dyDescent="0.25">
      <c r="A10" s="42">
        <f t="shared" si="0"/>
        <v>-5.7000000000000011</v>
      </c>
      <c r="B10">
        <f t="shared" si="1"/>
        <v>3.514846146367853E-8</v>
      </c>
      <c r="C10">
        <f t="shared" si="1"/>
        <v>8.1487611542209829E-40</v>
      </c>
      <c r="D10">
        <f t="shared" si="1"/>
        <v>7.295503512450267E-4</v>
      </c>
      <c r="E10">
        <f t="shared" si="1"/>
        <v>1.205938619624709E-4</v>
      </c>
    </row>
    <row r="11" spans="1:5" x14ac:dyDescent="0.25">
      <c r="A11" s="42">
        <f t="shared" si="0"/>
        <v>-5.6000000000000014</v>
      </c>
      <c r="B11">
        <f t="shared" si="1"/>
        <v>6.1841882588352104E-8</v>
      </c>
      <c r="C11">
        <f t="shared" si="1"/>
        <v>1.1649704525681656E-38</v>
      </c>
      <c r="D11">
        <f t="shared" si="1"/>
        <v>8.6150286983038274E-4</v>
      </c>
      <c r="E11">
        <f t="shared" si="1"/>
        <v>1.4601047813254619E-4</v>
      </c>
    </row>
    <row r="12" spans="1:5" x14ac:dyDescent="0.25">
      <c r="A12" s="42">
        <f t="shared" si="0"/>
        <v>-5.5000000000000018</v>
      </c>
      <c r="B12">
        <f t="shared" si="1"/>
        <v>1.0772490985623658E-7</v>
      </c>
      <c r="C12">
        <f t="shared" si="1"/>
        <v>1.6001712121259302E-37</v>
      </c>
      <c r="D12">
        <f t="shared" si="1"/>
        <v>1.0147812866913876E-3</v>
      </c>
      <c r="E12">
        <f t="shared" si="1"/>
        <v>1.7634254592807896E-4</v>
      </c>
    </row>
    <row r="13" spans="1:5" x14ac:dyDescent="0.25">
      <c r="A13" s="42">
        <f t="shared" si="0"/>
        <v>-5.4000000000000021</v>
      </c>
      <c r="B13">
        <f t="shared" si="1"/>
        <v>1.8578328252881146E-7</v>
      </c>
      <c r="C13">
        <f t="shared" si="1"/>
        <v>2.1117680565533547E-36</v>
      </c>
      <c r="D13">
        <f t="shared" si="1"/>
        <v>1.192346373445614E-3</v>
      </c>
      <c r="E13">
        <f t="shared" si="1"/>
        <v>2.1244399212715296E-4</v>
      </c>
    </row>
    <row r="14" spans="1:5" x14ac:dyDescent="0.25">
      <c r="A14" s="42">
        <f t="shared" si="0"/>
        <v>-5.3000000000000025</v>
      </c>
      <c r="B14">
        <f t="shared" si="1"/>
        <v>3.172153391940362E-7</v>
      </c>
      <c r="C14">
        <f t="shared" si="1"/>
        <v>2.6776524123813629E-35</v>
      </c>
      <c r="D14">
        <f t="shared" si="1"/>
        <v>1.3974834846312745E-3</v>
      </c>
      <c r="E14">
        <f t="shared" si="1"/>
        <v>2.5529720777793682E-4</v>
      </c>
    </row>
    <row r="15" spans="1:5" x14ac:dyDescent="0.25">
      <c r="A15" s="42">
        <f t="shared" si="0"/>
        <v>-5.2000000000000028</v>
      </c>
      <c r="B15">
        <f t="shared" si="1"/>
        <v>5.3623947698213152E-7</v>
      </c>
      <c r="C15">
        <f t="shared" si="1"/>
        <v>3.2620484342699037E-34</v>
      </c>
      <c r="D15">
        <f t="shared" si="1"/>
        <v>1.6338237200996602E-3</v>
      </c>
      <c r="E15">
        <f t="shared" si="1"/>
        <v>3.0602854660630559E-4</v>
      </c>
    </row>
    <row r="16" spans="1:5" x14ac:dyDescent="0.25">
      <c r="A16" s="42">
        <f t="shared" si="0"/>
        <v>-5.1000000000000032</v>
      </c>
      <c r="B16">
        <f t="shared" si="1"/>
        <v>8.9747103486106431E-7</v>
      </c>
      <c r="C16">
        <f t="shared" si="1"/>
        <v>3.8181662157418614E-33</v>
      </c>
      <c r="D16">
        <f t="shared" si="1"/>
        <v>1.9053640795312278E-3</v>
      </c>
      <c r="E16">
        <f t="shared" si="1"/>
        <v>3.659249973632392E-4</v>
      </c>
    </row>
    <row r="17" spans="1:5" x14ac:dyDescent="0.25">
      <c r="A17" s="42">
        <f t="shared" si="0"/>
        <v>-5.0000000000000036</v>
      </c>
      <c r="B17">
        <f t="shared" si="1"/>
        <v>1.4870965097977977E-6</v>
      </c>
      <c r="C17">
        <f t="shared" si="1"/>
        <v>4.2938560103067238E-32</v>
      </c>
      <c r="D17">
        <f t="shared" si="1"/>
        <v>2.2164861091918389E-3</v>
      </c>
      <c r="E17">
        <f t="shared" si="1"/>
        <v>4.3645199282779076E-4</v>
      </c>
    </row>
    <row r="18" spans="1:5" x14ac:dyDescent="0.25">
      <c r="A18" s="42">
        <f t="shared" si="0"/>
        <v>-4.9000000000000039</v>
      </c>
      <c r="B18">
        <f t="shared" si="1"/>
        <v>2.4395792056311613E-6</v>
      </c>
      <c r="C18">
        <f t="shared" si="1"/>
        <v>4.6394697103071357E-31</v>
      </c>
      <c r="D18">
        <f t="shared" si="1"/>
        <v>2.5719724843941694E-3</v>
      </c>
      <c r="E18">
        <f t="shared" si="1"/>
        <v>5.1927228897724522E-4</v>
      </c>
    </row>
    <row r="19" spans="1:5" x14ac:dyDescent="0.25">
      <c r="A19" s="42">
        <f t="shared" si="0"/>
        <v>-4.8000000000000043</v>
      </c>
      <c r="B19">
        <f t="shared" si="1"/>
        <v>3.9623035778821796E-6</v>
      </c>
      <c r="C19">
        <f t="shared" si="1"/>
        <v>4.816343258832684E-30</v>
      </c>
      <c r="D19">
        <f t="shared" si="1"/>
        <v>2.9770209169175444E-3</v>
      </c>
      <c r="E19">
        <f t="shared" si="1"/>
        <v>6.162658142917013E-4</v>
      </c>
    </row>
    <row r="20" spans="1:5" x14ac:dyDescent="0.25">
      <c r="A20" s="42">
        <f t="shared" si="0"/>
        <v>-4.7000000000000046</v>
      </c>
      <c r="B20">
        <f t="shared" si="1"/>
        <v>6.3714404079832573E-6</v>
      </c>
      <c r="C20">
        <f t="shared" si="1"/>
        <v>4.8039086428613976E-29</v>
      </c>
      <c r="D20">
        <f t="shared" si="1"/>
        <v>3.4372547265895297E-3</v>
      </c>
      <c r="E20">
        <f t="shared" si="1"/>
        <v>7.2955035124502225E-4</v>
      </c>
    </row>
    <row r="21" spans="1:5" x14ac:dyDescent="0.25">
      <c r="A21" s="42">
        <f t="shared" si="0"/>
        <v>-4.600000000000005</v>
      </c>
      <c r="B21">
        <f t="shared" si="1"/>
        <v>1.0143423533157948E-5</v>
      </c>
      <c r="C21">
        <f t="shared" si="1"/>
        <v>4.6036284873530399E-28</v>
      </c>
      <c r="D21">
        <f t="shared" si="1"/>
        <v>3.9587293722403204E-3</v>
      </c>
      <c r="E21">
        <f t="shared" si="1"/>
        <v>8.6150286983037742E-4</v>
      </c>
    </row>
    <row r="22" spans="1:5" x14ac:dyDescent="0.25">
      <c r="A22" s="42">
        <f t="shared" si="0"/>
        <v>-4.5000000000000053</v>
      </c>
      <c r="B22">
        <f t="shared" si="1"/>
        <v>1.5987794185804134E-5</v>
      </c>
      <c r="C22">
        <f t="shared" si="1"/>
        <v>4.2387130666660418E-27</v>
      </c>
      <c r="D22">
        <f t="shared" si="1"/>
        <v>4.5479342013483703E-3</v>
      </c>
      <c r="E22">
        <f t="shared" si="1"/>
        <v>1.0147812866913813E-3</v>
      </c>
    </row>
    <row r="23" spans="1:5" x14ac:dyDescent="0.25">
      <c r="A23" s="42">
        <f t="shared" si="0"/>
        <v>-4.4000000000000057</v>
      </c>
      <c r="B23">
        <f t="shared" si="1"/>
        <v>2.494879607993787E-5</v>
      </c>
      <c r="C23">
        <f t="shared" si="1"/>
        <v>3.7496953930569517E-26</v>
      </c>
      <c r="D23">
        <f t="shared" si="1"/>
        <v>5.2117886520538226E-3</v>
      </c>
      <c r="E23">
        <f t="shared" si="1"/>
        <v>1.1923463734456077E-3</v>
      </c>
    </row>
    <row r="24" spans="1:5" x14ac:dyDescent="0.25">
      <c r="A24" s="42">
        <f t="shared" si="0"/>
        <v>-4.300000000000006</v>
      </c>
      <c r="B24">
        <f t="shared" si="1"/>
        <v>3.8544968308813925E-5</v>
      </c>
      <c r="C24">
        <f t="shared" si="1"/>
        <v>3.1870302120608985E-25</v>
      </c>
      <c r="D24">
        <f t="shared" si="1"/>
        <v>5.9576321280402616E-3</v>
      </c>
      <c r="E24">
        <f t="shared" si="1"/>
        <v>1.3974834846312669E-3</v>
      </c>
    </row>
    <row r="25" spans="1:5" x14ac:dyDescent="0.25">
      <c r="A25" s="42">
        <f t="shared" si="0"/>
        <v>-4.2000000000000064</v>
      </c>
      <c r="B25">
        <f t="shared" si="1"/>
        <v>5.8958014251390256E-5</v>
      </c>
      <c r="C25">
        <f t="shared" si="1"/>
        <v>2.6025830228175659E-24</v>
      </c>
      <c r="D25">
        <f t="shared" si="1"/>
        <v>6.793206768297139E-3</v>
      </c>
      <c r="E25">
        <f t="shared" si="1"/>
        <v>1.6338237200996511E-3</v>
      </c>
    </row>
    <row r="26" spans="1:5" x14ac:dyDescent="0.25">
      <c r="A26" s="42">
        <f t="shared" si="0"/>
        <v>-4.1000000000000068</v>
      </c>
      <c r="B26">
        <f t="shared" si="1"/>
        <v>8.928429171161013E-5</v>
      </c>
      <c r="C26">
        <f t="shared" si="1"/>
        <v>2.0419787825873854E-23</v>
      </c>
      <c r="D26">
        <f t="shared" si="1"/>
        <v>7.7266323521420384E-3</v>
      </c>
      <c r="E26">
        <f t="shared" si="1"/>
        <v>1.9053640795312179E-3</v>
      </c>
    </row>
    <row r="27" spans="1:5" x14ac:dyDescent="0.25">
      <c r="A27" s="42">
        <f t="shared" si="0"/>
        <v>-4.0000000000000071</v>
      </c>
      <c r="B27">
        <f t="shared" si="1"/>
        <v>1.3386416177901464E-4</v>
      </c>
      <c r="C27">
        <f t="shared" si="1"/>
        <v>1.5393099570787043E-22</v>
      </c>
      <c r="D27">
        <f t="shared" si="1"/>
        <v>8.7663726171414071E-3</v>
      </c>
      <c r="E27">
        <f t="shared" si="1"/>
        <v>2.2164861091918272E-3</v>
      </c>
    </row>
    <row r="28" spans="1:5" x14ac:dyDescent="0.25">
      <c r="A28" s="42">
        <f t="shared" si="0"/>
        <v>-3.900000000000007</v>
      </c>
      <c r="B28">
        <f t="shared" si="1"/>
        <v>1.9870584547564929E-4</v>
      </c>
      <c r="C28">
        <f t="shared" si="1"/>
        <v>1.1148826393620249E-21</v>
      </c>
      <c r="D28">
        <f t="shared" si="1"/>
        <v>9.9211923255521604E-3</v>
      </c>
      <c r="E28">
        <f t="shared" si="1"/>
        <v>2.5719724843941555E-3</v>
      </c>
    </row>
    <row r="29" spans="1:5" x14ac:dyDescent="0.25">
      <c r="A29" s="42">
        <f t="shared" si="0"/>
        <v>-3.8000000000000069</v>
      </c>
      <c r="B29">
        <f t="shared" si="1"/>
        <v>2.9202095626508539E-4</v>
      </c>
      <c r="C29">
        <f t="shared" si="1"/>
        <v>7.7581906488072281E-21</v>
      </c>
      <c r="D29">
        <f t="shared" si="1"/>
        <v>1.120010449515557E-2</v>
      </c>
      <c r="E29">
        <f t="shared" si="1"/>
        <v>2.9770209169175344E-3</v>
      </c>
    </row>
    <row r="30" spans="1:5" x14ac:dyDescent="0.25">
      <c r="A30" s="42">
        <f t="shared" si="0"/>
        <v>-3.7000000000000068</v>
      </c>
      <c r="B30">
        <f t="shared" si="1"/>
        <v>4.2488798425429687E-4</v>
      </c>
      <c r="C30">
        <f t="shared" si="1"/>
        <v>5.1870443741003912E-20</v>
      </c>
      <c r="D30">
        <f t="shared" si="1"/>
        <v>1.2612307314033443E-2</v>
      </c>
      <c r="E30">
        <f t="shared" si="1"/>
        <v>3.4372547265895206E-3</v>
      </c>
    </row>
    <row r="31" spans="1:5" x14ac:dyDescent="0.25">
      <c r="A31" s="42">
        <f t="shared" si="0"/>
        <v>-3.6000000000000068</v>
      </c>
      <c r="B31">
        <f t="shared" si="1"/>
        <v>6.1205709321259926E-4</v>
      </c>
      <c r="C31">
        <f t="shared" si="1"/>
        <v>3.332020768094328E-19</v>
      </c>
      <c r="D31">
        <f t="shared" si="1"/>
        <v>1.4167110386646968E-2</v>
      </c>
      <c r="E31">
        <f t="shared" si="1"/>
        <v>3.9587293722403126E-3</v>
      </c>
    </row>
    <row r="32" spans="1:5" x14ac:dyDescent="0.25">
      <c r="A32" s="42">
        <f t="shared" si="0"/>
        <v>-3.5000000000000067</v>
      </c>
      <c r="B32">
        <f t="shared" si="1"/>
        <v>8.7290398565556689E-4</v>
      </c>
      <c r="C32">
        <f t="shared" si="1"/>
        <v>2.0564760532750325E-18</v>
      </c>
      <c r="D32">
        <f t="shared" si="1"/>
        <v>1.5873850110676112E-2</v>
      </c>
      <c r="E32">
        <f t="shared" si="1"/>
        <v>4.5479342013483573E-3</v>
      </c>
    </row>
    <row r="33" spans="1:5" x14ac:dyDescent="0.25">
      <c r="A33" s="42">
        <f t="shared" si="0"/>
        <v>-3.4000000000000066</v>
      </c>
      <c r="B33">
        <f t="shared" si="1"/>
        <v>1.2325316285833839E-3</v>
      </c>
      <c r="C33">
        <f t="shared" si="1"/>
        <v>1.2194607724192126E-17</v>
      </c>
      <c r="D33">
        <f t="shared" si="1"/>
        <v>1.7741794159995713E-2</v>
      </c>
      <c r="E33">
        <f t="shared" si="1"/>
        <v>5.2117886520538156E-3</v>
      </c>
    </row>
    <row r="34" spans="1:5" x14ac:dyDescent="0.25">
      <c r="A34" s="42">
        <f t="shared" si="0"/>
        <v>-3.3000000000000065</v>
      </c>
      <c r="B34">
        <f t="shared" si="1"/>
        <v>1.7230057396607319E-3</v>
      </c>
      <c r="C34">
        <f t="shared" si="1"/>
        <v>6.9476868109491691E-17</v>
      </c>
      <c r="D34">
        <f t="shared" si="1"/>
        <v>1.9780035247745454E-2</v>
      </c>
      <c r="E34">
        <f t="shared" si="1"/>
        <v>5.9576321280402616E-3</v>
      </c>
    </row>
    <row r="35" spans="1:5" x14ac:dyDescent="0.25">
      <c r="A35" s="42">
        <f t="shared" si="0"/>
        <v>-3.2000000000000064</v>
      </c>
      <c r="B35">
        <f t="shared" si="1"/>
        <v>2.3846927468911877E-3</v>
      </c>
      <c r="C35">
        <f t="shared" si="1"/>
        <v>3.803127209733251E-16</v>
      </c>
      <c r="D35">
        <f t="shared" si="1"/>
        <v>2.199737456279369E-2</v>
      </c>
      <c r="E35">
        <f t="shared" si="1"/>
        <v>6.793206768297139E-3</v>
      </c>
    </row>
    <row r="36" spans="1:5" x14ac:dyDescent="0.25">
      <c r="A36" s="42">
        <f t="shared" si="0"/>
        <v>-3.1000000000000063</v>
      </c>
      <c r="B36">
        <f t="shared" si="1"/>
        <v>3.2676474401992705E-3</v>
      </c>
      <c r="C36">
        <f t="shared" si="1"/>
        <v>2.0001828176961096E-15</v>
      </c>
      <c r="D36">
        <f t="shared" si="1"/>
        <v>2.4402195510314598E-2</v>
      </c>
      <c r="E36">
        <f t="shared" si="1"/>
        <v>7.7266323521420384E-3</v>
      </c>
    </row>
    <row r="37" spans="1:5" x14ac:dyDescent="0.25">
      <c r="A37" s="42">
        <f t="shared" si="0"/>
        <v>-3.0000000000000062</v>
      </c>
      <c r="B37">
        <f t="shared" si="1"/>
        <v>4.4329722183836188E-3</v>
      </c>
      <c r="C37">
        <f t="shared" si="1"/>
        <v>1.010710442745776E-14</v>
      </c>
      <c r="D37">
        <f t="shared" si="1"/>
        <v>2.7002328639212689E-2</v>
      </c>
      <c r="E37">
        <f t="shared" si="1"/>
        <v>8.7663726171414158E-3</v>
      </c>
    </row>
    <row r="38" spans="1:5" x14ac:dyDescent="0.25">
      <c r="A38" s="42">
        <f t="shared" si="0"/>
        <v>-2.9000000000000061</v>
      </c>
      <c r="B38">
        <f t="shared" si="1"/>
        <v>5.9540418338350203E-3</v>
      </c>
      <c r="C38">
        <f t="shared" si="1"/>
        <v>4.9069545374869901E-14</v>
      </c>
      <c r="D38">
        <f t="shared" si="1"/>
        <v>2.9804908901461993E-2</v>
      </c>
      <c r="E38">
        <f t="shared" si="1"/>
        <v>9.921192325552183E-3</v>
      </c>
    </row>
    <row r="39" spans="1:5" x14ac:dyDescent="0.25">
      <c r="A39" s="42">
        <f t="shared" si="0"/>
        <v>-2.800000000000006</v>
      </c>
      <c r="B39">
        <f t="shared" si="1"/>
        <v>7.9174587444805645E-3</v>
      </c>
      <c r="C39">
        <f t="shared" si="1"/>
        <v>2.2888932395742917E-13</v>
      </c>
      <c r="D39">
        <f t="shared" si="1"/>
        <v>3.2816226656041503E-2</v>
      </c>
      <c r="E39">
        <f t="shared" si="1"/>
        <v>1.1200104495155579E-2</v>
      </c>
    </row>
    <row r="40" spans="1:5" x14ac:dyDescent="0.25">
      <c r="A40" s="42">
        <f t="shared" si="0"/>
        <v>-2.700000000000006</v>
      </c>
      <c r="B40">
        <f t="shared" si="1"/>
        <v>1.0423577304107558E-2</v>
      </c>
      <c r="C40">
        <f t="shared" si="1"/>
        <v>1.0258107814970825E-12</v>
      </c>
      <c r="D40">
        <f t="shared" si="1"/>
        <v>3.6041574097303963E-2</v>
      </c>
      <c r="E40">
        <f t="shared" si="1"/>
        <v>1.2612307314033443E-2</v>
      </c>
    </row>
    <row r="41" spans="1:5" x14ac:dyDescent="0.25">
      <c r="A41" s="42">
        <f t="shared" si="0"/>
        <v>-2.6000000000000059</v>
      </c>
      <c r="B41">
        <f t="shared" si="1"/>
        <v>1.3586413536594181E-2</v>
      </c>
      <c r="C41">
        <f t="shared" si="1"/>
        <v>4.4170997088666238E-12</v>
      </c>
      <c r="D41">
        <f t="shared" si="1"/>
        <v>3.9485089047959172E-2</v>
      </c>
      <c r="E41">
        <f t="shared" si="1"/>
        <v>1.416711038664698E-2</v>
      </c>
    </row>
    <row r="42" spans="1:5" x14ac:dyDescent="0.25">
      <c r="A42" s="42">
        <f t="shared" si="0"/>
        <v>-2.5000000000000058</v>
      </c>
      <c r="B42">
        <f t="shared" si="1"/>
        <v>1.7532745234282721E-2</v>
      </c>
      <c r="C42">
        <f t="shared" si="1"/>
        <v>1.8274073492180618E-11</v>
      </c>
      <c r="D42">
        <f t="shared" si="1"/>
        <v>4.3149598303533605E-2</v>
      </c>
      <c r="E42">
        <f t="shared" si="1"/>
        <v>1.587385011067614E-2</v>
      </c>
    </row>
    <row r="43" spans="1:5" x14ac:dyDescent="0.25">
      <c r="A43" s="42">
        <f t="shared" si="0"/>
        <v>-2.4000000000000057</v>
      </c>
      <c r="B43">
        <f t="shared" si="1"/>
        <v>2.2400208990311019E-2</v>
      </c>
      <c r="C43">
        <f t="shared" si="1"/>
        <v>7.2637644465027826E-11</v>
      </c>
      <c r="D43">
        <f t="shared" si="1"/>
        <v>4.7036462940983445E-2</v>
      </c>
      <c r="E43">
        <f t="shared" si="1"/>
        <v>1.774179415999573E-2</v>
      </c>
    </row>
    <row r="44" spans="1:5" x14ac:dyDescent="0.25">
      <c r="A44" s="42">
        <f t="shared" si="0"/>
        <v>-2.3000000000000056</v>
      </c>
      <c r="B44">
        <f t="shared" si="1"/>
        <v>2.8334220773293787E-2</v>
      </c>
      <c r="C44">
        <f t="shared" si="1"/>
        <v>2.7740632433927443E-10</v>
      </c>
      <c r="D44">
        <f t="shared" si="1"/>
        <v>5.1145428201703425E-2</v>
      </c>
      <c r="E44">
        <f t="shared" si="1"/>
        <v>1.9780035247745454E-2</v>
      </c>
    </row>
    <row r="45" spans="1:5" x14ac:dyDescent="0.25">
      <c r="A45" s="42">
        <f t="shared" si="0"/>
        <v>-2.2000000000000055</v>
      </c>
      <c r="B45">
        <f t="shared" si="1"/>
        <v>3.5483588319991259E-2</v>
      </c>
      <c r="C45">
        <f t="shared" si="1"/>
        <v>1.0178861014746034E-9</v>
      </c>
      <c r="D45">
        <f t="shared" si="1"/>
        <v>5.5474480721119233E-2</v>
      </c>
      <c r="E45">
        <f t="shared" si="1"/>
        <v>2.1997374562793711E-2</v>
      </c>
    </row>
    <row r="46" spans="1:5" x14ac:dyDescent="0.25">
      <c r="A46" s="42">
        <f t="shared" si="0"/>
        <v>-2.1000000000000054</v>
      </c>
      <c r="B46">
        <f t="shared" si="1"/>
        <v>4.3994749125587186E-2</v>
      </c>
      <c r="C46">
        <f t="shared" si="1"/>
        <v>3.5884775338291654E-9</v>
      </c>
      <c r="D46">
        <f t="shared" si="1"/>
        <v>6.0019715996230107E-2</v>
      </c>
      <c r="E46">
        <f t="shared" si="1"/>
        <v>2.4402195510314643E-2</v>
      </c>
    </row>
    <row r="47" spans="1:5" x14ac:dyDescent="0.25">
      <c r="A47" s="42">
        <f t="shared" si="0"/>
        <v>-2.0000000000000053</v>
      </c>
      <c r="B47">
        <f t="shared" si="1"/>
        <v>5.4004657278425149E-2</v>
      </c>
      <c r="C47">
        <f t="shared" si="1"/>
        <v>1.2154847084961916E-8</v>
      </c>
      <c r="D47">
        <f t="shared" si="1"/>
        <v>6.4775219052187666E-2</v>
      </c>
      <c r="E47">
        <f t="shared" si="1"/>
        <v>2.7002328639212717E-2</v>
      </c>
    </row>
    <row r="48" spans="1:5" x14ac:dyDescent="0.25">
      <c r="A48" s="42">
        <f t="shared" si="0"/>
        <v>-1.9000000000000052</v>
      </c>
      <c r="B48">
        <f t="shared" si="1"/>
        <v>6.5632453312082728E-2</v>
      </c>
      <c r="C48">
        <f t="shared" si="1"/>
        <v>3.9556420793368905E-8</v>
      </c>
      <c r="D48">
        <f t="shared" si="1"/>
        <v>6.9732961283246644E-2</v>
      </c>
      <c r="E48">
        <f t="shared" si="1"/>
        <v>2.9804908901462018E-2</v>
      </c>
    </row>
    <row r="49" spans="1:5" x14ac:dyDescent="0.25">
      <c r="A49" s="42">
        <f t="shared" si="0"/>
        <v>-1.8000000000000052</v>
      </c>
      <c r="B49">
        <f t="shared" si="1"/>
        <v>7.8970178095918026E-2</v>
      </c>
      <c r="C49">
        <f t="shared" si="1"/>
        <v>1.2368376517669804E-7</v>
      </c>
      <c r="D49">
        <f t="shared" si="1"/>
        <v>7.4882716397108043E-2</v>
      </c>
      <c r="E49">
        <f t="shared" si="1"/>
        <v>3.2816226656041531E-2</v>
      </c>
    </row>
    <row r="50" spans="1:5" x14ac:dyDescent="0.25">
      <c r="A50" s="42">
        <f t="shared" si="0"/>
        <v>-1.7000000000000051</v>
      </c>
      <c r="B50">
        <f t="shared" si="1"/>
        <v>9.4072925881966529E-2</v>
      </c>
      <c r="C50">
        <f t="shared" si="1"/>
        <v>3.7156656505760641E-7</v>
      </c>
      <c r="D50">
        <f t="shared" si="1"/>
        <v>8.0211998280844091E-2</v>
      </c>
      <c r="E50">
        <f t="shared" si="1"/>
        <v>3.6041574097303998E-2</v>
      </c>
    </row>
    <row r="51" spans="1:5" x14ac:dyDescent="0.25">
      <c r="A51" s="42">
        <f t="shared" si="0"/>
        <v>-1.600000000000005</v>
      </c>
      <c r="B51">
        <f t="shared" si="1"/>
        <v>0.11094896144223806</v>
      </c>
      <c r="C51">
        <f t="shared" si="1"/>
        <v>1.0724789539642249E-6</v>
      </c>
      <c r="D51">
        <f t="shared" si="1"/>
        <v>8.5706023428637521E-2</v>
      </c>
      <c r="E51">
        <f t="shared" si="1"/>
        <v>3.94850890479592E-2</v>
      </c>
    </row>
    <row r="52" spans="1:5" x14ac:dyDescent="0.25">
      <c r="A52" s="42">
        <f t="shared" si="0"/>
        <v>-1.5000000000000049</v>
      </c>
      <c r="B52">
        <f t="shared" si="1"/>
        <v>0.12955043810437492</v>
      </c>
      <c r="C52">
        <f t="shared" si="1"/>
        <v>2.9741930195954998E-6</v>
      </c>
      <c r="D52">
        <f t="shared" si="1"/>
        <v>9.1347700325411063E-2</v>
      </c>
      <c r="E52">
        <f t="shared" si="1"/>
        <v>4.3149598303533647E-2</v>
      </c>
    </row>
    <row r="53" spans="1:5" x14ac:dyDescent="0.25">
      <c r="A53" s="42">
        <f t="shared" si="0"/>
        <v>-1.4000000000000048</v>
      </c>
      <c r="B53">
        <f t="shared" si="1"/>
        <v>0.14976543279421561</v>
      </c>
      <c r="C53">
        <f t="shared" si="1"/>
        <v>7.9246071557641628E-6</v>
      </c>
      <c r="D53">
        <f t="shared" si="1"/>
        <v>9.7117647866669807E-2</v>
      </c>
      <c r="E53">
        <f t="shared" si="1"/>
        <v>4.703646294098348E-2</v>
      </c>
    </row>
    <row r="54" spans="1:5" x14ac:dyDescent="0.25">
      <c r="A54" s="42">
        <f t="shared" si="0"/>
        <v>-1.3000000000000047</v>
      </c>
      <c r="B54">
        <f t="shared" si="1"/>
        <v>0.17141204685727454</v>
      </c>
      <c r="C54">
        <f t="shared" si="1"/>
        <v>2.0286847066315499E-5</v>
      </c>
      <c r="D54">
        <f t="shared" si="1"/>
        <v>0.10299424451591732</v>
      </c>
      <c r="E54">
        <f t="shared" si="1"/>
        <v>5.1145428201703459E-2</v>
      </c>
    </row>
    <row r="55" spans="1:5" x14ac:dyDescent="0.25">
      <c r="A55" s="42">
        <f t="shared" si="0"/>
        <v>-1.2000000000000046</v>
      </c>
      <c r="B55">
        <f t="shared" si="1"/>
        <v>0.19423529573333911</v>
      </c>
      <c r="C55">
        <f t="shared" si="1"/>
        <v>4.9897592159874948E-5</v>
      </c>
      <c r="D55">
        <f t="shared" si="1"/>
        <v>0.10895370946108193</v>
      </c>
      <c r="E55">
        <f t="shared" si="1"/>
        <v>5.5474480721119268E-2</v>
      </c>
    </row>
    <row r="56" spans="1:5" x14ac:dyDescent="0.25">
      <c r="A56" s="42">
        <f t="shared" si="0"/>
        <v>-1.1000000000000045</v>
      </c>
      <c r="B56">
        <f t="shared" si="1"/>
        <v>0.21790741892216334</v>
      </c>
      <c r="C56">
        <f t="shared" si="1"/>
        <v>1.1791602850277927E-4</v>
      </c>
      <c r="D56">
        <f t="shared" si="1"/>
        <v>0.11497021653659741</v>
      </c>
      <c r="E56">
        <f t="shared" si="1"/>
        <v>6.0019715996230141E-2</v>
      </c>
    </row>
    <row r="57" spans="1:5" x14ac:dyDescent="0.25">
      <c r="A57" s="42">
        <f t="shared" si="0"/>
        <v>-1.0000000000000044</v>
      </c>
      <c r="B57">
        <f t="shared" si="1"/>
        <v>0.24203208227207251</v>
      </c>
      <c r="C57">
        <f t="shared" si="1"/>
        <v>2.6772832355802738E-4</v>
      </c>
      <c r="D57">
        <f t="shared" si="1"/>
        <v>0.12101604113603652</v>
      </c>
      <c r="E57">
        <f t="shared" si="1"/>
        <v>6.4775219052187721E-2</v>
      </c>
    </row>
    <row r="58" spans="1:5" x14ac:dyDescent="0.25">
      <c r="A58" s="42">
        <f t="shared" si="0"/>
        <v>-0.90000000000000446</v>
      </c>
      <c r="B58">
        <f t="shared" si="1"/>
        <v>0.26615272249509409</v>
      </c>
      <c r="C58">
        <f t="shared" si="1"/>
        <v>5.8404191253016665E-4</v>
      </c>
      <c r="D58">
        <f t="shared" si="1"/>
        <v>0.12706173976110741</v>
      </c>
      <c r="E58">
        <f t="shared" si="1"/>
        <v>6.97329612832467E-2</v>
      </c>
    </row>
    <row r="59" spans="1:5" x14ac:dyDescent="0.25">
      <c r="A59" s="42">
        <f t="shared" si="0"/>
        <v>-0.80000000000000449</v>
      </c>
      <c r="B59">
        <f t="shared" si="1"/>
        <v>0.2897650113286519</v>
      </c>
      <c r="C59">
        <f t="shared" si="1"/>
        <v>1.2241141864251888E-3</v>
      </c>
      <c r="D59">
        <f t="shared" si="1"/>
        <v>0.13307636124754732</v>
      </c>
      <c r="E59">
        <f t="shared" si="1"/>
        <v>7.4882716397108084E-2</v>
      </c>
    </row>
    <row r="60" spans="1:5" x14ac:dyDescent="0.25">
      <c r="A60" s="42">
        <f t="shared" si="0"/>
        <v>-0.70000000000000451</v>
      </c>
      <c r="B60">
        <f t="shared" si="1"/>
        <v>0.3123331131920597</v>
      </c>
      <c r="C60">
        <f t="shared" si="1"/>
        <v>2.4650632571667462E-3</v>
      </c>
      <c r="D60">
        <f t="shared" si="1"/>
        <v>0.13902768808944754</v>
      </c>
      <c r="E60">
        <f t="shared" si="1"/>
        <v>8.0211998280844132E-2</v>
      </c>
    </row>
    <row r="61" spans="1:5" x14ac:dyDescent="0.25">
      <c r="A61" s="42">
        <f t="shared" si="0"/>
        <v>-0.60000000000000453</v>
      </c>
      <c r="B61">
        <f t="shared" si="1"/>
        <v>0.33330910035691619</v>
      </c>
      <c r="C61">
        <f t="shared" si="1"/>
        <v>4.7693854937823328E-3</v>
      </c>
      <c r="D61">
        <f t="shared" si="1"/>
        <v>0.1448825056643262</v>
      </c>
      <c r="E61">
        <f t="shared" si="1"/>
        <v>8.5706023428637534E-2</v>
      </c>
    </row>
    <row r="62" spans="1:5" x14ac:dyDescent="0.25">
      <c r="A62" s="42">
        <f t="shared" si="0"/>
        <v>-0.50000000000000455</v>
      </c>
      <c r="B62">
        <f t="shared" si="1"/>
        <v>0.35215460176803237</v>
      </c>
      <c r="C62">
        <f t="shared" si="1"/>
        <v>8.8659444367671664E-3</v>
      </c>
      <c r="D62">
        <f t="shared" si="1"/>
        <v>0.15060689655604645</v>
      </c>
      <c r="E62">
        <f t="shared" si="1"/>
        <v>9.1347700325411091E-2</v>
      </c>
    </row>
    <row r="63" spans="1:5" x14ac:dyDescent="0.25">
      <c r="A63" s="42">
        <f t="shared" si="0"/>
        <v>-0.40000000000000457</v>
      </c>
      <c r="B63">
        <f t="shared" si="1"/>
        <v>0.36836352444442155</v>
      </c>
      <c r="C63">
        <f t="shared" si="1"/>
        <v>1.583491748896099E-2</v>
      </c>
      <c r="D63">
        <f t="shared" si="1"/>
        <v>0.1561665565960301</v>
      </c>
      <c r="E63">
        <f t="shared" si="1"/>
        <v>9.7117647866669807E-2</v>
      </c>
    </row>
    <row r="64" spans="1:5" x14ac:dyDescent="0.25">
      <c r="A64" s="42">
        <f t="shared" si="0"/>
        <v>-0.3000000000000046</v>
      </c>
      <c r="B64">
        <f t="shared" si="1"/>
        <v>0.38148452591753496</v>
      </c>
      <c r="C64">
        <f t="shared" si="1"/>
        <v>2.7172827073188119E-2</v>
      </c>
      <c r="D64">
        <f t="shared" si="1"/>
        <v>0.16152712870966732</v>
      </c>
      <c r="E64">
        <f t="shared" si="1"/>
        <v>0.10299424451591732</v>
      </c>
    </row>
    <row r="65" spans="1:5" x14ac:dyDescent="0.25">
      <c r="A65" s="42">
        <f t="shared" si="0"/>
        <v>-0.20000000000000459</v>
      </c>
      <c r="B65">
        <f t="shared" si="1"/>
        <v>0.39114185266934209</v>
      </c>
      <c r="C65">
        <f t="shared" si="1"/>
        <v>4.4800417980621662E-2</v>
      </c>
      <c r="D65">
        <f t="shared" si="1"/>
        <v>0.16665455017845832</v>
      </c>
      <c r="E65">
        <f t="shared" si="1"/>
        <v>0.10895370946108193</v>
      </c>
    </row>
    <row r="66" spans="1:5" x14ac:dyDescent="0.25">
      <c r="A66" s="42">
        <f t="shared" si="0"/>
        <v>-0.10000000000000459</v>
      </c>
      <c r="B66">
        <f t="shared" si="1"/>
        <v>0.39705320476264611</v>
      </c>
      <c r="C66">
        <f t="shared" si="1"/>
        <v>7.0967176639981949E-2</v>
      </c>
      <c r="D66">
        <f t="shared" si="1"/>
        <v>0.171515408522461</v>
      </c>
      <c r="E66">
        <f t="shared" si="1"/>
        <v>0.11497021653659741</v>
      </c>
    </row>
    <row r="67" spans="1:5" x14ac:dyDescent="0.25">
      <c r="A67" s="42">
        <f t="shared" si="0"/>
        <v>-4.5796699765787707E-15</v>
      </c>
      <c r="B67">
        <f t="shared" si="1"/>
        <v>0.39904344223381111</v>
      </c>
      <c r="C67">
        <f t="shared" si="1"/>
        <v>0.10800931455684944</v>
      </c>
      <c r="D67">
        <f t="shared" si="1"/>
        <v>0.17607730088401641</v>
      </c>
      <c r="E67">
        <f t="shared" si="1"/>
        <v>0.12101604113603652</v>
      </c>
    </row>
    <row r="68" spans="1:5" x14ac:dyDescent="0.25">
      <c r="A68" s="42">
        <f t="shared" si="0"/>
        <v>9.9999999999995426E-2</v>
      </c>
      <c r="B68">
        <f t="shared" si="1"/>
        <v>0.39705320476264649</v>
      </c>
      <c r="C68">
        <f t="shared" si="1"/>
        <v>0.15794035619183491</v>
      </c>
      <c r="D68">
        <f t="shared" si="1"/>
        <v>0.18030919156278929</v>
      </c>
      <c r="E68">
        <f t="shared" si="1"/>
        <v>0.12706173976110741</v>
      </c>
    </row>
    <row r="69" spans="1:5" x14ac:dyDescent="0.25">
      <c r="A69" s="42">
        <f t="shared" si="0"/>
        <v>0.19999999999999543</v>
      </c>
      <c r="B69">
        <f t="shared" si="1"/>
        <v>0.39114185266934282</v>
      </c>
      <c r="C69">
        <f t="shared" si="1"/>
        <v>0.22189792288447463</v>
      </c>
      <c r="D69">
        <f t="shared" si="1"/>
        <v>0.18418176222221097</v>
      </c>
      <c r="E69">
        <f t="shared" si="1"/>
        <v>0.13307636124754732</v>
      </c>
    </row>
    <row r="70" spans="1:5" x14ac:dyDescent="0.25">
      <c r="A70" s="42">
        <f t="shared" si="0"/>
        <v>0.29999999999999544</v>
      </c>
      <c r="B70">
        <f t="shared" si="1"/>
        <v>0.38148452591753595</v>
      </c>
      <c r="C70">
        <f t="shared" si="1"/>
        <v>0.29953086558842934</v>
      </c>
      <c r="D70">
        <f t="shared" si="1"/>
        <v>0.18766774926447038</v>
      </c>
      <c r="E70">
        <f t="shared" si="1"/>
        <v>0.13902768808944754</v>
      </c>
    </row>
    <row r="71" spans="1:5" x14ac:dyDescent="0.25">
      <c r="A71" s="42">
        <f t="shared" si="0"/>
        <v>0.39999999999999547</v>
      </c>
      <c r="B71">
        <f t="shared" si="1"/>
        <v>0.36836352444442289</v>
      </c>
      <c r="C71">
        <f t="shared" si="1"/>
        <v>0.38847059146667612</v>
      </c>
      <c r="D71">
        <f t="shared" si="1"/>
        <v>0.19074226295876762</v>
      </c>
      <c r="E71">
        <f>EXP(-(($A71-E$1)^2)/(2*E$2^2))/(E$2*SQRT(2*3.14))</f>
        <v>0.1448825056643262</v>
      </c>
    </row>
    <row r="72" spans="1:5" x14ac:dyDescent="0.25">
      <c r="A72" s="42">
        <f t="shared" ref="A72:A127" si="2">A71+0.1</f>
        <v>0.49999999999999545</v>
      </c>
      <c r="B72">
        <f t="shared" ref="B72:E127" si="3">EXP(-(($A72-B$1)^2)/(2*B$2^2))/(B$2*SQRT(2*3.14))</f>
        <v>0.35215460176803404</v>
      </c>
      <c r="C72">
        <f t="shared" si="3"/>
        <v>0.48406416454414269</v>
      </c>
      <c r="D72">
        <f t="shared" si="3"/>
        <v>0.19338308310642535</v>
      </c>
      <c r="E72">
        <f t="shared" si="3"/>
        <v>0.15060689655604645</v>
      </c>
    </row>
    <row r="73" spans="1:5" x14ac:dyDescent="0.25">
      <c r="A73" s="42">
        <f t="shared" si="2"/>
        <v>0.59999999999999543</v>
      </c>
      <c r="B73">
        <f t="shared" si="3"/>
        <v>0.33330910035691802</v>
      </c>
      <c r="C73">
        <f t="shared" si="3"/>
        <v>0.57953002265730158</v>
      </c>
      <c r="D73">
        <f t="shared" si="3"/>
        <v>0.19557092633467113</v>
      </c>
      <c r="E73">
        <f t="shared" si="3"/>
        <v>0.1561665565960301</v>
      </c>
    </row>
    <row r="74" spans="1:5" x14ac:dyDescent="0.25">
      <c r="A74" s="42">
        <f t="shared" si="2"/>
        <v>0.6999999999999954</v>
      </c>
      <c r="B74">
        <f t="shared" si="3"/>
        <v>0.3123331131920617</v>
      </c>
      <c r="C74">
        <f t="shared" si="3"/>
        <v>0.6666182007138306</v>
      </c>
      <c r="D74">
        <f t="shared" si="3"/>
        <v>0.19728968052368068</v>
      </c>
      <c r="E74">
        <f t="shared" si="3"/>
        <v>0.16152712870966732</v>
      </c>
    </row>
    <row r="75" spans="1:5" x14ac:dyDescent="0.25">
      <c r="A75" s="42">
        <f t="shared" si="2"/>
        <v>0.79999999999999538</v>
      </c>
      <c r="B75">
        <f t="shared" si="3"/>
        <v>0.28976501132865401</v>
      </c>
      <c r="C75">
        <f t="shared" si="3"/>
        <v>0.73672704888884177</v>
      </c>
      <c r="D75">
        <f t="shared" si="3"/>
        <v>0.19852660238132311</v>
      </c>
      <c r="E75">
        <f t="shared" si="3"/>
        <v>0.16665455017845832</v>
      </c>
    </row>
    <row r="76" spans="1:5" x14ac:dyDescent="0.25">
      <c r="A76" s="42">
        <f t="shared" si="2"/>
        <v>0.89999999999999536</v>
      </c>
      <c r="B76">
        <f t="shared" si="3"/>
        <v>0.26615272249509625</v>
      </c>
      <c r="C76">
        <f t="shared" si="3"/>
        <v>0.78228370533868352</v>
      </c>
      <c r="D76">
        <f t="shared" si="3"/>
        <v>0.19927247477692583</v>
      </c>
      <c r="E76">
        <f t="shared" si="3"/>
        <v>0.171515408522461</v>
      </c>
    </row>
    <row r="77" spans="1:5" x14ac:dyDescent="0.25">
      <c r="A77" s="42">
        <f t="shared" si="2"/>
        <v>0.99999999999999534</v>
      </c>
      <c r="B77">
        <f t="shared" si="3"/>
        <v>0.24203208227207468</v>
      </c>
      <c r="C77">
        <f t="shared" si="3"/>
        <v>0.79808688446762222</v>
      </c>
      <c r="D77">
        <f t="shared" si="3"/>
        <v>0.19952172111690555</v>
      </c>
      <c r="E77">
        <f t="shared" si="3"/>
        <v>0.17607730088401641</v>
      </c>
    </row>
    <row r="78" spans="1:5" x14ac:dyDescent="0.25">
      <c r="A78" s="42">
        <f t="shared" si="2"/>
        <v>1.0999999999999954</v>
      </c>
      <c r="B78">
        <f t="shared" si="3"/>
        <v>0.2179074189221655</v>
      </c>
      <c r="C78">
        <f t="shared" si="3"/>
        <v>0.78228370533868641</v>
      </c>
      <c r="D78">
        <f t="shared" si="3"/>
        <v>0.19927247477692589</v>
      </c>
      <c r="E78">
        <f t="shared" si="3"/>
        <v>0.18030919156278929</v>
      </c>
    </row>
    <row r="79" spans="1:5" x14ac:dyDescent="0.25">
      <c r="A79" s="42">
        <f t="shared" si="2"/>
        <v>1.1999999999999955</v>
      </c>
      <c r="B79">
        <f t="shared" si="3"/>
        <v>0.19423529573334122</v>
      </c>
      <c r="C79">
        <f t="shared" si="3"/>
        <v>0.7367270488888471</v>
      </c>
      <c r="D79">
        <f t="shared" si="3"/>
        <v>0.19852660238132319</v>
      </c>
      <c r="E79">
        <f t="shared" si="3"/>
        <v>0.18418176222221097</v>
      </c>
    </row>
    <row r="80" spans="1:5" x14ac:dyDescent="0.25">
      <c r="A80" s="42">
        <f t="shared" si="2"/>
        <v>1.2999999999999956</v>
      </c>
      <c r="B80">
        <f t="shared" si="3"/>
        <v>0.17141204685727657</v>
      </c>
      <c r="C80">
        <f t="shared" si="3"/>
        <v>0.66661820071383771</v>
      </c>
      <c r="D80">
        <f t="shared" si="3"/>
        <v>0.19728968052368079</v>
      </c>
      <c r="E80">
        <f t="shared" si="3"/>
        <v>0.18766774926447038</v>
      </c>
    </row>
    <row r="81" spans="1:5" x14ac:dyDescent="0.25">
      <c r="A81" s="42">
        <f t="shared" si="2"/>
        <v>1.3999999999999957</v>
      </c>
      <c r="B81">
        <f t="shared" si="3"/>
        <v>0.14976543279421753</v>
      </c>
      <c r="C81">
        <f t="shared" si="3"/>
        <v>0.57953002265730991</v>
      </c>
      <c r="D81">
        <f t="shared" si="3"/>
        <v>0.19557092633467132</v>
      </c>
      <c r="E81">
        <f t="shared" si="3"/>
        <v>0.19074226295876762</v>
      </c>
    </row>
    <row r="82" spans="1:5" x14ac:dyDescent="0.25">
      <c r="A82" s="42">
        <f t="shared" si="2"/>
        <v>1.4999999999999958</v>
      </c>
      <c r="B82">
        <f t="shared" si="3"/>
        <v>0.12955043810437666</v>
      </c>
      <c r="C82">
        <f t="shared" si="3"/>
        <v>0.48406416454415119</v>
      </c>
      <c r="D82">
        <f t="shared" si="3"/>
        <v>0.19338308310642555</v>
      </c>
      <c r="E82">
        <f t="shared" si="3"/>
        <v>0.19338308310642535</v>
      </c>
    </row>
    <row r="83" spans="1:5" x14ac:dyDescent="0.25">
      <c r="A83" s="42">
        <f t="shared" si="2"/>
        <v>1.5999999999999959</v>
      </c>
      <c r="B83">
        <f t="shared" si="3"/>
        <v>0.11094896144223969</v>
      </c>
      <c r="C83">
        <f t="shared" si="3"/>
        <v>0.38847059146668417</v>
      </c>
      <c r="D83">
        <f t="shared" si="3"/>
        <v>0.19074226295876787</v>
      </c>
      <c r="E83">
        <f t="shared" si="3"/>
        <v>0.19557092633467116</v>
      </c>
    </row>
    <row r="84" spans="1:5" x14ac:dyDescent="0.25">
      <c r="A84" s="42">
        <f t="shared" si="2"/>
        <v>1.699999999999996</v>
      </c>
      <c r="B84">
        <f t="shared" si="3"/>
        <v>9.4072925881967973E-2</v>
      </c>
      <c r="C84">
        <f t="shared" si="3"/>
        <v>0.29953086558843661</v>
      </c>
      <c r="D84">
        <f t="shared" si="3"/>
        <v>0.18766774926447069</v>
      </c>
      <c r="E84">
        <f t="shared" si="3"/>
        <v>0.19728968052368068</v>
      </c>
    </row>
    <row r="85" spans="1:5" x14ac:dyDescent="0.25">
      <c r="A85" s="42">
        <f t="shared" si="2"/>
        <v>1.799999999999996</v>
      </c>
      <c r="B85">
        <f t="shared" si="3"/>
        <v>7.897017809591933E-2</v>
      </c>
      <c r="C85">
        <f t="shared" si="3"/>
        <v>0.22189792288448071</v>
      </c>
      <c r="D85">
        <f t="shared" si="3"/>
        <v>0.18418176222221128</v>
      </c>
      <c r="E85">
        <f t="shared" si="3"/>
        <v>0.19852660238132311</v>
      </c>
    </row>
    <row r="86" spans="1:5" x14ac:dyDescent="0.25">
      <c r="A86" s="42">
        <f t="shared" si="2"/>
        <v>1.8999999999999961</v>
      </c>
      <c r="B86">
        <f t="shared" si="3"/>
        <v>6.5632453312083866E-2</v>
      </c>
      <c r="C86">
        <f t="shared" si="3"/>
        <v>0.15794035619183971</v>
      </c>
      <c r="D86">
        <f t="shared" si="3"/>
        <v>0.18030919156278963</v>
      </c>
      <c r="E86">
        <f t="shared" si="3"/>
        <v>0.19927247477692583</v>
      </c>
    </row>
    <row r="87" spans="1:5" x14ac:dyDescent="0.25">
      <c r="A87" s="42">
        <f t="shared" si="2"/>
        <v>1.9999999999999962</v>
      </c>
      <c r="B87">
        <f t="shared" si="3"/>
        <v>5.400465727842612E-2</v>
      </c>
      <c r="C87">
        <f t="shared" si="3"/>
        <v>0.10800931455685306</v>
      </c>
      <c r="D87">
        <f t="shared" si="3"/>
        <v>0.17607730088401677</v>
      </c>
      <c r="E87">
        <f t="shared" si="3"/>
        <v>0.19952172111690555</v>
      </c>
    </row>
    <row r="88" spans="1:5" x14ac:dyDescent="0.25">
      <c r="A88" s="42">
        <f t="shared" si="2"/>
        <v>2.0999999999999961</v>
      </c>
      <c r="B88">
        <f t="shared" si="3"/>
        <v>4.3994749125588047E-2</v>
      </c>
      <c r="C88">
        <f t="shared" si="3"/>
        <v>7.09671766399846E-2</v>
      </c>
      <c r="D88">
        <f t="shared" si="3"/>
        <v>0.17151540852246142</v>
      </c>
      <c r="E88">
        <f t="shared" si="3"/>
        <v>0.19927247477692586</v>
      </c>
    </row>
    <row r="89" spans="1:5" x14ac:dyDescent="0.25">
      <c r="A89" s="42">
        <f t="shared" si="2"/>
        <v>2.1999999999999962</v>
      </c>
      <c r="B89">
        <f t="shared" si="3"/>
        <v>3.5483588319991981E-2</v>
      </c>
      <c r="C89">
        <f t="shared" si="3"/>
        <v>4.4800417980623473E-2</v>
      </c>
      <c r="D89">
        <f t="shared" si="3"/>
        <v>0.16665455017845876</v>
      </c>
      <c r="E89">
        <f t="shared" si="3"/>
        <v>0.19852660238132319</v>
      </c>
    </row>
    <row r="90" spans="1:5" x14ac:dyDescent="0.25">
      <c r="A90" s="42">
        <f t="shared" si="2"/>
        <v>2.2999999999999963</v>
      </c>
      <c r="B90">
        <f t="shared" si="3"/>
        <v>2.8334220773294391E-2</v>
      </c>
      <c r="C90">
        <f t="shared" si="3"/>
        <v>2.7172827073189302E-2</v>
      </c>
      <c r="D90">
        <f t="shared" si="3"/>
        <v>0.16152712870966776</v>
      </c>
      <c r="E90">
        <f t="shared" si="3"/>
        <v>0.19728968052368079</v>
      </c>
    </row>
    <row r="91" spans="1:5" x14ac:dyDescent="0.25">
      <c r="A91" s="42">
        <f t="shared" si="2"/>
        <v>2.3999999999999964</v>
      </c>
      <c r="B91">
        <f t="shared" si="3"/>
        <v>2.2400208990311518E-2</v>
      </c>
      <c r="C91">
        <f t="shared" si="3"/>
        <v>1.5834917488961719E-2</v>
      </c>
      <c r="D91">
        <f t="shared" si="3"/>
        <v>0.15616655659603054</v>
      </c>
      <c r="E91">
        <f t="shared" si="3"/>
        <v>0.19557092633467132</v>
      </c>
    </row>
    <row r="92" spans="1:5" x14ac:dyDescent="0.25">
      <c r="A92" s="42">
        <f t="shared" si="2"/>
        <v>2.4999999999999964</v>
      </c>
      <c r="B92">
        <f t="shared" si="3"/>
        <v>1.7532745234283127E-2</v>
      </c>
      <c r="C92">
        <f t="shared" si="3"/>
        <v>8.8659444367675914E-3</v>
      </c>
      <c r="D92">
        <f t="shared" si="3"/>
        <v>0.15060689655604689</v>
      </c>
      <c r="E92">
        <f t="shared" si="3"/>
        <v>0.19338308310642552</v>
      </c>
    </row>
    <row r="93" spans="1:5" x14ac:dyDescent="0.25">
      <c r="A93" s="42">
        <f t="shared" si="2"/>
        <v>2.5999999999999965</v>
      </c>
      <c r="B93">
        <f t="shared" si="3"/>
        <v>1.3586413536594514E-2</v>
      </c>
      <c r="C93">
        <f t="shared" si="3"/>
        <v>4.7693854937825792E-3</v>
      </c>
      <c r="D93">
        <f t="shared" si="3"/>
        <v>0.14488250566432667</v>
      </c>
      <c r="E93">
        <f t="shared" si="3"/>
        <v>0.19074226295876784</v>
      </c>
    </row>
    <row r="94" spans="1:5" x14ac:dyDescent="0.25">
      <c r="A94" s="42">
        <f t="shared" si="2"/>
        <v>2.6999999999999966</v>
      </c>
      <c r="B94">
        <f t="shared" si="3"/>
        <v>1.042357730410782E-2</v>
      </c>
      <c r="C94">
        <f t="shared" si="3"/>
        <v>2.4650632571668798E-3</v>
      </c>
      <c r="D94">
        <f t="shared" si="3"/>
        <v>0.13902768808944804</v>
      </c>
      <c r="E94">
        <f t="shared" si="3"/>
        <v>0.18766774926447066</v>
      </c>
    </row>
    <row r="95" spans="1:5" x14ac:dyDescent="0.25">
      <c r="A95" s="42">
        <f t="shared" si="2"/>
        <v>2.7999999999999967</v>
      </c>
      <c r="B95">
        <f t="shared" si="3"/>
        <v>7.9174587444807709E-3</v>
      </c>
      <c r="C95">
        <f t="shared" si="3"/>
        <v>1.2241141864252573E-3</v>
      </c>
      <c r="D95">
        <f t="shared" si="3"/>
        <v>0.13307636124754779</v>
      </c>
      <c r="E95">
        <f t="shared" si="3"/>
        <v>0.18418176222221125</v>
      </c>
    </row>
    <row r="96" spans="1:5" x14ac:dyDescent="0.25">
      <c r="A96" s="42">
        <f t="shared" si="2"/>
        <v>2.8999999999999968</v>
      </c>
      <c r="B96">
        <f t="shared" si="3"/>
        <v>5.9540418338351851E-3</v>
      </c>
      <c r="C96">
        <f t="shared" si="3"/>
        <v>5.8404191253020037E-4</v>
      </c>
      <c r="D96">
        <f t="shared" si="3"/>
        <v>0.12706173976110785</v>
      </c>
      <c r="E96">
        <f t="shared" si="3"/>
        <v>0.1803091915627896</v>
      </c>
    </row>
    <row r="97" spans="1:5" x14ac:dyDescent="0.25">
      <c r="A97" s="42">
        <f t="shared" si="2"/>
        <v>2.9999999999999969</v>
      </c>
      <c r="B97">
        <f t="shared" si="3"/>
        <v>4.4329722183837402E-3</v>
      </c>
      <c r="C97">
        <f t="shared" si="3"/>
        <v>2.6772832355804359E-4</v>
      </c>
      <c r="D97">
        <f t="shared" si="3"/>
        <v>0.12101604113603696</v>
      </c>
      <c r="E97">
        <f t="shared" si="3"/>
        <v>0.17607730088401674</v>
      </c>
    </row>
    <row r="98" spans="1:5" x14ac:dyDescent="0.25">
      <c r="A98" s="42">
        <f t="shared" si="2"/>
        <v>3.099999999999997</v>
      </c>
      <c r="B98">
        <f t="shared" si="3"/>
        <v>3.2676474401993638E-3</v>
      </c>
      <c r="C98">
        <f t="shared" si="3"/>
        <v>1.179160285027866E-4</v>
      </c>
      <c r="D98">
        <f t="shared" si="3"/>
        <v>0.11497021653659788</v>
      </c>
      <c r="E98">
        <f t="shared" si="3"/>
        <v>0.17151540852246136</v>
      </c>
    </row>
    <row r="99" spans="1:5" x14ac:dyDescent="0.25">
      <c r="A99" s="42">
        <f t="shared" si="2"/>
        <v>3.1999999999999971</v>
      </c>
      <c r="B99">
        <f t="shared" si="3"/>
        <v>2.3846927468912597E-3</v>
      </c>
      <c r="C99">
        <f t="shared" si="3"/>
        <v>4.9897592159878227E-5</v>
      </c>
      <c r="D99">
        <f t="shared" si="3"/>
        <v>0.10895370946108238</v>
      </c>
      <c r="E99">
        <f t="shared" si="3"/>
        <v>0.1666545501784587</v>
      </c>
    </row>
    <row r="100" spans="1:5" x14ac:dyDescent="0.25">
      <c r="A100" s="42">
        <f t="shared" si="2"/>
        <v>3.2999999999999972</v>
      </c>
      <c r="B100">
        <f t="shared" si="3"/>
        <v>1.7230057396607856E-3</v>
      </c>
      <c r="C100">
        <f t="shared" si="3"/>
        <v>2.0286847066316905E-5</v>
      </c>
      <c r="D100">
        <f t="shared" si="3"/>
        <v>0.10299424451591777</v>
      </c>
      <c r="E100">
        <f t="shared" si="3"/>
        <v>0.16152712870966773</v>
      </c>
    </row>
    <row r="101" spans="1:5" x14ac:dyDescent="0.25">
      <c r="A101" s="42">
        <f t="shared" si="2"/>
        <v>3.3999999999999972</v>
      </c>
      <c r="B101">
        <f t="shared" si="3"/>
        <v>1.2325316285834234E-3</v>
      </c>
      <c r="C101">
        <f t="shared" si="3"/>
        <v>7.9246071557647404E-6</v>
      </c>
      <c r="D101">
        <f t="shared" si="3"/>
        <v>9.7117647866670251E-2</v>
      </c>
      <c r="E101">
        <f t="shared" si="3"/>
        <v>0.15616655659603051</v>
      </c>
    </row>
    <row r="102" spans="1:5" x14ac:dyDescent="0.25">
      <c r="A102" s="42">
        <f t="shared" si="2"/>
        <v>3.4999999999999973</v>
      </c>
      <c r="B102">
        <f t="shared" si="3"/>
        <v>8.7290398565559476E-4</v>
      </c>
      <c r="C102">
        <f t="shared" si="3"/>
        <v>2.9741930195957276E-6</v>
      </c>
      <c r="D102">
        <f t="shared" si="3"/>
        <v>9.1347700325411507E-2</v>
      </c>
      <c r="E102">
        <f t="shared" si="3"/>
        <v>0.15060689655604687</v>
      </c>
    </row>
    <row r="103" spans="1:5" x14ac:dyDescent="0.25">
      <c r="A103" s="42">
        <f t="shared" si="2"/>
        <v>3.5999999999999974</v>
      </c>
      <c r="B103">
        <f t="shared" si="3"/>
        <v>6.1205709321261986E-4</v>
      </c>
      <c r="C103">
        <f t="shared" si="3"/>
        <v>1.0724789539643088E-6</v>
      </c>
      <c r="D103">
        <f t="shared" si="3"/>
        <v>8.5706023428637937E-2</v>
      </c>
      <c r="E103">
        <f t="shared" si="3"/>
        <v>0.14488250566432662</v>
      </c>
    </row>
    <row r="104" spans="1:5" x14ac:dyDescent="0.25">
      <c r="A104" s="42">
        <f t="shared" si="2"/>
        <v>3.6999999999999975</v>
      </c>
      <c r="B104">
        <f t="shared" si="3"/>
        <v>4.2488798425431156E-4</v>
      </c>
      <c r="C104">
        <f t="shared" si="3"/>
        <v>3.715665650576368E-7</v>
      </c>
      <c r="D104">
        <f t="shared" si="3"/>
        <v>8.0211998280844507E-2</v>
      </c>
      <c r="E104">
        <f t="shared" si="3"/>
        <v>0.13902768808944796</v>
      </c>
    </row>
    <row r="105" spans="1:5" x14ac:dyDescent="0.25">
      <c r="A105" s="42">
        <f t="shared" si="2"/>
        <v>3.7999999999999976</v>
      </c>
      <c r="B105">
        <f t="shared" si="3"/>
        <v>2.9202095626509574E-4</v>
      </c>
      <c r="C105">
        <f t="shared" si="3"/>
        <v>1.236837651767086E-7</v>
      </c>
      <c r="D105">
        <f t="shared" si="3"/>
        <v>7.4882716397108431E-2</v>
      </c>
      <c r="E105">
        <f t="shared" si="3"/>
        <v>0.13307636124754774</v>
      </c>
    </row>
    <row r="106" spans="1:5" x14ac:dyDescent="0.25">
      <c r="A106" s="42">
        <f t="shared" si="2"/>
        <v>3.8999999999999977</v>
      </c>
      <c r="B106">
        <f t="shared" si="3"/>
        <v>1.987058454756565E-4</v>
      </c>
      <c r="C106">
        <f t="shared" si="3"/>
        <v>3.9556420793372419E-8</v>
      </c>
      <c r="D106">
        <f t="shared" si="3"/>
        <v>6.9732961283247033E-2</v>
      </c>
      <c r="E106">
        <f t="shared" si="3"/>
        <v>0.12706173976110782</v>
      </c>
    </row>
    <row r="107" spans="1:5" x14ac:dyDescent="0.25">
      <c r="A107" s="42">
        <f t="shared" si="2"/>
        <v>3.9999999999999978</v>
      </c>
      <c r="B107">
        <f t="shared" si="3"/>
        <v>1.3386416177901966E-4</v>
      </c>
      <c r="C107">
        <f t="shared" si="3"/>
        <v>1.2154847084963041E-8</v>
      </c>
      <c r="D107">
        <f t="shared" si="3"/>
        <v>6.4775219052188054E-2</v>
      </c>
      <c r="E107">
        <f t="shared" si="3"/>
        <v>0.12101604113603692</v>
      </c>
    </row>
    <row r="108" spans="1:5" x14ac:dyDescent="0.25">
      <c r="A108" s="42">
        <f t="shared" si="2"/>
        <v>4.0999999999999979</v>
      </c>
      <c r="B108">
        <f t="shared" si="3"/>
        <v>8.9284291711613464E-5</v>
      </c>
      <c r="C108">
        <f t="shared" si="3"/>
        <v>3.5884775338294971E-9</v>
      </c>
      <c r="D108">
        <f t="shared" si="3"/>
        <v>6.0019715996230454E-2</v>
      </c>
      <c r="E108">
        <f t="shared" si="3"/>
        <v>0.11497021653659781</v>
      </c>
    </row>
    <row r="109" spans="1:5" x14ac:dyDescent="0.25">
      <c r="A109" s="42">
        <f t="shared" si="2"/>
        <v>4.1999999999999975</v>
      </c>
      <c r="B109">
        <f t="shared" si="3"/>
        <v>5.8958014251392452E-5</v>
      </c>
      <c r="C109">
        <f t="shared" si="3"/>
        <v>1.0178861014747084E-9</v>
      </c>
      <c r="D109">
        <f t="shared" si="3"/>
        <v>5.5474480721119587E-2</v>
      </c>
      <c r="E109">
        <f t="shared" si="3"/>
        <v>0.10895370946108235</v>
      </c>
    </row>
    <row r="110" spans="1:5" x14ac:dyDescent="0.25">
      <c r="A110" s="42">
        <f t="shared" si="2"/>
        <v>4.2999999999999972</v>
      </c>
      <c r="B110">
        <f t="shared" si="3"/>
        <v>3.8544968308815362E-5</v>
      </c>
      <c r="C110">
        <f t="shared" si="3"/>
        <v>2.7740632433930494E-10</v>
      </c>
      <c r="D110">
        <f t="shared" si="3"/>
        <v>5.1145428201703778E-2</v>
      </c>
      <c r="E110">
        <f t="shared" si="3"/>
        <v>0.10299424451591777</v>
      </c>
    </row>
    <row r="111" spans="1:5" x14ac:dyDescent="0.25">
      <c r="A111" s="42">
        <f t="shared" si="2"/>
        <v>4.3999999999999968</v>
      </c>
      <c r="B111">
        <f t="shared" si="3"/>
        <v>2.4948796079938849E-5</v>
      </c>
      <c r="C111">
        <f t="shared" si="3"/>
        <v>7.2637644465036589E-11</v>
      </c>
      <c r="D111">
        <f t="shared" si="3"/>
        <v>4.7036462940983799E-2</v>
      </c>
      <c r="E111">
        <f t="shared" si="3"/>
        <v>9.7117647866670279E-2</v>
      </c>
    </row>
    <row r="112" spans="1:5" x14ac:dyDescent="0.25">
      <c r="A112" s="42">
        <f t="shared" si="2"/>
        <v>4.4999999999999964</v>
      </c>
      <c r="B112">
        <f t="shared" si="3"/>
        <v>1.5987794185804785E-5</v>
      </c>
      <c r="C112">
        <f t="shared" si="3"/>
        <v>1.8274073492183018E-11</v>
      </c>
      <c r="D112">
        <f t="shared" si="3"/>
        <v>4.3149598303533959E-2</v>
      </c>
      <c r="E112">
        <f t="shared" si="3"/>
        <v>9.1347700325411549E-2</v>
      </c>
    </row>
    <row r="113" spans="1:5" x14ac:dyDescent="0.25">
      <c r="A113" s="42">
        <f t="shared" si="2"/>
        <v>4.5999999999999961</v>
      </c>
      <c r="B113">
        <f t="shared" si="3"/>
        <v>1.0143423533158361E-5</v>
      </c>
      <c r="C113">
        <f t="shared" si="3"/>
        <v>4.4170997088672361E-12</v>
      </c>
      <c r="D113">
        <f t="shared" si="3"/>
        <v>3.9485089047959512E-2</v>
      </c>
      <c r="E113">
        <f t="shared" si="3"/>
        <v>8.570602342863802E-2</v>
      </c>
    </row>
    <row r="114" spans="1:5" x14ac:dyDescent="0.25">
      <c r="A114" s="42">
        <f t="shared" si="2"/>
        <v>4.6999999999999957</v>
      </c>
      <c r="B114">
        <f t="shared" si="3"/>
        <v>6.3714404079835182E-6</v>
      </c>
      <c r="C114">
        <f t="shared" si="3"/>
        <v>1.0258107814972356E-12</v>
      </c>
      <c r="D114">
        <f t="shared" si="3"/>
        <v>3.6041574097304303E-2</v>
      </c>
      <c r="E114">
        <f t="shared" si="3"/>
        <v>8.0211998280844604E-2</v>
      </c>
    </row>
    <row r="115" spans="1:5" x14ac:dyDescent="0.25">
      <c r="A115" s="42">
        <f t="shared" si="2"/>
        <v>4.7999999999999954</v>
      </c>
      <c r="B115">
        <f t="shared" si="3"/>
        <v>3.962303577882349E-6</v>
      </c>
      <c r="C115">
        <f t="shared" si="3"/>
        <v>2.2888932395746577E-13</v>
      </c>
      <c r="D115">
        <f t="shared" si="3"/>
        <v>3.2816226656041829E-2</v>
      </c>
      <c r="E115">
        <f t="shared" si="3"/>
        <v>7.4882716397108542E-2</v>
      </c>
    </row>
    <row r="116" spans="1:5" x14ac:dyDescent="0.25">
      <c r="A116" s="42">
        <f t="shared" si="2"/>
        <v>4.899999999999995</v>
      </c>
      <c r="B116">
        <f t="shared" si="3"/>
        <v>2.439579205631265E-6</v>
      </c>
      <c r="C116">
        <f t="shared" si="3"/>
        <v>4.9069545374878276E-14</v>
      </c>
      <c r="D116">
        <f t="shared" si="3"/>
        <v>2.9804908901462316E-2</v>
      </c>
      <c r="E116">
        <f t="shared" si="3"/>
        <v>6.9732961283247158E-2</v>
      </c>
    </row>
    <row r="117" spans="1:5" x14ac:dyDescent="0.25">
      <c r="A117" s="42">
        <f t="shared" si="2"/>
        <v>4.9999999999999947</v>
      </c>
      <c r="B117">
        <f t="shared" si="3"/>
        <v>1.4870965097978638E-6</v>
      </c>
      <c r="C117">
        <f t="shared" si="3"/>
        <v>1.0107104427459626E-14</v>
      </c>
      <c r="D117">
        <f t="shared" si="3"/>
        <v>2.7002328639213004E-2</v>
      </c>
      <c r="E117">
        <f t="shared" si="3"/>
        <v>6.4775219052188193E-2</v>
      </c>
    </row>
    <row r="118" spans="1:5" x14ac:dyDescent="0.25">
      <c r="A118" s="42">
        <f t="shared" si="2"/>
        <v>5.0999999999999943</v>
      </c>
      <c r="B118">
        <f t="shared" si="3"/>
        <v>8.9747103486110571E-7</v>
      </c>
      <c r="C118">
        <f t="shared" si="3"/>
        <v>2.0001828176965214E-15</v>
      </c>
      <c r="D118">
        <f t="shared" si="3"/>
        <v>2.4402195510314913E-2</v>
      </c>
      <c r="E118">
        <f t="shared" si="3"/>
        <v>6.001971599623062E-2</v>
      </c>
    </row>
    <row r="119" spans="1:5" x14ac:dyDescent="0.25">
      <c r="A119" s="42">
        <f t="shared" si="2"/>
        <v>5.199999999999994</v>
      </c>
      <c r="B119">
        <f t="shared" si="3"/>
        <v>5.362394769821564E-7</v>
      </c>
      <c r="C119">
        <f t="shared" si="3"/>
        <v>3.8031272097340344E-16</v>
      </c>
      <c r="D119">
        <f t="shared" si="3"/>
        <v>2.1997374562793975E-2</v>
      </c>
      <c r="E119">
        <f t="shared" si="3"/>
        <v>5.547448072111974E-2</v>
      </c>
    </row>
    <row r="120" spans="1:5" x14ac:dyDescent="0.25">
      <c r="A120" s="42">
        <f t="shared" si="2"/>
        <v>5.2999999999999936</v>
      </c>
      <c r="B120">
        <f t="shared" si="3"/>
        <v>3.1721533919405086E-7</v>
      </c>
      <c r="C120">
        <f t="shared" si="3"/>
        <v>6.9476868109506507E-17</v>
      </c>
      <c r="D120">
        <f t="shared" si="3"/>
        <v>1.9780035247745718E-2</v>
      </c>
      <c r="E120">
        <f t="shared" si="3"/>
        <v>5.1145428201703924E-2</v>
      </c>
    </row>
    <row r="121" spans="1:5" x14ac:dyDescent="0.25">
      <c r="A121" s="42">
        <f t="shared" si="2"/>
        <v>5.3999999999999932</v>
      </c>
      <c r="B121">
        <f t="shared" si="3"/>
        <v>1.8578328252882038E-7</v>
      </c>
      <c r="C121">
        <f t="shared" si="3"/>
        <v>1.2194607724194986E-17</v>
      </c>
      <c r="D121">
        <f t="shared" si="3"/>
        <v>1.7741794159995973E-2</v>
      </c>
      <c r="E121">
        <f t="shared" si="3"/>
        <v>4.7036462940983938E-2</v>
      </c>
    </row>
    <row r="122" spans="1:5" x14ac:dyDescent="0.25">
      <c r="A122" s="42">
        <f t="shared" si="2"/>
        <v>5.4999999999999929</v>
      </c>
      <c r="B122">
        <f t="shared" si="3"/>
        <v>1.0772490985624194E-7</v>
      </c>
      <c r="C122">
        <f t="shared" si="3"/>
        <v>2.0564760532755583E-18</v>
      </c>
      <c r="D122">
        <f t="shared" si="3"/>
        <v>1.5873850110676366E-2</v>
      </c>
      <c r="E122">
        <f t="shared" si="3"/>
        <v>4.3149598303534091E-2</v>
      </c>
    </row>
    <row r="123" spans="1:5" x14ac:dyDescent="0.25">
      <c r="A123" s="42">
        <f t="shared" si="2"/>
        <v>5.5999999999999925</v>
      </c>
      <c r="B123">
        <f t="shared" si="3"/>
        <v>6.1841882588355174E-8</v>
      </c>
      <c r="C123">
        <f t="shared" si="3"/>
        <v>3.3320207680951802E-19</v>
      </c>
      <c r="D123">
        <f t="shared" si="3"/>
        <v>1.4167110386647195E-2</v>
      </c>
      <c r="E123">
        <f t="shared" si="3"/>
        <v>3.9485089047959644E-2</v>
      </c>
    </row>
    <row r="124" spans="1:5" x14ac:dyDescent="0.25">
      <c r="A124" s="42">
        <f t="shared" si="2"/>
        <v>5.6999999999999922</v>
      </c>
      <c r="B124">
        <f t="shared" si="3"/>
        <v>3.5148461463680277E-8</v>
      </c>
      <c r="C124">
        <f t="shared" si="3"/>
        <v>5.1870443741017917E-20</v>
      </c>
      <c r="D124">
        <f t="shared" si="3"/>
        <v>1.2612307314033656E-2</v>
      </c>
      <c r="E124">
        <f t="shared" si="3"/>
        <v>3.6041574097304421E-2</v>
      </c>
    </row>
    <row r="125" spans="1:5" x14ac:dyDescent="0.25">
      <c r="A125" s="42">
        <f t="shared" si="2"/>
        <v>5.7999999999999918</v>
      </c>
      <c r="B125">
        <f t="shared" si="3"/>
        <v>1.977821039668656E-8</v>
      </c>
      <c r="C125">
        <f t="shared" si="3"/>
        <v>7.7581906488094881E-21</v>
      </c>
      <c r="D125">
        <f t="shared" si="3"/>
        <v>1.1200104495155773E-2</v>
      </c>
      <c r="E125">
        <f t="shared" si="3"/>
        <v>3.2816226656041947E-2</v>
      </c>
    </row>
    <row r="126" spans="1:5" x14ac:dyDescent="0.25">
      <c r="A126" s="42">
        <f t="shared" si="2"/>
        <v>5.8999999999999915</v>
      </c>
      <c r="B126">
        <f t="shared" si="3"/>
        <v>1.1018556948148594E-8</v>
      </c>
      <c r="C126">
        <f t="shared" si="3"/>
        <v>1.1148826393623734E-21</v>
      </c>
      <c r="D126">
        <f t="shared" si="3"/>
        <v>9.9211923255523547E-3</v>
      </c>
      <c r="E126">
        <f t="shared" si="3"/>
        <v>2.980490890146242E-2</v>
      </c>
    </row>
    <row r="127" spans="1:5" x14ac:dyDescent="0.25">
      <c r="A127" s="42">
        <f t="shared" si="2"/>
        <v>5.9999999999999911</v>
      </c>
      <c r="B127">
        <f t="shared" si="3"/>
        <v>6.0774235424816708E-9</v>
      </c>
      <c r="C127">
        <f t="shared" si="3"/>
        <v>1.5393099570791966E-22</v>
      </c>
      <c r="D127">
        <f t="shared" si="3"/>
        <v>8.7663726171415823E-3</v>
      </c>
      <c r="E127">
        <f t="shared" si="3"/>
        <v>2.7002328639213102E-2</v>
      </c>
    </row>
    <row r="128" spans="1:5" x14ac:dyDescent="0.25">
      <c r="A128" s="42"/>
    </row>
    <row r="129" spans="1:1" x14ac:dyDescent="0.25">
      <c r="A129" s="42"/>
    </row>
    <row r="130" spans="1:1" x14ac:dyDescent="0.25">
      <c r="A130" s="42"/>
    </row>
    <row r="131" spans="1:1" x14ac:dyDescent="0.25">
      <c r="A131" s="42"/>
    </row>
    <row r="132" spans="1:1" x14ac:dyDescent="0.25">
      <c r="A132" s="42"/>
    </row>
    <row r="133" spans="1:1" x14ac:dyDescent="0.25">
      <c r="A133" s="42"/>
    </row>
    <row r="134" spans="1:1" x14ac:dyDescent="0.25">
      <c r="A134" s="42"/>
    </row>
    <row r="135" spans="1:1" x14ac:dyDescent="0.25">
      <c r="A135" s="42"/>
    </row>
    <row r="136" spans="1:1" x14ac:dyDescent="0.25">
      <c r="A136" s="42"/>
    </row>
    <row r="137" spans="1:1" x14ac:dyDescent="0.25">
      <c r="A137" s="42"/>
    </row>
    <row r="138" spans="1:1" x14ac:dyDescent="0.25">
      <c r="A138" s="42"/>
    </row>
    <row r="139" spans="1:1" x14ac:dyDescent="0.25">
      <c r="A139" s="42"/>
    </row>
    <row r="140" spans="1:1" x14ac:dyDescent="0.25">
      <c r="A140" s="42"/>
    </row>
    <row r="141" spans="1:1" x14ac:dyDescent="0.25">
      <c r="A141" s="42"/>
    </row>
    <row r="142" spans="1:1" x14ac:dyDescent="0.25">
      <c r="A142" s="42"/>
    </row>
    <row r="143" spans="1:1" x14ac:dyDescent="0.25">
      <c r="A143" s="42"/>
    </row>
    <row r="144" spans="1:1" x14ac:dyDescent="0.25">
      <c r="A144" s="42"/>
    </row>
    <row r="145" spans="1:1" x14ac:dyDescent="0.25">
      <c r="A145" s="42"/>
    </row>
    <row r="146" spans="1:1" x14ac:dyDescent="0.25">
      <c r="A146" s="42"/>
    </row>
    <row r="147" spans="1:1" x14ac:dyDescent="0.25">
      <c r="A147" s="42"/>
    </row>
    <row r="148" spans="1:1" x14ac:dyDescent="0.25">
      <c r="A148" s="42"/>
    </row>
    <row r="149" spans="1:1" x14ac:dyDescent="0.25">
      <c r="A149" s="42"/>
    </row>
    <row r="150" spans="1:1" x14ac:dyDescent="0.25">
      <c r="A150" s="42"/>
    </row>
    <row r="151" spans="1:1" x14ac:dyDescent="0.25">
      <c r="A151" s="42"/>
    </row>
    <row r="152" spans="1:1" x14ac:dyDescent="0.25">
      <c r="A152" s="42"/>
    </row>
    <row r="153" spans="1:1" x14ac:dyDescent="0.25">
      <c r="A153" s="42"/>
    </row>
    <row r="154" spans="1:1" x14ac:dyDescent="0.25">
      <c r="A154" s="42"/>
    </row>
    <row r="155" spans="1:1" x14ac:dyDescent="0.25">
      <c r="A155" s="42"/>
    </row>
    <row r="156" spans="1:1" x14ac:dyDescent="0.25">
      <c r="A156" s="42"/>
    </row>
    <row r="157" spans="1:1" x14ac:dyDescent="0.25">
      <c r="A157" s="42"/>
    </row>
    <row r="158" spans="1:1" x14ac:dyDescent="0.25">
      <c r="A158" s="42"/>
    </row>
    <row r="159" spans="1:1" x14ac:dyDescent="0.25">
      <c r="A159" s="42"/>
    </row>
    <row r="160" spans="1:1" x14ac:dyDescent="0.25">
      <c r="A160" s="42"/>
    </row>
    <row r="161" spans="1:1" x14ac:dyDescent="0.25">
      <c r="A161" s="42"/>
    </row>
    <row r="162" spans="1:1" x14ac:dyDescent="0.25">
      <c r="A162" s="42"/>
    </row>
    <row r="163" spans="1:1" x14ac:dyDescent="0.25">
      <c r="A163" s="42"/>
    </row>
  </sheetData>
  <pageMargins left="0.78740157499999996" right="0.78740157499999996" top="0.984251969" bottom="0.984251969" header="0.4921259845" footer="0.492125984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workbookViewId="0"/>
  </sheetViews>
  <sheetFormatPr defaultColWidth="9.1796875" defaultRowHeight="12.5" x14ac:dyDescent="0.25"/>
  <cols>
    <col min="1" max="1" width="20.453125" customWidth="1"/>
    <col min="3" max="3" width="4.7265625" customWidth="1"/>
  </cols>
  <sheetData>
    <row r="1" spans="1:2" ht="13" x14ac:dyDescent="0.3">
      <c r="A1" s="2" t="s">
        <v>188</v>
      </c>
    </row>
    <row r="2" spans="1:2" x14ac:dyDescent="0.25">
      <c r="B2" s="26"/>
    </row>
    <row r="3" spans="1:2" x14ac:dyDescent="0.25">
      <c r="A3" t="s">
        <v>189</v>
      </c>
      <c r="B3" s="74">
        <v>525</v>
      </c>
    </row>
    <row r="4" spans="1:2" x14ac:dyDescent="0.25">
      <c r="A4" t="s">
        <v>190</v>
      </c>
      <c r="B4" s="74">
        <v>55</v>
      </c>
    </row>
    <row r="5" spans="1:2" x14ac:dyDescent="0.25">
      <c r="B5" s="74"/>
    </row>
    <row r="6" spans="1:2" ht="13" x14ac:dyDescent="0.3">
      <c r="A6" s="2" t="s">
        <v>191</v>
      </c>
      <c r="B6" s="74"/>
    </row>
    <row r="7" spans="1:2" x14ac:dyDescent="0.25">
      <c r="A7" t="s">
        <v>192</v>
      </c>
      <c r="B7" s="74">
        <v>425</v>
      </c>
    </row>
    <row r="8" spans="1:2" x14ac:dyDescent="0.25">
      <c r="A8" t="s">
        <v>193</v>
      </c>
      <c r="B8" s="74">
        <v>600</v>
      </c>
    </row>
    <row r="9" spans="1:2" x14ac:dyDescent="0.25">
      <c r="B9" s="74"/>
    </row>
    <row r="10" spans="1:2" x14ac:dyDescent="0.25">
      <c r="A10" t="s">
        <v>194</v>
      </c>
      <c r="B10" s="75">
        <f>NORMDIST(B7,$B$3,$B$4,1)</f>
        <v>3.4518173997207628E-2</v>
      </c>
    </row>
    <row r="11" spans="1:2" x14ac:dyDescent="0.25">
      <c r="A11" t="s">
        <v>195</v>
      </c>
      <c r="B11" s="75">
        <f>1-NORMDIST(B8,$B$3,$B$4,1)</f>
        <v>8.6341020709374217E-2</v>
      </c>
    </row>
    <row r="13" spans="1:2" ht="13" x14ac:dyDescent="0.3">
      <c r="A13" s="2" t="s">
        <v>196</v>
      </c>
      <c r="B13" s="74"/>
    </row>
    <row r="14" spans="1:2" x14ac:dyDescent="0.25">
      <c r="A14" t="s">
        <v>194</v>
      </c>
      <c r="B14" s="76">
        <v>0.1</v>
      </c>
    </row>
    <row r="15" spans="1:2" x14ac:dyDescent="0.25">
      <c r="A15" t="s">
        <v>195</v>
      </c>
      <c r="B15" s="76">
        <v>0.15</v>
      </c>
    </row>
    <row r="16" spans="1:2" x14ac:dyDescent="0.25">
      <c r="B16" s="74"/>
    </row>
    <row r="17" spans="1:5" x14ac:dyDescent="0.25">
      <c r="A17" t="s">
        <v>192</v>
      </c>
      <c r="B17" s="77">
        <f>NORMINV(B14,$B$3,$B$4)</f>
        <v>454.51466389504697</v>
      </c>
    </row>
    <row r="18" spans="1:5" x14ac:dyDescent="0.25">
      <c r="A18" t="s">
        <v>193</v>
      </c>
      <c r="B18" s="77">
        <f>NORMINV(1-B15,$B$3,$B$4)</f>
        <v>582.00383642215843</v>
      </c>
    </row>
    <row r="21" spans="1:5" x14ac:dyDescent="0.25">
      <c r="D21" s="3" t="s">
        <v>197</v>
      </c>
      <c r="E21" s="3" t="s">
        <v>198</v>
      </c>
    </row>
    <row r="22" spans="1:5" x14ac:dyDescent="0.25">
      <c r="D22">
        <v>350</v>
      </c>
      <c r="E22">
        <f>NORMDIST(D22,$B$3,$B$4,1)</f>
        <v>7.3176832239259097E-4</v>
      </c>
    </row>
    <row r="23" spans="1:5" x14ac:dyDescent="0.25">
      <c r="D23">
        <v>375</v>
      </c>
      <c r="E23">
        <f>NORMDIST(D23,$B$3,$B$4,1)</f>
        <v>3.1930116413535284E-3</v>
      </c>
    </row>
    <row r="24" spans="1:5" x14ac:dyDescent="0.25">
      <c r="D24">
        <v>400</v>
      </c>
      <c r="E24">
        <f>NORMDIST(D24,$B$3,$B$4,1)</f>
        <v>1.152131004388092E-2</v>
      </c>
    </row>
    <row r="25" spans="1:5" x14ac:dyDescent="0.25">
      <c r="D25">
        <v>425</v>
      </c>
      <c r="E25">
        <f t="shared" ref="E25:E36" si="0">NORMDIST(D25,$B$3,$B$4,1)</f>
        <v>3.4518173997207628E-2</v>
      </c>
    </row>
    <row r="26" spans="1:5" x14ac:dyDescent="0.25">
      <c r="D26">
        <v>450</v>
      </c>
      <c r="E26">
        <f t="shared" si="0"/>
        <v>8.634102070937423E-2</v>
      </c>
    </row>
    <row r="27" spans="1:5" x14ac:dyDescent="0.25">
      <c r="D27">
        <v>475</v>
      </c>
      <c r="E27">
        <f t="shared" si="0"/>
        <v>0.18165107044344894</v>
      </c>
    </row>
    <row r="28" spans="1:5" x14ac:dyDescent="0.25">
      <c r="D28">
        <v>500</v>
      </c>
      <c r="E28">
        <f t="shared" si="0"/>
        <v>0.32471814186337733</v>
      </c>
    </row>
    <row r="29" spans="1:5" x14ac:dyDescent="0.25">
      <c r="D29">
        <v>525</v>
      </c>
      <c r="E29">
        <f t="shared" si="0"/>
        <v>0.5</v>
      </c>
    </row>
    <row r="30" spans="1:5" x14ac:dyDescent="0.25">
      <c r="D30">
        <v>550</v>
      </c>
      <c r="E30">
        <f t="shared" si="0"/>
        <v>0.67528185813662267</v>
      </c>
    </row>
    <row r="31" spans="1:5" x14ac:dyDescent="0.25">
      <c r="D31">
        <v>575</v>
      </c>
      <c r="E31">
        <f t="shared" si="0"/>
        <v>0.81834892955655103</v>
      </c>
    </row>
    <row r="32" spans="1:5" x14ac:dyDescent="0.25">
      <c r="D32">
        <v>600</v>
      </c>
      <c r="E32">
        <f t="shared" si="0"/>
        <v>0.91365897929062578</v>
      </c>
    </row>
    <row r="33" spans="4:5" x14ac:dyDescent="0.25">
      <c r="D33">
        <v>625</v>
      </c>
      <c r="E33">
        <f t="shared" si="0"/>
        <v>0.96548182600279242</v>
      </c>
    </row>
    <row r="34" spans="4:5" x14ac:dyDescent="0.25">
      <c r="D34">
        <v>650</v>
      </c>
      <c r="E34">
        <f t="shared" si="0"/>
        <v>0.98847868995611909</v>
      </c>
    </row>
    <row r="35" spans="4:5" x14ac:dyDescent="0.25">
      <c r="D35">
        <v>675</v>
      </c>
      <c r="E35">
        <f t="shared" si="0"/>
        <v>0.99680698835864645</v>
      </c>
    </row>
    <row r="36" spans="4:5" x14ac:dyDescent="0.25">
      <c r="D36">
        <v>700</v>
      </c>
      <c r="E36">
        <f t="shared" si="0"/>
        <v>0.99926823167760737</v>
      </c>
    </row>
  </sheetData>
  <printOptions horizontalCentered="1" verticalCentered="1" headings="1" gridLines="1" gridLinesSet="0"/>
  <pageMargins left="0.78740157480314965" right="0.78740157480314965" top="0.98425196850393704" bottom="0.98425196850393704" header="0.51181102362204722" footer="0.51181102362204722"/>
  <pageSetup scale="70" orientation="portrait" horizontalDpi="300" verticalDpi="30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/>
  </sheetViews>
  <sheetFormatPr defaultColWidth="8.81640625" defaultRowHeight="12.5" x14ac:dyDescent="0.25"/>
  <cols>
    <col min="1" max="1" width="14" customWidth="1"/>
    <col min="2" max="2" width="9.7265625" customWidth="1"/>
    <col min="3" max="3" width="11.26953125" customWidth="1"/>
    <col min="4" max="4" width="12.7265625" customWidth="1"/>
    <col min="5" max="5" width="8.81640625" customWidth="1"/>
    <col min="6" max="6" width="9.81640625" customWidth="1"/>
  </cols>
  <sheetData>
    <row r="1" spans="1:7" ht="13" x14ac:dyDescent="0.3">
      <c r="A1" s="2" t="s">
        <v>199</v>
      </c>
      <c r="D1" s="145" t="s">
        <v>200</v>
      </c>
      <c r="E1" s="145"/>
      <c r="F1" s="145"/>
    </row>
    <row r="2" spans="1:7" x14ac:dyDescent="0.25">
      <c r="A2" s="145" t="s">
        <v>201</v>
      </c>
      <c r="B2" s="145"/>
      <c r="D2" s="3" t="s">
        <v>116</v>
      </c>
      <c r="E2" s="79">
        <v>2</v>
      </c>
      <c r="F2" s="3" t="s">
        <v>202</v>
      </c>
      <c r="G2" s="79">
        <v>5</v>
      </c>
    </row>
    <row r="3" spans="1:7" x14ac:dyDescent="0.25">
      <c r="A3" s="15" t="s">
        <v>41</v>
      </c>
      <c r="B3" s="3" t="s">
        <v>203</v>
      </c>
      <c r="E3" s="3" t="s">
        <v>203</v>
      </c>
    </row>
    <row r="4" spans="1:7" x14ac:dyDescent="0.25">
      <c r="A4" s="29">
        <v>1E-3</v>
      </c>
      <c r="B4" s="29">
        <f t="shared" ref="B4:B9" si="0">NORMSINV(A4)</f>
        <v>-3.0902323061678132</v>
      </c>
      <c r="E4" s="42">
        <f t="shared" ref="E4:E18" si="1">$E$2+$G$2*B4</f>
        <v>-13.451161530839066</v>
      </c>
    </row>
    <row r="5" spans="1:7" x14ac:dyDescent="0.25">
      <c r="A5" s="29">
        <v>5.0000000000000001E-3</v>
      </c>
      <c r="B5" s="29">
        <f t="shared" si="0"/>
        <v>-2.5758293035488999</v>
      </c>
      <c r="E5" s="42">
        <f t="shared" si="1"/>
        <v>-10.8791465177445</v>
      </c>
    </row>
    <row r="6" spans="1:7" x14ac:dyDescent="0.25">
      <c r="A6" s="29">
        <v>0.01</v>
      </c>
      <c r="B6" s="29">
        <f t="shared" si="0"/>
        <v>-2.3263478740408408</v>
      </c>
      <c r="E6" s="42">
        <f t="shared" si="1"/>
        <v>-9.6317393702042047</v>
      </c>
    </row>
    <row r="7" spans="1:7" x14ac:dyDescent="0.25">
      <c r="A7" s="29">
        <v>2.5000000000000001E-2</v>
      </c>
      <c r="B7" s="29">
        <f t="shared" si="0"/>
        <v>-1.9599639845400538</v>
      </c>
      <c r="E7" s="42">
        <f t="shared" si="1"/>
        <v>-7.7998199227002694</v>
      </c>
    </row>
    <row r="8" spans="1:7" x14ac:dyDescent="0.25">
      <c r="A8" s="29">
        <v>0.05</v>
      </c>
      <c r="B8" s="29">
        <f t="shared" si="0"/>
        <v>-1.6448536269514726</v>
      </c>
      <c r="E8" s="42">
        <f t="shared" si="1"/>
        <v>-6.224268134757363</v>
      </c>
    </row>
    <row r="9" spans="1:7" x14ac:dyDescent="0.25">
      <c r="A9" s="29">
        <v>0.1</v>
      </c>
      <c r="B9" s="29">
        <f t="shared" si="0"/>
        <v>-1.2815515655446006</v>
      </c>
      <c r="E9" s="42">
        <f t="shared" si="1"/>
        <v>-4.4077578277230032</v>
      </c>
    </row>
    <row r="10" spans="1:7" x14ac:dyDescent="0.25">
      <c r="A10" s="29">
        <f>NORMSDIST(B10)</f>
        <v>0.15865525393145699</v>
      </c>
      <c r="B10" s="29">
        <v>-1</v>
      </c>
      <c r="E10" s="42">
        <f t="shared" si="1"/>
        <v>-3</v>
      </c>
    </row>
    <row r="11" spans="1:7" x14ac:dyDescent="0.25">
      <c r="A11" s="29">
        <v>0.5</v>
      </c>
      <c r="B11" s="13">
        <f>NORMSINV(A11)</f>
        <v>0</v>
      </c>
      <c r="E11" s="42">
        <f t="shared" si="1"/>
        <v>2</v>
      </c>
    </row>
    <row r="12" spans="1:7" x14ac:dyDescent="0.25">
      <c r="A12" s="29">
        <f>NORMSDIST(B12)</f>
        <v>0.84134474606854304</v>
      </c>
      <c r="B12" s="29">
        <v>1</v>
      </c>
      <c r="E12" s="42">
        <f t="shared" si="1"/>
        <v>7</v>
      </c>
    </row>
    <row r="13" spans="1:7" x14ac:dyDescent="0.25">
      <c r="A13" s="29">
        <v>0.9</v>
      </c>
      <c r="B13" s="29">
        <f t="shared" ref="B13:B18" si="2">NORMSINV(A13)</f>
        <v>1.2815515655446006</v>
      </c>
      <c r="E13" s="42">
        <f t="shared" si="1"/>
        <v>8.4077578277230032</v>
      </c>
    </row>
    <row r="14" spans="1:7" x14ac:dyDescent="0.25">
      <c r="A14" s="29">
        <v>0.95</v>
      </c>
      <c r="B14" s="29">
        <f t="shared" si="2"/>
        <v>1.6448536269514715</v>
      </c>
      <c r="E14" s="42">
        <f t="shared" si="1"/>
        <v>10.224268134757358</v>
      </c>
    </row>
    <row r="15" spans="1:7" x14ac:dyDescent="0.25">
      <c r="A15" s="29">
        <v>0.97499999999999998</v>
      </c>
      <c r="B15" s="29">
        <f t="shared" si="2"/>
        <v>1.9599639845400536</v>
      </c>
      <c r="E15" s="42">
        <f t="shared" si="1"/>
        <v>11.799819922700268</v>
      </c>
    </row>
    <row r="16" spans="1:7" x14ac:dyDescent="0.25">
      <c r="A16" s="29">
        <v>0.99</v>
      </c>
      <c r="B16" s="29">
        <f t="shared" si="2"/>
        <v>2.3263478740408408</v>
      </c>
      <c r="E16" s="42">
        <f t="shared" si="1"/>
        <v>13.631739370204205</v>
      </c>
    </row>
    <row r="17" spans="1:9" x14ac:dyDescent="0.25">
      <c r="A17" s="29">
        <v>0.995</v>
      </c>
      <c r="B17" s="29">
        <f t="shared" si="2"/>
        <v>2.5758293035488999</v>
      </c>
      <c r="E17" s="42">
        <f t="shared" si="1"/>
        <v>14.8791465177445</v>
      </c>
    </row>
    <row r="18" spans="1:9" x14ac:dyDescent="0.25">
      <c r="A18" s="29">
        <v>0.999</v>
      </c>
      <c r="B18" s="29">
        <f t="shared" si="2"/>
        <v>3.0902323061678132</v>
      </c>
      <c r="E18" s="42">
        <f t="shared" si="1"/>
        <v>17.451161530839066</v>
      </c>
    </row>
    <row r="20" spans="1:9" ht="13" x14ac:dyDescent="0.3">
      <c r="A20" s="2" t="s">
        <v>204</v>
      </c>
      <c r="B20" s="16">
        <v>0.9</v>
      </c>
      <c r="C20" s="16">
        <v>0.95</v>
      </c>
      <c r="D20" s="16">
        <v>0.99</v>
      </c>
    </row>
    <row r="21" spans="1:9" x14ac:dyDescent="0.25">
      <c r="A21" s="53" t="s">
        <v>141</v>
      </c>
      <c r="B21" s="29">
        <f>NORMSINV((1-B20)/2)</f>
        <v>-1.6448536269514726</v>
      </c>
      <c r="C21" s="29">
        <f>NORMSINV((1-C20)/2)</f>
        <v>-1.9599639845400536</v>
      </c>
      <c r="D21" s="29">
        <f>NORMSINV((1-D20)/2)</f>
        <v>-2.5758293035488999</v>
      </c>
      <c r="E21" s="80"/>
    </row>
    <row r="22" spans="1:9" x14ac:dyDescent="0.25">
      <c r="A22" t="s">
        <v>205</v>
      </c>
      <c r="B22" s="42">
        <f>$E$2-ABS(B$21)*$G$2</f>
        <v>-6.224268134757363</v>
      </c>
      <c r="C22" s="42">
        <f>$E$2-ABS(C$21)*$G$2</f>
        <v>-7.7998199227002676</v>
      </c>
      <c r="D22" s="42">
        <f>$E$2-ABS(D$21)*$G$2</f>
        <v>-10.8791465177445</v>
      </c>
      <c r="E22" s="42"/>
    </row>
    <row r="23" spans="1:9" x14ac:dyDescent="0.25">
      <c r="A23" t="s">
        <v>206</v>
      </c>
      <c r="B23" s="42">
        <f>$E$2+ABS(B$21)*$G$2</f>
        <v>10.224268134757363</v>
      </c>
      <c r="C23" s="42">
        <f>$E$2+ABS(C$21)*$G$2</f>
        <v>11.799819922700268</v>
      </c>
      <c r="D23" s="42">
        <f>$E$2+ABS(D$21)*$G$2</f>
        <v>14.8791465177445</v>
      </c>
    </row>
    <row r="25" spans="1:9" ht="13" x14ac:dyDescent="0.3">
      <c r="A25" s="2" t="s">
        <v>207</v>
      </c>
    </row>
    <row r="26" spans="1:9" ht="48.75" customHeight="1" x14ac:dyDescent="0.25">
      <c r="B26" s="81" t="s">
        <v>208</v>
      </c>
      <c r="C26" s="81" t="s">
        <v>209</v>
      </c>
      <c r="D26" s="81" t="s">
        <v>210</v>
      </c>
    </row>
    <row r="27" spans="1:9" x14ac:dyDescent="0.25">
      <c r="B27" s="82">
        <v>-3</v>
      </c>
      <c r="C27" s="83">
        <f t="shared" ref="C27:C72" si="3">NORMSDIST($B27)</f>
        <v>1.3498980316300933E-3</v>
      </c>
      <c r="D27" s="83">
        <f t="shared" ref="D27:D72" si="4">1-$C27</f>
        <v>0.9986501019683699</v>
      </c>
      <c r="F27" t="s">
        <v>211</v>
      </c>
    </row>
    <row r="28" spans="1:9" x14ac:dyDescent="0.25">
      <c r="B28" s="82">
        <v>-2.8</v>
      </c>
      <c r="C28" s="83">
        <f t="shared" si="3"/>
        <v>2.5551303304279312E-3</v>
      </c>
      <c r="D28" s="83">
        <f t="shared" si="4"/>
        <v>0.99744486966957202</v>
      </c>
    </row>
    <row r="29" spans="1:9" x14ac:dyDescent="0.25">
      <c r="B29" s="82">
        <v>-2.6</v>
      </c>
      <c r="C29" s="83">
        <f t="shared" si="3"/>
        <v>4.6611880237187476E-3</v>
      </c>
      <c r="D29" s="83">
        <f t="shared" si="4"/>
        <v>0.99533881197628127</v>
      </c>
      <c r="F29" s="3" t="s">
        <v>212</v>
      </c>
      <c r="G29" s="3" t="s">
        <v>213</v>
      </c>
      <c r="H29" s="3" t="s">
        <v>214</v>
      </c>
      <c r="I29" s="3" t="s">
        <v>213</v>
      </c>
    </row>
    <row r="30" spans="1:9" x14ac:dyDescent="0.25">
      <c r="B30" s="82">
        <v>-2.4</v>
      </c>
      <c r="C30" s="83">
        <f t="shared" si="3"/>
        <v>8.1975359245961311E-3</v>
      </c>
      <c r="D30" s="83">
        <f t="shared" si="4"/>
        <v>0.99180246407540384</v>
      </c>
      <c r="F30" s="42">
        <v>-10</v>
      </c>
      <c r="G30" s="84">
        <f>NORMDIST($F30,$E$2,$G$2,1)</f>
        <v>8.1975359245961311E-3</v>
      </c>
      <c r="H30" s="85">
        <f>($F30-$E$2)/$G$2</f>
        <v>-2.4</v>
      </c>
      <c r="I30" s="84">
        <f>NORMSDIST($H30)</f>
        <v>8.1975359245961311E-3</v>
      </c>
    </row>
    <row r="31" spans="1:9" x14ac:dyDescent="0.25">
      <c r="B31" s="82">
        <v>-2.2000000000000002</v>
      </c>
      <c r="C31" s="83">
        <f t="shared" si="3"/>
        <v>1.3903447513498597E-2</v>
      </c>
      <c r="D31" s="83">
        <f t="shared" si="4"/>
        <v>0.98609655248650141</v>
      </c>
      <c r="F31" s="42">
        <v>-5</v>
      </c>
      <c r="G31" s="84">
        <f>NORMDIST($F31,$E$2,$G$2,1)</f>
        <v>8.0756659233771053E-2</v>
      </c>
      <c r="H31" s="85">
        <f>($F31-$E$2)/$G$2</f>
        <v>-1.4</v>
      </c>
      <c r="I31" s="84">
        <f>NORMSDIST($H31)</f>
        <v>8.0756659233771053E-2</v>
      </c>
    </row>
    <row r="32" spans="1:9" x14ac:dyDescent="0.25">
      <c r="B32" s="82">
        <v>-2</v>
      </c>
      <c r="C32" s="83">
        <f t="shared" si="3"/>
        <v>2.2750131948179191E-2</v>
      </c>
      <c r="D32" s="83">
        <f t="shared" si="4"/>
        <v>0.97724986805182079</v>
      </c>
      <c r="F32" s="42">
        <v>-1</v>
      </c>
      <c r="G32" s="84">
        <f>NORMDIST($F32,$E$2,$G$2,1)</f>
        <v>0.27425311775007355</v>
      </c>
      <c r="H32" s="85">
        <f>($F32-$E$2)/$G$2</f>
        <v>-0.6</v>
      </c>
      <c r="I32" s="84">
        <f>NORMSDIST($H32)</f>
        <v>0.27425311775007355</v>
      </c>
    </row>
    <row r="33" spans="2:11" x14ac:dyDescent="0.25">
      <c r="B33" s="82">
        <v>-1.8</v>
      </c>
      <c r="C33" s="83">
        <f t="shared" si="3"/>
        <v>3.5930319112925789E-2</v>
      </c>
      <c r="D33" s="83">
        <f t="shared" si="4"/>
        <v>0.96406968088707423</v>
      </c>
      <c r="F33" s="42">
        <v>0</v>
      </c>
      <c r="G33" s="84">
        <f>NORMDIST($F33,$E$2,$G$2,1)</f>
        <v>0.34457825838967576</v>
      </c>
      <c r="H33" s="85">
        <f>($F33-$E$2)/$G$2</f>
        <v>-0.4</v>
      </c>
      <c r="I33" s="84">
        <f>NORMSDIST($H33)</f>
        <v>0.34457825838967576</v>
      </c>
    </row>
    <row r="34" spans="2:11" x14ac:dyDescent="0.25">
      <c r="B34" s="82">
        <v>-1.6</v>
      </c>
      <c r="C34" s="83">
        <f t="shared" si="3"/>
        <v>5.4799291699557967E-2</v>
      </c>
      <c r="D34" s="83">
        <f t="shared" si="4"/>
        <v>0.94520070830044201</v>
      </c>
      <c r="F34" s="42">
        <v>5</v>
      </c>
      <c r="G34" s="84">
        <f>NORMDIST($F34,$E$2,$G$2,1)</f>
        <v>0.72574688224992645</v>
      </c>
      <c r="H34" s="85">
        <f>($F34-$E$2)/$G$2</f>
        <v>0.6</v>
      </c>
      <c r="I34" s="84">
        <f>NORMSDIST($H34)</f>
        <v>0.72574688224992645</v>
      </c>
    </row>
    <row r="35" spans="2:11" x14ac:dyDescent="0.25">
      <c r="B35" s="82">
        <v>-1.4</v>
      </c>
      <c r="C35" s="83">
        <f t="shared" si="3"/>
        <v>8.0756659233771053E-2</v>
      </c>
      <c r="D35" s="83">
        <f t="shared" si="4"/>
        <v>0.91924334076622893</v>
      </c>
    </row>
    <row r="36" spans="2:11" x14ac:dyDescent="0.25">
      <c r="B36" s="82">
        <v>-1.2</v>
      </c>
      <c r="C36" s="83">
        <f t="shared" si="3"/>
        <v>0.11506967022170828</v>
      </c>
      <c r="D36" s="83">
        <f t="shared" si="4"/>
        <v>0.88493032977829178</v>
      </c>
      <c r="F36" t="s">
        <v>215</v>
      </c>
    </row>
    <row r="37" spans="2:11" x14ac:dyDescent="0.25">
      <c r="B37" s="82">
        <v>-1</v>
      </c>
      <c r="C37" s="83">
        <f t="shared" si="3"/>
        <v>0.15865525393145699</v>
      </c>
      <c r="D37" s="83">
        <f t="shared" si="4"/>
        <v>0.84134474606854304</v>
      </c>
      <c r="I37" s="3" t="s">
        <v>121</v>
      </c>
      <c r="J37" s="3" t="s">
        <v>122</v>
      </c>
      <c r="K37" s="3" t="s">
        <v>216</v>
      </c>
    </row>
    <row r="38" spans="2:11" x14ac:dyDescent="0.25">
      <c r="B38" s="82">
        <v>-0.9</v>
      </c>
      <c r="C38" s="83">
        <f t="shared" si="3"/>
        <v>0.1840601253467595</v>
      </c>
      <c r="D38" s="83">
        <f t="shared" si="4"/>
        <v>0.81593987465324047</v>
      </c>
      <c r="F38">
        <v>1</v>
      </c>
      <c r="G38" t="s">
        <v>217</v>
      </c>
      <c r="I38" s="42">
        <f>$E$2-$F38*$G$2</f>
        <v>-3</v>
      </c>
      <c r="J38" s="42">
        <f>$E$2+$F38*$G$2</f>
        <v>7</v>
      </c>
      <c r="K38" s="48">
        <f>1-2*NORMDIST($E$2-F38*$G$2,$E$2,$G$2,1)</f>
        <v>0.68268949213708607</v>
      </c>
    </row>
    <row r="39" spans="2:11" x14ac:dyDescent="0.25">
      <c r="B39" s="82">
        <v>-0.8</v>
      </c>
      <c r="C39" s="83">
        <f t="shared" si="3"/>
        <v>0.21185539858339661</v>
      </c>
      <c r="D39" s="83">
        <f t="shared" si="4"/>
        <v>0.78814460141660336</v>
      </c>
      <c r="F39">
        <v>2</v>
      </c>
      <c r="G39" t="s">
        <v>217</v>
      </c>
      <c r="I39" s="42">
        <f>$E$2-F39*$G$2</f>
        <v>-8</v>
      </c>
      <c r="J39" s="42">
        <f>$E$2+$F39*$G$2</f>
        <v>12</v>
      </c>
      <c r="K39" s="48">
        <f>1-2*NORMDIST($E$2-F39*$G$2,$E$2,$G$2,1)</f>
        <v>0.95449973610364158</v>
      </c>
    </row>
    <row r="40" spans="2:11" x14ac:dyDescent="0.25">
      <c r="B40" s="82">
        <v>-0.7</v>
      </c>
      <c r="C40" s="83">
        <f t="shared" si="3"/>
        <v>0.24196365222307298</v>
      </c>
      <c r="D40" s="83">
        <f t="shared" si="4"/>
        <v>0.75803634777692697</v>
      </c>
      <c r="F40">
        <v>3</v>
      </c>
      <c r="G40" t="s">
        <v>217</v>
      </c>
      <c r="I40" s="42">
        <f>$E$2-F40*$G$2</f>
        <v>-13</v>
      </c>
      <c r="J40" s="42">
        <f>$E$2+$F40*$G$2</f>
        <v>17</v>
      </c>
      <c r="K40" s="48">
        <f>1-2*NORMDIST($E$2-F40*$G$2,$E$2,$G$2,1)</f>
        <v>0.99730020393673979</v>
      </c>
    </row>
    <row r="41" spans="2:11" x14ac:dyDescent="0.25">
      <c r="B41" s="82">
        <v>-0.6</v>
      </c>
      <c r="C41" s="83">
        <f t="shared" si="3"/>
        <v>0.27425311775007355</v>
      </c>
      <c r="D41" s="83">
        <f t="shared" si="4"/>
        <v>0.72574688224992645</v>
      </c>
    </row>
    <row r="42" spans="2:11" x14ac:dyDescent="0.25">
      <c r="B42" s="82">
        <v>-0.5</v>
      </c>
      <c r="C42" s="83">
        <f t="shared" si="3"/>
        <v>0.30853753872598688</v>
      </c>
      <c r="D42" s="83">
        <f t="shared" si="4"/>
        <v>0.69146246127401312</v>
      </c>
    </row>
    <row r="43" spans="2:11" x14ac:dyDescent="0.25">
      <c r="B43" s="82">
        <v>-0.4</v>
      </c>
      <c r="C43" s="83">
        <f t="shared" si="3"/>
        <v>0.34457825838967576</v>
      </c>
      <c r="D43" s="83">
        <f t="shared" si="4"/>
        <v>0.65542174161032429</v>
      </c>
    </row>
    <row r="44" spans="2:11" x14ac:dyDescent="0.25">
      <c r="B44" s="82">
        <v>-0.3</v>
      </c>
      <c r="C44" s="83">
        <f t="shared" si="3"/>
        <v>0.38208857781104733</v>
      </c>
      <c r="D44" s="83">
        <f t="shared" si="4"/>
        <v>0.61791142218895267</v>
      </c>
    </row>
    <row r="45" spans="2:11" x14ac:dyDescent="0.25">
      <c r="B45" s="82">
        <v>-0.2</v>
      </c>
      <c r="C45" s="83">
        <f t="shared" si="3"/>
        <v>0.42074029056089696</v>
      </c>
      <c r="D45" s="83">
        <f t="shared" si="4"/>
        <v>0.57925970943910299</v>
      </c>
    </row>
    <row r="46" spans="2:11" x14ac:dyDescent="0.25">
      <c r="B46" s="82">
        <v>-0.1</v>
      </c>
      <c r="C46" s="83">
        <f t="shared" si="3"/>
        <v>0.46017216272297101</v>
      </c>
      <c r="D46" s="83">
        <f t="shared" si="4"/>
        <v>0.53982783727702899</v>
      </c>
    </row>
    <row r="47" spans="2:11" x14ac:dyDescent="0.25">
      <c r="B47" s="82">
        <v>0</v>
      </c>
      <c r="C47" s="83">
        <f t="shared" si="3"/>
        <v>0.5</v>
      </c>
      <c r="D47" s="83">
        <f t="shared" si="4"/>
        <v>0.5</v>
      </c>
    </row>
    <row r="48" spans="2:11" x14ac:dyDescent="0.25">
      <c r="B48" s="82">
        <v>0.1</v>
      </c>
      <c r="C48" s="83">
        <f t="shared" si="3"/>
        <v>0.53982783727702899</v>
      </c>
      <c r="D48" s="83">
        <f t="shared" si="4"/>
        <v>0.46017216272297101</v>
      </c>
    </row>
    <row r="49" spans="2:4" x14ac:dyDescent="0.25">
      <c r="B49" s="82">
        <v>0.2</v>
      </c>
      <c r="C49" s="83">
        <f t="shared" si="3"/>
        <v>0.57925970943910299</v>
      </c>
      <c r="D49" s="83">
        <f t="shared" si="4"/>
        <v>0.42074029056089701</v>
      </c>
    </row>
    <row r="50" spans="2:4" x14ac:dyDescent="0.25">
      <c r="B50" s="82">
        <v>0.3</v>
      </c>
      <c r="C50" s="83">
        <f t="shared" si="3"/>
        <v>0.61791142218895267</v>
      </c>
      <c r="D50" s="83">
        <f t="shared" si="4"/>
        <v>0.38208857781104733</v>
      </c>
    </row>
    <row r="51" spans="2:4" x14ac:dyDescent="0.25">
      <c r="B51" s="82">
        <v>0.4</v>
      </c>
      <c r="C51" s="83">
        <f t="shared" si="3"/>
        <v>0.65542174161032429</v>
      </c>
      <c r="D51" s="83">
        <f t="shared" si="4"/>
        <v>0.34457825838967571</v>
      </c>
    </row>
    <row r="52" spans="2:4" x14ac:dyDescent="0.25">
      <c r="B52" s="82">
        <v>0.5</v>
      </c>
      <c r="C52" s="83">
        <f t="shared" si="3"/>
        <v>0.69146246127401312</v>
      </c>
      <c r="D52" s="83">
        <f t="shared" si="4"/>
        <v>0.30853753872598688</v>
      </c>
    </row>
    <row r="53" spans="2:4" x14ac:dyDescent="0.25">
      <c r="B53" s="82">
        <v>0.6</v>
      </c>
      <c r="C53" s="83">
        <f t="shared" si="3"/>
        <v>0.72574688224992645</v>
      </c>
      <c r="D53" s="83">
        <f t="shared" si="4"/>
        <v>0.27425311775007355</v>
      </c>
    </row>
    <row r="54" spans="2:4" x14ac:dyDescent="0.25">
      <c r="B54" s="82">
        <v>0.7</v>
      </c>
      <c r="C54" s="83">
        <f t="shared" si="3"/>
        <v>0.75803634777692697</v>
      </c>
      <c r="D54" s="83">
        <f t="shared" si="4"/>
        <v>0.24196365222307303</v>
      </c>
    </row>
    <row r="55" spans="2:4" x14ac:dyDescent="0.25">
      <c r="B55" s="82">
        <v>0.8</v>
      </c>
      <c r="C55" s="83">
        <f t="shared" si="3"/>
        <v>0.78814460141660336</v>
      </c>
      <c r="D55" s="83">
        <f t="shared" si="4"/>
        <v>0.21185539858339664</v>
      </c>
    </row>
    <row r="56" spans="2:4" x14ac:dyDescent="0.25">
      <c r="B56" s="82">
        <v>0.9</v>
      </c>
      <c r="C56" s="83">
        <f t="shared" si="3"/>
        <v>0.81593987465324047</v>
      </c>
      <c r="D56" s="83">
        <f t="shared" si="4"/>
        <v>0.18406012534675953</v>
      </c>
    </row>
    <row r="57" spans="2:4" x14ac:dyDescent="0.25">
      <c r="B57" s="82">
        <v>1</v>
      </c>
      <c r="C57" s="83">
        <f t="shared" si="3"/>
        <v>0.84134474606854304</v>
      </c>
      <c r="D57" s="83">
        <f t="shared" si="4"/>
        <v>0.15865525393145696</v>
      </c>
    </row>
    <row r="58" spans="2:4" x14ac:dyDescent="0.25">
      <c r="B58" s="82">
        <v>1.1000000000000001</v>
      </c>
      <c r="C58" s="83">
        <f t="shared" si="3"/>
        <v>0.86433393905361733</v>
      </c>
      <c r="D58" s="83">
        <f t="shared" si="4"/>
        <v>0.13566606094638267</v>
      </c>
    </row>
    <row r="59" spans="2:4" x14ac:dyDescent="0.25">
      <c r="B59" s="82">
        <v>1.2</v>
      </c>
      <c r="C59" s="83">
        <f t="shared" si="3"/>
        <v>0.88493032977829178</v>
      </c>
      <c r="D59" s="83">
        <f t="shared" si="4"/>
        <v>0.11506967022170822</v>
      </c>
    </row>
    <row r="60" spans="2:4" x14ac:dyDescent="0.25">
      <c r="B60" s="82">
        <v>1.3</v>
      </c>
      <c r="C60" s="83">
        <f t="shared" si="3"/>
        <v>0.9031995154143897</v>
      </c>
      <c r="D60" s="83">
        <f t="shared" si="4"/>
        <v>9.6800484585610302E-2</v>
      </c>
    </row>
    <row r="61" spans="2:4" x14ac:dyDescent="0.25">
      <c r="B61" s="82">
        <v>1.4</v>
      </c>
      <c r="C61" s="83">
        <f t="shared" si="3"/>
        <v>0.91924334076622893</v>
      </c>
      <c r="D61" s="83">
        <f t="shared" si="4"/>
        <v>8.0756659233771066E-2</v>
      </c>
    </row>
    <row r="62" spans="2:4" x14ac:dyDescent="0.25">
      <c r="B62" s="82">
        <v>1.5</v>
      </c>
      <c r="C62" s="83">
        <f t="shared" si="3"/>
        <v>0.93319279873114191</v>
      </c>
      <c r="D62" s="83">
        <f t="shared" si="4"/>
        <v>6.6807201268858085E-2</v>
      </c>
    </row>
    <row r="63" spans="2:4" x14ac:dyDescent="0.25">
      <c r="B63" s="82">
        <v>1.6</v>
      </c>
      <c r="C63" s="83">
        <f t="shared" si="3"/>
        <v>0.94520070830044201</v>
      </c>
      <c r="D63" s="83">
        <f t="shared" si="4"/>
        <v>5.4799291699557995E-2</v>
      </c>
    </row>
    <row r="64" spans="2:4" x14ac:dyDescent="0.25">
      <c r="B64" s="82">
        <v>1.7</v>
      </c>
      <c r="C64" s="83">
        <f t="shared" si="3"/>
        <v>0.95543453724145699</v>
      </c>
      <c r="D64" s="83">
        <f t="shared" si="4"/>
        <v>4.4565462758543006E-2</v>
      </c>
    </row>
    <row r="65" spans="2:4" x14ac:dyDescent="0.25">
      <c r="B65" s="82">
        <v>1.8</v>
      </c>
      <c r="C65" s="83">
        <f t="shared" si="3"/>
        <v>0.96406968088707423</v>
      </c>
      <c r="D65" s="83">
        <f t="shared" si="4"/>
        <v>3.5930319112925768E-2</v>
      </c>
    </row>
    <row r="66" spans="2:4" x14ac:dyDescent="0.25">
      <c r="B66" s="82">
        <v>1.9</v>
      </c>
      <c r="C66" s="83">
        <f t="shared" si="3"/>
        <v>0.97128344018399815</v>
      </c>
      <c r="D66" s="83">
        <f t="shared" si="4"/>
        <v>2.8716559816001852E-2</v>
      </c>
    </row>
    <row r="67" spans="2:4" x14ac:dyDescent="0.25">
      <c r="B67" s="82">
        <v>2</v>
      </c>
      <c r="C67" s="83">
        <f t="shared" si="3"/>
        <v>0.97724986805182079</v>
      </c>
      <c r="D67" s="83">
        <f t="shared" si="4"/>
        <v>2.2750131948179209E-2</v>
      </c>
    </row>
    <row r="68" spans="2:4" x14ac:dyDescent="0.25">
      <c r="B68" s="82">
        <v>2.2000000000000002</v>
      </c>
      <c r="C68" s="83">
        <f t="shared" si="3"/>
        <v>0.98609655248650141</v>
      </c>
      <c r="D68" s="83">
        <f t="shared" si="4"/>
        <v>1.390344751349859E-2</v>
      </c>
    </row>
    <row r="69" spans="2:4" x14ac:dyDescent="0.25">
      <c r="B69" s="82">
        <v>2.4</v>
      </c>
      <c r="C69" s="83">
        <f t="shared" si="3"/>
        <v>0.99180246407540384</v>
      </c>
      <c r="D69" s="83">
        <f t="shared" si="4"/>
        <v>8.1975359245961554E-3</v>
      </c>
    </row>
    <row r="70" spans="2:4" x14ac:dyDescent="0.25">
      <c r="B70" s="82">
        <v>2.6</v>
      </c>
      <c r="C70" s="83">
        <f t="shared" si="3"/>
        <v>0.99533881197628127</v>
      </c>
      <c r="D70" s="83">
        <f t="shared" si="4"/>
        <v>4.661188023718732E-3</v>
      </c>
    </row>
    <row r="71" spans="2:4" x14ac:dyDescent="0.25">
      <c r="B71" s="82">
        <v>2.8</v>
      </c>
      <c r="C71" s="83">
        <f t="shared" si="3"/>
        <v>0.99744486966957202</v>
      </c>
      <c r="D71" s="83">
        <f t="shared" si="4"/>
        <v>2.5551303304279793E-3</v>
      </c>
    </row>
    <row r="72" spans="2:4" x14ac:dyDescent="0.25">
      <c r="B72" s="82">
        <v>3</v>
      </c>
      <c r="C72" s="83">
        <f t="shared" si="3"/>
        <v>0.9986501019683699</v>
      </c>
      <c r="D72" s="83">
        <f t="shared" si="4"/>
        <v>1.3498980316301035E-3</v>
      </c>
    </row>
  </sheetData>
  <mergeCells count="2">
    <mergeCell ref="D1:F1"/>
    <mergeCell ref="A2:B2"/>
  </mergeCells>
  <printOptions gridLines="1" gridLinesSet="0"/>
  <pageMargins left="0.78740157499999996" right="0.78740157499999996" top="0.984251969" bottom="0.984251969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workbookViewId="0"/>
  </sheetViews>
  <sheetFormatPr defaultColWidth="11.453125" defaultRowHeight="12.5" x14ac:dyDescent="0.25"/>
  <sheetData>
    <row r="1" spans="1:13" ht="13" x14ac:dyDescent="0.3">
      <c r="A1" s="2" t="s">
        <v>218</v>
      </c>
    </row>
    <row r="3" spans="1:13" x14ac:dyDescent="0.25">
      <c r="A3" t="s">
        <v>219</v>
      </c>
    </row>
    <row r="5" spans="1:13" ht="13" x14ac:dyDescent="0.3">
      <c r="B5" s="145" t="s">
        <v>220</v>
      </c>
      <c r="C5" s="145"/>
      <c r="D5" s="145"/>
      <c r="F5" s="145" t="s">
        <v>221</v>
      </c>
      <c r="G5" s="145"/>
      <c r="H5" s="145"/>
      <c r="I5" s="145" t="s">
        <v>222</v>
      </c>
      <c r="J5" s="145"/>
      <c r="K5" s="145"/>
      <c r="L5" s="86"/>
      <c r="M5" s="86"/>
    </row>
    <row r="6" spans="1:13" x14ac:dyDescent="0.25">
      <c r="A6" s="87"/>
      <c r="B6" s="34" t="s">
        <v>116</v>
      </c>
      <c r="C6" s="34" t="s">
        <v>202</v>
      </c>
      <c r="D6" s="34" t="s">
        <v>223</v>
      </c>
      <c r="E6" s="87"/>
      <c r="F6" s="34" t="s">
        <v>224</v>
      </c>
      <c r="G6" s="34" t="s">
        <v>225</v>
      </c>
      <c r="H6" s="34" t="s">
        <v>226</v>
      </c>
      <c r="I6" s="34" t="s">
        <v>116</v>
      </c>
      <c r="J6" s="34" t="s">
        <v>202</v>
      </c>
      <c r="K6" s="34" t="s">
        <v>223</v>
      </c>
    </row>
    <row r="7" spans="1:13" x14ac:dyDescent="0.25">
      <c r="A7" t="s">
        <v>227</v>
      </c>
      <c r="B7">
        <v>8</v>
      </c>
      <c r="C7">
        <v>1</v>
      </c>
      <c r="D7">
        <f t="shared" ref="D7:D16" si="0">C7^2</f>
        <v>1</v>
      </c>
      <c r="F7">
        <v>2</v>
      </c>
      <c r="G7">
        <v>8</v>
      </c>
      <c r="H7">
        <v>15</v>
      </c>
      <c r="I7" s="14">
        <f t="shared" ref="I7:I16" si="1">(F7+4*G7+H7)/6</f>
        <v>8.1666666666666661</v>
      </c>
      <c r="J7" s="14">
        <f t="shared" ref="J7:J16" si="2">(H7-F7)/6</f>
        <v>2.1666666666666665</v>
      </c>
      <c r="K7" s="14">
        <f t="shared" ref="K7:K16" si="3">J7^2</f>
        <v>4.6944444444444438</v>
      </c>
    </row>
    <row r="8" spans="1:13" x14ac:dyDescent="0.25">
      <c r="A8" t="s">
        <v>228</v>
      </c>
      <c r="B8">
        <v>2</v>
      </c>
      <c r="C8">
        <v>0.1</v>
      </c>
      <c r="D8">
        <f t="shared" si="0"/>
        <v>1.0000000000000002E-2</v>
      </c>
      <c r="F8">
        <v>1</v>
      </c>
      <c r="G8">
        <v>2</v>
      </c>
      <c r="H8">
        <v>4</v>
      </c>
      <c r="I8" s="14">
        <f t="shared" si="1"/>
        <v>2.1666666666666665</v>
      </c>
      <c r="J8" s="14">
        <f t="shared" si="2"/>
        <v>0.5</v>
      </c>
      <c r="K8" s="14">
        <f t="shared" si="3"/>
        <v>0.25</v>
      </c>
    </row>
    <row r="9" spans="1:13" x14ac:dyDescent="0.25">
      <c r="A9" t="s">
        <v>229</v>
      </c>
      <c r="B9">
        <v>2</v>
      </c>
      <c r="C9">
        <v>0.3</v>
      </c>
      <c r="D9">
        <f t="shared" si="0"/>
        <v>0.09</v>
      </c>
      <c r="F9">
        <v>1</v>
      </c>
      <c r="G9">
        <v>2</v>
      </c>
      <c r="H9">
        <v>3</v>
      </c>
      <c r="I9" s="14">
        <f t="shared" si="1"/>
        <v>2</v>
      </c>
      <c r="J9" s="14">
        <f t="shared" si="2"/>
        <v>0.33333333333333331</v>
      </c>
      <c r="K9" s="14">
        <f t="shared" si="3"/>
        <v>0.1111111111111111</v>
      </c>
    </row>
    <row r="10" spans="1:13" x14ac:dyDescent="0.25">
      <c r="A10" t="s">
        <v>230</v>
      </c>
      <c r="B10">
        <v>6</v>
      </c>
      <c r="C10">
        <v>2</v>
      </c>
      <c r="D10">
        <f t="shared" si="0"/>
        <v>4</v>
      </c>
      <c r="F10">
        <v>2</v>
      </c>
      <c r="G10">
        <v>6</v>
      </c>
      <c r="H10">
        <v>10</v>
      </c>
      <c r="I10" s="14">
        <f t="shared" si="1"/>
        <v>6</v>
      </c>
      <c r="J10" s="14">
        <f t="shared" si="2"/>
        <v>1.3333333333333333</v>
      </c>
      <c r="K10" s="14">
        <f t="shared" si="3"/>
        <v>1.7777777777777777</v>
      </c>
    </row>
    <row r="11" spans="1:13" x14ac:dyDescent="0.25">
      <c r="A11" t="s">
        <v>231</v>
      </c>
      <c r="B11">
        <v>4</v>
      </c>
      <c r="C11">
        <v>0.5</v>
      </c>
      <c r="D11">
        <f t="shared" si="0"/>
        <v>0.25</v>
      </c>
      <c r="F11">
        <v>3</v>
      </c>
      <c r="G11">
        <v>4</v>
      </c>
      <c r="H11">
        <v>6</v>
      </c>
      <c r="I11" s="14">
        <f t="shared" si="1"/>
        <v>4.166666666666667</v>
      </c>
      <c r="J11" s="14">
        <f t="shared" si="2"/>
        <v>0.5</v>
      </c>
      <c r="K11" s="14">
        <f t="shared" si="3"/>
        <v>0.25</v>
      </c>
    </row>
    <row r="12" spans="1:13" x14ac:dyDescent="0.25">
      <c r="A12" t="s">
        <v>232</v>
      </c>
      <c r="B12">
        <v>3</v>
      </c>
      <c r="C12">
        <v>0.1</v>
      </c>
      <c r="D12">
        <f t="shared" si="0"/>
        <v>1.0000000000000002E-2</v>
      </c>
      <c r="F12">
        <v>1</v>
      </c>
      <c r="G12">
        <v>3</v>
      </c>
      <c r="H12">
        <v>6</v>
      </c>
      <c r="I12" s="14">
        <f t="shared" si="1"/>
        <v>3.1666666666666665</v>
      </c>
      <c r="J12" s="14">
        <f t="shared" si="2"/>
        <v>0.83333333333333337</v>
      </c>
      <c r="K12" s="14">
        <f t="shared" si="3"/>
        <v>0.69444444444444453</v>
      </c>
    </row>
    <row r="13" spans="1:13" x14ac:dyDescent="0.25">
      <c r="A13" t="s">
        <v>233</v>
      </c>
      <c r="B13">
        <v>4</v>
      </c>
      <c r="C13">
        <v>1.5</v>
      </c>
      <c r="D13">
        <f t="shared" si="0"/>
        <v>2.25</v>
      </c>
      <c r="F13">
        <v>1</v>
      </c>
      <c r="G13">
        <v>4</v>
      </c>
      <c r="H13">
        <v>6</v>
      </c>
      <c r="I13" s="14">
        <f t="shared" si="1"/>
        <v>3.8333333333333335</v>
      </c>
      <c r="J13" s="14">
        <f t="shared" si="2"/>
        <v>0.83333333333333337</v>
      </c>
      <c r="K13" s="14">
        <f t="shared" si="3"/>
        <v>0.69444444444444453</v>
      </c>
    </row>
    <row r="14" spans="1:13" x14ac:dyDescent="0.25">
      <c r="A14" t="s">
        <v>234</v>
      </c>
      <c r="B14">
        <v>6</v>
      </c>
      <c r="C14">
        <v>1.8</v>
      </c>
      <c r="D14">
        <f t="shared" si="0"/>
        <v>3.24</v>
      </c>
      <c r="F14">
        <v>1</v>
      </c>
      <c r="G14">
        <v>6</v>
      </c>
      <c r="H14">
        <v>9</v>
      </c>
      <c r="I14" s="14">
        <f t="shared" si="1"/>
        <v>5.666666666666667</v>
      </c>
      <c r="J14" s="14">
        <f t="shared" si="2"/>
        <v>1.3333333333333333</v>
      </c>
      <c r="K14" s="14">
        <f t="shared" si="3"/>
        <v>1.7777777777777777</v>
      </c>
    </row>
    <row r="15" spans="1:13" x14ac:dyDescent="0.25">
      <c r="A15" t="s">
        <v>235</v>
      </c>
      <c r="B15">
        <v>8</v>
      </c>
      <c r="C15">
        <v>2.4</v>
      </c>
      <c r="D15">
        <f t="shared" si="0"/>
        <v>5.76</v>
      </c>
      <c r="F15">
        <v>4</v>
      </c>
      <c r="G15">
        <v>8</v>
      </c>
      <c r="H15">
        <v>14</v>
      </c>
      <c r="I15" s="14">
        <f t="shared" si="1"/>
        <v>8.3333333333333339</v>
      </c>
      <c r="J15" s="14">
        <f t="shared" si="2"/>
        <v>1.6666666666666667</v>
      </c>
      <c r="K15" s="14">
        <f t="shared" si="3"/>
        <v>2.7777777777777781</v>
      </c>
    </row>
    <row r="16" spans="1:13" x14ac:dyDescent="0.25">
      <c r="A16" s="87" t="s">
        <v>236</v>
      </c>
      <c r="B16" s="87">
        <v>12</v>
      </c>
      <c r="C16" s="87">
        <v>3.2</v>
      </c>
      <c r="D16" s="87">
        <f t="shared" si="0"/>
        <v>10.240000000000002</v>
      </c>
      <c r="E16" s="87"/>
      <c r="F16" s="87">
        <v>3</v>
      </c>
      <c r="G16" s="87">
        <v>12</v>
      </c>
      <c r="H16" s="87">
        <v>22</v>
      </c>
      <c r="I16" s="88">
        <f t="shared" si="1"/>
        <v>12.166666666666666</v>
      </c>
      <c r="J16" s="88">
        <f t="shared" si="2"/>
        <v>3.1666666666666665</v>
      </c>
      <c r="K16" s="88">
        <f t="shared" si="3"/>
        <v>10.027777777777777</v>
      </c>
    </row>
    <row r="17" spans="1:11" x14ac:dyDescent="0.25">
      <c r="A17" t="s">
        <v>183</v>
      </c>
      <c r="B17">
        <f>SUM(B7:B16)</f>
        <v>55</v>
      </c>
      <c r="C17" s="42">
        <f>SQRT(D17)</f>
        <v>5.1816985632126462</v>
      </c>
      <c r="D17">
        <f>SUM(D7:D16)</f>
        <v>26.85</v>
      </c>
      <c r="F17">
        <f>SUM(F7:F16)</f>
        <v>19</v>
      </c>
      <c r="G17">
        <f>SUM(G7:G16)</f>
        <v>55</v>
      </c>
      <c r="H17">
        <f>SUM(H7:H16)</f>
        <v>95</v>
      </c>
      <c r="I17" s="14">
        <f>SUM(I7:I16)</f>
        <v>55.666666666666664</v>
      </c>
      <c r="J17" s="14">
        <f>SQRT(K17)</f>
        <v>4.8016200969626448</v>
      </c>
      <c r="K17" s="14">
        <f>SUM(K7:K16)</f>
        <v>23.055555555555557</v>
      </c>
    </row>
    <row r="19" spans="1:11" x14ac:dyDescent="0.25">
      <c r="H19" s="3" t="s">
        <v>237</v>
      </c>
      <c r="I19" s="89">
        <f>(I17-F17)/(H17-F17)*((I17-F17)*(H17-I17)/K17-1)</f>
        <v>29.697209892200377</v>
      </c>
    </row>
    <row r="20" spans="1:11" ht="13" x14ac:dyDescent="0.3">
      <c r="A20" t="s">
        <v>238</v>
      </c>
      <c r="H20" s="3" t="s">
        <v>239</v>
      </c>
      <c r="I20" s="89">
        <f>I19*(H17-I17)/(I17-F17)</f>
        <v>31.857006975269499</v>
      </c>
    </row>
    <row r="21" spans="1:11" x14ac:dyDescent="0.25">
      <c r="B21" s="3" t="s">
        <v>110</v>
      </c>
      <c r="C21" s="3" t="s">
        <v>239</v>
      </c>
      <c r="H21" s="3"/>
      <c r="J21" s="3"/>
    </row>
    <row r="22" spans="1:11" x14ac:dyDescent="0.25">
      <c r="A22" s="3" t="s">
        <v>197</v>
      </c>
      <c r="B22" s="3" t="s">
        <v>240</v>
      </c>
      <c r="C22" s="3" t="s">
        <v>240</v>
      </c>
      <c r="J22" s="89"/>
    </row>
    <row r="23" spans="1:11" x14ac:dyDescent="0.25">
      <c r="A23">
        <v>40</v>
      </c>
      <c r="B23" s="89">
        <f>NORMDIST(A23,$B$17,$C$17,1)</f>
        <v>1.8969787356127971E-3</v>
      </c>
      <c r="C23" s="89">
        <f>BETADIST(A23,$I$19,$I$20,$F$17,$H$17)</f>
        <v>3.2471221466039385E-4</v>
      </c>
      <c r="J23" s="89"/>
    </row>
    <row r="24" spans="1:11" x14ac:dyDescent="0.25">
      <c r="A24">
        <v>50</v>
      </c>
      <c r="B24" s="89">
        <f>NORMDIST(A24,$B$17,$C$17,1)</f>
        <v>0.16728879607332794</v>
      </c>
      <c r="C24" s="89">
        <f>BETADIST(A24,$I$19,$I$20,$F$17,$H$17)</f>
        <v>0.12025430389717198</v>
      </c>
      <c r="J24" s="89"/>
    </row>
    <row r="25" spans="1:11" x14ac:dyDescent="0.25">
      <c r="A25">
        <v>60</v>
      </c>
      <c r="B25" s="89">
        <f>NORMDIST(A25,$B$17,$C$17,1)</f>
        <v>0.83271120392667208</v>
      </c>
      <c r="C25" s="89">
        <f>BETADIST(A25,$I$19,$I$20,$F$17,$H$17)</f>
        <v>0.81463737960366733</v>
      </c>
    </row>
    <row r="29" spans="1:11" x14ac:dyDescent="0.25">
      <c r="B29" s="3" t="s">
        <v>110</v>
      </c>
      <c r="C29" s="3" t="s">
        <v>239</v>
      </c>
    </row>
    <row r="30" spans="1:11" x14ac:dyDescent="0.25">
      <c r="A30">
        <v>10</v>
      </c>
      <c r="B30">
        <f t="shared" ref="B30:B75" si="4">NORMDIST(A30,$B$17,$C$17,1)</f>
        <v>1.903549499797579E-18</v>
      </c>
    </row>
    <row r="31" spans="1:11" x14ac:dyDescent="0.25">
      <c r="A31">
        <v>12</v>
      </c>
      <c r="B31">
        <f t="shared" si="4"/>
        <v>5.2744930103054454E-17</v>
      </c>
    </row>
    <row r="32" spans="1:11" x14ac:dyDescent="0.25">
      <c r="A32">
        <v>14</v>
      </c>
      <c r="B32">
        <f t="shared" si="4"/>
        <v>1.2617258063571043E-15</v>
      </c>
    </row>
    <row r="33" spans="1:3" x14ac:dyDescent="0.25">
      <c r="A33">
        <v>16</v>
      </c>
      <c r="B33">
        <f t="shared" si="4"/>
        <v>2.6061327997954748E-14</v>
      </c>
    </row>
    <row r="34" spans="1:3" x14ac:dyDescent="0.25">
      <c r="A34">
        <v>18</v>
      </c>
      <c r="B34">
        <f t="shared" si="4"/>
        <v>4.6490701367767182E-13</v>
      </c>
    </row>
    <row r="35" spans="1:3" x14ac:dyDescent="0.25">
      <c r="A35">
        <v>20</v>
      </c>
      <c r="B35">
        <f t="shared" si="4"/>
        <v>7.1643633687901325E-12</v>
      </c>
      <c r="C35">
        <f t="shared" ref="C35:C71" si="5">BETADIST(A35,$I$19,$I$20,$F$17,$H$17)</f>
        <v>1.6084399594929074E-39</v>
      </c>
    </row>
    <row r="36" spans="1:3" x14ac:dyDescent="0.25">
      <c r="A36">
        <v>22</v>
      </c>
      <c r="B36">
        <f t="shared" si="4"/>
        <v>9.5400547749323298E-11</v>
      </c>
      <c r="C36">
        <f t="shared" si="5"/>
        <v>1.0611559801301856E-25</v>
      </c>
    </row>
    <row r="37" spans="1:3" x14ac:dyDescent="0.25">
      <c r="A37">
        <v>24</v>
      </c>
      <c r="B37">
        <f t="shared" si="4"/>
        <v>1.0980568198499119E-9</v>
      </c>
      <c r="C37">
        <f t="shared" si="5"/>
        <v>1.799912538729063E-19</v>
      </c>
    </row>
    <row r="38" spans="1:3" x14ac:dyDescent="0.25">
      <c r="A38">
        <v>26</v>
      </c>
      <c r="B38">
        <f t="shared" si="4"/>
        <v>1.0928526086589491E-8</v>
      </c>
      <c r="C38">
        <f t="shared" si="5"/>
        <v>1.6848933104256611E-15</v>
      </c>
    </row>
    <row r="39" spans="1:3" x14ac:dyDescent="0.25">
      <c r="A39">
        <v>28</v>
      </c>
      <c r="B39">
        <f t="shared" si="4"/>
        <v>9.4091806238858412E-8</v>
      </c>
      <c r="C39">
        <f t="shared" si="5"/>
        <v>1.2293243022422543E-12</v>
      </c>
    </row>
    <row r="40" spans="1:3" x14ac:dyDescent="0.25">
      <c r="A40">
        <v>30</v>
      </c>
      <c r="B40">
        <f t="shared" si="4"/>
        <v>7.0116653510457681E-7</v>
      </c>
      <c r="C40">
        <f t="shared" si="5"/>
        <v>1.9462005952181811E-10</v>
      </c>
    </row>
    <row r="41" spans="1:3" x14ac:dyDescent="0.25">
      <c r="A41">
        <v>32</v>
      </c>
      <c r="B41">
        <f t="shared" si="4"/>
        <v>4.5252150256096978E-6</v>
      </c>
      <c r="C41">
        <f t="shared" si="5"/>
        <v>1.107213296373138E-8</v>
      </c>
    </row>
    <row r="42" spans="1:3" x14ac:dyDescent="0.25">
      <c r="A42">
        <v>34</v>
      </c>
      <c r="B42">
        <f t="shared" si="4"/>
        <v>2.5312234161752791E-5</v>
      </c>
      <c r="C42">
        <f t="shared" si="5"/>
        <v>3.0123081905324111E-7</v>
      </c>
    </row>
    <row r="43" spans="1:3" x14ac:dyDescent="0.25">
      <c r="A43">
        <v>36</v>
      </c>
      <c r="B43">
        <f t="shared" si="4"/>
        <v>1.2282574407153734E-4</v>
      </c>
      <c r="C43">
        <f t="shared" si="5"/>
        <v>4.6798340965251431E-6</v>
      </c>
    </row>
    <row r="44" spans="1:3" x14ac:dyDescent="0.25">
      <c r="A44">
        <v>38</v>
      </c>
      <c r="B44">
        <f t="shared" si="4"/>
        <v>5.1760688911193457E-4</v>
      </c>
      <c r="C44">
        <f t="shared" si="5"/>
        <v>4.6694140957076276E-5</v>
      </c>
    </row>
    <row r="45" spans="1:3" x14ac:dyDescent="0.25">
      <c r="A45">
        <v>40</v>
      </c>
      <c r="B45">
        <f t="shared" si="4"/>
        <v>1.8969787356127971E-3</v>
      </c>
      <c r="C45">
        <f t="shared" si="5"/>
        <v>3.2471221466039385E-4</v>
      </c>
    </row>
    <row r="46" spans="1:3" x14ac:dyDescent="0.25">
      <c r="A46">
        <v>42</v>
      </c>
      <c r="B46">
        <f t="shared" si="4"/>
        <v>6.0565909051588825E-3</v>
      </c>
      <c r="C46">
        <f t="shared" si="5"/>
        <v>1.6695656084315879E-3</v>
      </c>
    </row>
    <row r="47" spans="1:3" x14ac:dyDescent="0.25">
      <c r="A47">
        <v>44</v>
      </c>
      <c r="B47">
        <f t="shared" si="4"/>
        <v>1.6882959319215532E-2</v>
      </c>
      <c r="C47">
        <f t="shared" si="5"/>
        <v>6.6333504742700656E-3</v>
      </c>
    </row>
    <row r="48" spans="1:3" x14ac:dyDescent="0.25">
      <c r="A48">
        <v>46</v>
      </c>
      <c r="B48">
        <f t="shared" si="4"/>
        <v>4.120398296092341E-2</v>
      </c>
      <c r="C48">
        <f t="shared" si="5"/>
        <v>2.106721021605756E-2</v>
      </c>
    </row>
    <row r="49" spans="1:3" x14ac:dyDescent="0.25">
      <c r="A49">
        <v>48</v>
      </c>
      <c r="B49">
        <f t="shared" si="4"/>
        <v>8.8362392105196502E-2</v>
      </c>
      <c r="C49">
        <f t="shared" si="5"/>
        <v>5.4938768859196761E-2</v>
      </c>
    </row>
    <row r="50" spans="1:3" x14ac:dyDescent="0.25">
      <c r="A50">
        <v>50</v>
      </c>
      <c r="B50">
        <f t="shared" si="4"/>
        <v>0.16728879607332794</v>
      </c>
      <c r="C50">
        <f t="shared" si="5"/>
        <v>0.12025430389717198</v>
      </c>
    </row>
    <row r="51" spans="1:3" x14ac:dyDescent="0.25">
      <c r="A51">
        <v>52</v>
      </c>
      <c r="B51">
        <f t="shared" si="4"/>
        <v>0.28130783434962381</v>
      </c>
      <c r="C51">
        <f t="shared" si="5"/>
        <v>0.22514292492281163</v>
      </c>
    </row>
    <row r="52" spans="1:3" x14ac:dyDescent="0.25">
      <c r="A52">
        <v>54</v>
      </c>
      <c r="B52">
        <f t="shared" si="4"/>
        <v>0.42348460941218619</v>
      </c>
      <c r="C52">
        <f t="shared" si="5"/>
        <v>0.3667580644489401</v>
      </c>
    </row>
    <row r="53" spans="1:3" x14ac:dyDescent="0.25">
      <c r="A53">
        <v>56</v>
      </c>
      <c r="B53">
        <f t="shared" si="4"/>
        <v>0.57651539058781376</v>
      </c>
      <c r="C53">
        <f t="shared" si="5"/>
        <v>0.52852488785509133</v>
      </c>
    </row>
    <row r="54" spans="1:3" x14ac:dyDescent="0.25">
      <c r="A54">
        <v>58</v>
      </c>
      <c r="B54">
        <f t="shared" si="4"/>
        <v>0.71869216565037619</v>
      </c>
      <c r="C54">
        <f t="shared" si="5"/>
        <v>0.68539737995115546</v>
      </c>
    </row>
    <row r="55" spans="1:3" x14ac:dyDescent="0.25">
      <c r="A55">
        <v>60</v>
      </c>
      <c r="B55">
        <f t="shared" si="4"/>
        <v>0.83271120392667208</v>
      </c>
      <c r="C55">
        <f t="shared" si="5"/>
        <v>0.81463737960366733</v>
      </c>
    </row>
    <row r="56" spans="1:3" x14ac:dyDescent="0.25">
      <c r="A56">
        <v>62</v>
      </c>
      <c r="B56">
        <f t="shared" si="4"/>
        <v>0.91163760789480353</v>
      </c>
      <c r="C56">
        <f t="shared" si="5"/>
        <v>0.90492200932810718</v>
      </c>
    </row>
    <row r="57" spans="1:3" x14ac:dyDescent="0.25">
      <c r="A57">
        <v>64</v>
      </c>
      <c r="B57">
        <f t="shared" si="4"/>
        <v>0.95879601703907658</v>
      </c>
      <c r="C57">
        <f t="shared" si="5"/>
        <v>0.95815632947802554</v>
      </c>
    </row>
    <row r="58" spans="1:3" x14ac:dyDescent="0.25">
      <c r="A58">
        <v>66</v>
      </c>
      <c r="B58">
        <f t="shared" si="4"/>
        <v>0.98311704068078443</v>
      </c>
      <c r="C58">
        <f t="shared" si="5"/>
        <v>0.98444945557212638</v>
      </c>
    </row>
    <row r="59" spans="1:3" x14ac:dyDescent="0.25">
      <c r="A59">
        <v>68</v>
      </c>
      <c r="B59">
        <f t="shared" si="4"/>
        <v>0.99394340909484113</v>
      </c>
      <c r="C59">
        <f t="shared" si="5"/>
        <v>0.99520951664154578</v>
      </c>
    </row>
    <row r="60" spans="1:3" x14ac:dyDescent="0.25">
      <c r="A60">
        <v>70</v>
      </c>
      <c r="B60">
        <f t="shared" si="4"/>
        <v>0.99810302126438721</v>
      </c>
      <c r="C60">
        <f t="shared" si="5"/>
        <v>0.99880385405009786</v>
      </c>
    </row>
    <row r="61" spans="1:3" x14ac:dyDescent="0.25">
      <c r="A61">
        <v>72</v>
      </c>
      <c r="B61">
        <f t="shared" si="4"/>
        <v>0.99948239311088805</v>
      </c>
      <c r="C61">
        <f t="shared" si="5"/>
        <v>0.99976460879250262</v>
      </c>
    </row>
    <row r="62" spans="1:3" x14ac:dyDescent="0.25">
      <c r="A62">
        <v>74</v>
      </c>
      <c r="B62">
        <f t="shared" si="4"/>
        <v>0.99987717425592848</v>
      </c>
      <c r="C62">
        <f t="shared" si="5"/>
        <v>0.99996477765455061</v>
      </c>
    </row>
    <row r="63" spans="1:3" x14ac:dyDescent="0.25">
      <c r="A63">
        <v>76</v>
      </c>
      <c r="B63">
        <f t="shared" si="4"/>
        <v>0.9999746877658382</v>
      </c>
      <c r="C63">
        <f t="shared" si="5"/>
        <v>0.99999617662182494</v>
      </c>
    </row>
    <row r="64" spans="1:3" x14ac:dyDescent="0.25">
      <c r="A64">
        <v>78</v>
      </c>
      <c r="B64">
        <f t="shared" si="4"/>
        <v>0.99999547478497441</v>
      </c>
      <c r="C64">
        <f t="shared" si="5"/>
        <v>0.99999971737083837</v>
      </c>
    </row>
    <row r="65" spans="1:3" x14ac:dyDescent="0.25">
      <c r="A65">
        <v>80</v>
      </c>
      <c r="B65">
        <f t="shared" si="4"/>
        <v>0.99999929883346494</v>
      </c>
      <c r="C65">
        <f t="shared" si="5"/>
        <v>0.99999998696613923</v>
      </c>
    </row>
    <row r="66" spans="1:3" x14ac:dyDescent="0.25">
      <c r="A66">
        <v>82</v>
      </c>
      <c r="B66">
        <f t="shared" si="4"/>
        <v>0.99999990590819376</v>
      </c>
      <c r="C66">
        <f t="shared" si="5"/>
        <v>0.99999999966942488</v>
      </c>
    </row>
    <row r="67" spans="1:3" x14ac:dyDescent="0.25">
      <c r="A67">
        <v>84</v>
      </c>
      <c r="B67">
        <f t="shared" si="4"/>
        <v>0.99999998907147392</v>
      </c>
      <c r="C67">
        <f t="shared" si="5"/>
        <v>0.99999999999618794</v>
      </c>
    </row>
    <row r="68" spans="1:3" x14ac:dyDescent="0.25">
      <c r="A68">
        <v>86</v>
      </c>
      <c r="B68">
        <f t="shared" si="4"/>
        <v>0.99999999890194313</v>
      </c>
      <c r="C68">
        <f t="shared" si="5"/>
        <v>0.99999999999998535</v>
      </c>
    </row>
    <row r="69" spans="1:3" x14ac:dyDescent="0.25">
      <c r="A69">
        <v>88</v>
      </c>
      <c r="B69">
        <f t="shared" si="4"/>
        <v>0.99999999990459942</v>
      </c>
      <c r="C69">
        <f t="shared" si="5"/>
        <v>1</v>
      </c>
    </row>
    <row r="70" spans="1:3" x14ac:dyDescent="0.25">
      <c r="A70">
        <v>90</v>
      </c>
      <c r="B70">
        <f t="shared" si="4"/>
        <v>0.99999999999283562</v>
      </c>
      <c r="C70">
        <f t="shared" si="5"/>
        <v>1</v>
      </c>
    </row>
    <row r="71" spans="1:3" x14ac:dyDescent="0.25">
      <c r="A71">
        <v>92</v>
      </c>
      <c r="B71">
        <f t="shared" si="4"/>
        <v>0.99999999999953504</v>
      </c>
      <c r="C71">
        <f t="shared" si="5"/>
        <v>1</v>
      </c>
    </row>
    <row r="72" spans="1:3" x14ac:dyDescent="0.25">
      <c r="A72">
        <v>94</v>
      </c>
      <c r="B72">
        <f t="shared" si="4"/>
        <v>0.99999999999997391</v>
      </c>
    </row>
    <row r="73" spans="1:3" x14ac:dyDescent="0.25">
      <c r="A73">
        <v>96</v>
      </c>
      <c r="B73">
        <f t="shared" si="4"/>
        <v>0.99999999999999878</v>
      </c>
    </row>
    <row r="74" spans="1:3" x14ac:dyDescent="0.25">
      <c r="A74">
        <v>98</v>
      </c>
      <c r="B74">
        <f t="shared" si="4"/>
        <v>1</v>
      </c>
    </row>
    <row r="75" spans="1:3" x14ac:dyDescent="0.25">
      <c r="A75">
        <v>100</v>
      </c>
      <c r="B75">
        <f t="shared" si="4"/>
        <v>1</v>
      </c>
    </row>
  </sheetData>
  <mergeCells count="3">
    <mergeCell ref="B5:D5"/>
    <mergeCell ref="F5:H5"/>
    <mergeCell ref="I5:K5"/>
  </mergeCells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opLeftCell="A4" workbookViewId="0"/>
  </sheetViews>
  <sheetFormatPr defaultColWidth="11.453125" defaultRowHeight="12.5" x14ac:dyDescent="0.25"/>
  <cols>
    <col min="1" max="16384" width="11.453125" style="90"/>
  </cols>
  <sheetData>
    <row r="1" spans="1:15" ht="13" x14ac:dyDescent="0.3">
      <c r="A1" s="2" t="s">
        <v>218</v>
      </c>
    </row>
    <row r="2" spans="1:15" x14ac:dyDescent="0.25">
      <c r="A2"/>
    </row>
    <row r="3" spans="1:15" x14ac:dyDescent="0.25">
      <c r="A3" t="s">
        <v>219</v>
      </c>
    </row>
    <row r="6" spans="1:15" x14ac:dyDescent="0.25">
      <c r="A6" s="91"/>
      <c r="B6" s="34" t="s">
        <v>116</v>
      </c>
      <c r="C6" s="34" t="s">
        <v>202</v>
      </c>
      <c r="D6" s="34" t="s">
        <v>223</v>
      </c>
      <c r="F6" s="92" t="s">
        <v>241</v>
      </c>
    </row>
    <row r="7" spans="1:15" x14ac:dyDescent="0.25">
      <c r="A7" t="s">
        <v>227</v>
      </c>
      <c r="B7" s="90">
        <v>8</v>
      </c>
      <c r="C7" s="90">
        <v>1</v>
      </c>
      <c r="D7" s="90">
        <f t="shared" ref="D7:D16" si="0">C7^2</f>
        <v>1</v>
      </c>
      <c r="F7" s="90">
        <v>1</v>
      </c>
      <c r="G7" s="90">
        <f t="array" ref="G7:O7">TRANSPOSE(F8:F16)</f>
        <v>0.5</v>
      </c>
      <c r="H7" s="90">
        <v>0.4</v>
      </c>
      <c r="I7" s="90">
        <v>0.3</v>
      </c>
      <c r="J7" s="90">
        <v>0.1</v>
      </c>
      <c r="K7" s="90">
        <v>0</v>
      </c>
      <c r="L7" s="90">
        <v>0.2</v>
      </c>
      <c r="M7" s="90">
        <v>0.4</v>
      </c>
      <c r="N7" s="90">
        <v>0.2</v>
      </c>
      <c r="O7" s="90">
        <v>0.1</v>
      </c>
    </row>
    <row r="8" spans="1:15" x14ac:dyDescent="0.25">
      <c r="A8" t="s">
        <v>228</v>
      </c>
      <c r="B8" s="90">
        <v>2</v>
      </c>
      <c r="C8" s="90">
        <v>0.1</v>
      </c>
      <c r="D8" s="90">
        <f t="shared" si="0"/>
        <v>1.0000000000000002E-2</v>
      </c>
      <c r="F8" s="90">
        <v>0.5</v>
      </c>
      <c r="G8" s="90">
        <v>1</v>
      </c>
      <c r="H8" s="90">
        <f t="array" ref="H8:O8">TRANSPOSE(G9:G16)</f>
        <v>0.1</v>
      </c>
      <c r="I8" s="90">
        <v>0</v>
      </c>
      <c r="J8" s="90">
        <v>0.3</v>
      </c>
      <c r="K8" s="90">
        <v>0.1</v>
      </c>
      <c r="L8" s="90">
        <v>0.3</v>
      </c>
      <c r="M8" s="90">
        <v>0.3</v>
      </c>
      <c r="N8" s="90">
        <v>0.2</v>
      </c>
      <c r="O8" s="90">
        <v>0</v>
      </c>
    </row>
    <row r="9" spans="1:15" x14ac:dyDescent="0.25">
      <c r="A9" t="s">
        <v>229</v>
      </c>
      <c r="B9" s="90">
        <v>2</v>
      </c>
      <c r="C9" s="90">
        <v>0.3</v>
      </c>
      <c r="D9" s="90">
        <f t="shared" si="0"/>
        <v>0.09</v>
      </c>
      <c r="F9" s="90">
        <v>0.4</v>
      </c>
      <c r="G9" s="90">
        <v>0.1</v>
      </c>
      <c r="H9" s="90">
        <v>1</v>
      </c>
      <c r="I9" s="90">
        <f t="array" ref="I9:O9">TRANSPOSE(H10:H16)</f>
        <v>0.6</v>
      </c>
      <c r="J9" s="90">
        <v>0.5</v>
      </c>
      <c r="K9" s="90">
        <v>0.1</v>
      </c>
      <c r="L9" s="90">
        <v>0</v>
      </c>
      <c r="M9" s="90">
        <v>0.5</v>
      </c>
      <c r="N9" s="90">
        <v>0.1</v>
      </c>
      <c r="O9" s="90">
        <v>0</v>
      </c>
    </row>
    <row r="10" spans="1:15" x14ac:dyDescent="0.25">
      <c r="A10" t="s">
        <v>230</v>
      </c>
      <c r="B10" s="90">
        <v>6</v>
      </c>
      <c r="C10" s="90">
        <v>2</v>
      </c>
      <c r="D10" s="90">
        <f t="shared" si="0"/>
        <v>4</v>
      </c>
      <c r="F10" s="90">
        <v>0.3</v>
      </c>
      <c r="G10" s="90">
        <v>0</v>
      </c>
      <c r="H10" s="90">
        <v>0.6</v>
      </c>
      <c r="I10" s="90">
        <v>1</v>
      </c>
      <c r="J10" s="90">
        <f t="array" ref="J10:O10">TRANSPOSE(I11:I16)</f>
        <v>0.8</v>
      </c>
      <c r="K10" s="90">
        <v>0.2</v>
      </c>
      <c r="L10" s="90">
        <v>0.1</v>
      </c>
      <c r="M10" s="90">
        <v>0</v>
      </c>
      <c r="N10" s="90">
        <v>0</v>
      </c>
      <c r="O10" s="90">
        <v>0.2</v>
      </c>
    </row>
    <row r="11" spans="1:15" x14ac:dyDescent="0.25">
      <c r="A11" t="s">
        <v>231</v>
      </c>
      <c r="B11" s="90">
        <v>4</v>
      </c>
      <c r="C11" s="90">
        <v>0.5</v>
      </c>
      <c r="D11" s="90">
        <f t="shared" si="0"/>
        <v>0.25</v>
      </c>
      <c r="F11" s="90">
        <v>0.1</v>
      </c>
      <c r="G11" s="90">
        <v>0.3</v>
      </c>
      <c r="H11" s="90">
        <v>0.5</v>
      </c>
      <c r="I11" s="90">
        <v>0.8</v>
      </c>
      <c r="J11" s="90">
        <v>1</v>
      </c>
      <c r="K11" s="90">
        <f t="array" ref="K11:O11">TRANSPOSE(J12:J16)</f>
        <v>0.2</v>
      </c>
      <c r="L11" s="90">
        <v>0.3</v>
      </c>
      <c r="M11" s="90">
        <v>0.3</v>
      </c>
      <c r="N11" s="90">
        <v>0.3</v>
      </c>
      <c r="O11" s="90">
        <v>0.1</v>
      </c>
    </row>
    <row r="12" spans="1:15" x14ac:dyDescent="0.25">
      <c r="A12" t="s">
        <v>232</v>
      </c>
      <c r="B12" s="90">
        <v>3</v>
      </c>
      <c r="C12" s="90">
        <v>0.1</v>
      </c>
      <c r="D12" s="90">
        <f t="shared" si="0"/>
        <v>1.0000000000000002E-2</v>
      </c>
      <c r="F12" s="90">
        <v>0</v>
      </c>
      <c r="G12" s="90">
        <v>0.1</v>
      </c>
      <c r="H12" s="90">
        <v>0.1</v>
      </c>
      <c r="I12" s="90">
        <v>0.2</v>
      </c>
      <c r="J12" s="90">
        <v>0.2</v>
      </c>
      <c r="K12" s="90">
        <v>1</v>
      </c>
      <c r="L12" s="90">
        <f t="array" ref="L12:O12">TRANSPOSE(K13:K16)</f>
        <v>0.4</v>
      </c>
      <c r="M12" s="90">
        <v>0.4</v>
      </c>
      <c r="N12" s="90">
        <v>0.5</v>
      </c>
      <c r="O12" s="90">
        <v>0</v>
      </c>
    </row>
    <row r="13" spans="1:15" x14ac:dyDescent="0.25">
      <c r="A13" t="s">
        <v>233</v>
      </c>
      <c r="B13" s="90">
        <v>4</v>
      </c>
      <c r="C13" s="90">
        <v>1.5</v>
      </c>
      <c r="D13" s="90">
        <f t="shared" si="0"/>
        <v>2.25</v>
      </c>
      <c r="F13" s="90">
        <v>0.2</v>
      </c>
      <c r="G13" s="90">
        <v>0.3</v>
      </c>
      <c r="H13" s="90">
        <v>0</v>
      </c>
      <c r="I13" s="90">
        <v>0.1</v>
      </c>
      <c r="J13" s="90">
        <v>0.3</v>
      </c>
      <c r="K13" s="90">
        <v>0.4</v>
      </c>
      <c r="L13" s="90">
        <v>1</v>
      </c>
      <c r="M13" s="90">
        <f t="array" ref="M13:O13">TRANSPOSE(L14:L16)</f>
        <v>0.7</v>
      </c>
      <c r="N13" s="90">
        <v>0.8</v>
      </c>
      <c r="O13" s="90">
        <v>0.3</v>
      </c>
    </row>
    <row r="14" spans="1:15" x14ac:dyDescent="0.25">
      <c r="A14" t="s">
        <v>234</v>
      </c>
      <c r="B14" s="90">
        <v>6</v>
      </c>
      <c r="C14" s="90">
        <v>1.8</v>
      </c>
      <c r="D14" s="90">
        <f t="shared" si="0"/>
        <v>3.24</v>
      </c>
      <c r="F14" s="90">
        <v>0.4</v>
      </c>
      <c r="G14" s="90">
        <v>0.3</v>
      </c>
      <c r="H14" s="90">
        <v>0.5</v>
      </c>
      <c r="I14" s="90">
        <v>0</v>
      </c>
      <c r="J14" s="90">
        <v>0.3</v>
      </c>
      <c r="K14" s="90">
        <v>0.4</v>
      </c>
      <c r="L14" s="90">
        <v>0.7</v>
      </c>
      <c r="M14" s="90">
        <v>1</v>
      </c>
      <c r="N14" s="90">
        <f t="array" ref="N14:O14">TRANSPOSE(M15:M16)</f>
        <v>0.9</v>
      </c>
      <c r="O14" s="90">
        <v>0.4</v>
      </c>
    </row>
    <row r="15" spans="1:15" x14ac:dyDescent="0.25">
      <c r="A15" t="s">
        <v>235</v>
      </c>
      <c r="B15" s="90">
        <v>8</v>
      </c>
      <c r="C15" s="90">
        <v>2.4</v>
      </c>
      <c r="D15" s="90">
        <f t="shared" si="0"/>
        <v>5.76</v>
      </c>
      <c r="F15" s="90">
        <v>0.2</v>
      </c>
      <c r="G15" s="93">
        <v>0.2</v>
      </c>
      <c r="H15" s="93">
        <v>0.1</v>
      </c>
      <c r="I15" s="93">
        <v>0</v>
      </c>
      <c r="J15" s="93">
        <v>0.3</v>
      </c>
      <c r="K15" s="93">
        <v>0.5</v>
      </c>
      <c r="L15" s="93">
        <v>0.8</v>
      </c>
      <c r="M15" s="93">
        <v>0.9</v>
      </c>
      <c r="N15" s="90">
        <v>1</v>
      </c>
      <c r="O15" s="90">
        <f>N16</f>
        <v>0.5</v>
      </c>
    </row>
    <row r="16" spans="1:15" x14ac:dyDescent="0.25">
      <c r="A16" s="87" t="s">
        <v>236</v>
      </c>
      <c r="B16" s="91">
        <v>12</v>
      </c>
      <c r="C16" s="91">
        <v>3.2</v>
      </c>
      <c r="D16" s="91">
        <f t="shared" si="0"/>
        <v>10.240000000000002</v>
      </c>
      <c r="F16" s="90">
        <v>0.1</v>
      </c>
      <c r="G16" s="93">
        <v>0</v>
      </c>
      <c r="H16" s="93">
        <v>0</v>
      </c>
      <c r="I16" s="93">
        <v>0.2</v>
      </c>
      <c r="J16" s="93">
        <v>0.1</v>
      </c>
      <c r="K16" s="93">
        <v>0</v>
      </c>
      <c r="L16" s="93">
        <v>0.3</v>
      </c>
      <c r="M16" s="93">
        <v>0.4</v>
      </c>
      <c r="N16" s="93">
        <v>0.5</v>
      </c>
      <c r="O16" s="90">
        <v>1</v>
      </c>
    </row>
    <row r="17" spans="1:16" x14ac:dyDescent="0.25">
      <c r="A17" t="s">
        <v>183</v>
      </c>
      <c r="B17" s="90">
        <f>SUM(B7:B16)</f>
        <v>55</v>
      </c>
      <c r="C17" s="94">
        <f>SQRT(D17)</f>
        <v>8.5965109201349819</v>
      </c>
      <c r="D17" s="90">
        <f t="array" ref="D17">MMULT(MMULT(F28:O28,F18:O27),TRANSPOSE(F28:O28))</f>
        <v>73.900000000000006</v>
      </c>
      <c r="F17" s="92" t="s">
        <v>242</v>
      </c>
    </row>
    <row r="18" spans="1:16" x14ac:dyDescent="0.25">
      <c r="F18" s="90">
        <f t="array" ref="F18:O18">TRANSPOSE($C$7:$C$16)*(F7:O7)*C7</f>
        <v>1</v>
      </c>
      <c r="G18" s="90">
        <v>0.05</v>
      </c>
      <c r="H18" s="90">
        <v>0.12</v>
      </c>
      <c r="I18" s="90">
        <v>0.6</v>
      </c>
      <c r="J18" s="90">
        <v>0.05</v>
      </c>
      <c r="K18" s="90">
        <v>0</v>
      </c>
      <c r="L18" s="90">
        <v>0.30000000000000004</v>
      </c>
      <c r="M18" s="90">
        <v>0.72000000000000008</v>
      </c>
      <c r="N18" s="90">
        <v>0.48</v>
      </c>
      <c r="O18" s="90">
        <v>0.32000000000000006</v>
      </c>
    </row>
    <row r="19" spans="1:16" x14ac:dyDescent="0.25">
      <c r="F19" s="90">
        <f t="array" ref="F19:O19">TRANSPOSE($C$7:$C$16)*(F8:O8)*C8</f>
        <v>0.05</v>
      </c>
      <c r="G19" s="90">
        <v>1.0000000000000002E-2</v>
      </c>
      <c r="H19" s="90">
        <v>3.0000000000000001E-3</v>
      </c>
      <c r="I19" s="90">
        <v>0</v>
      </c>
      <c r="J19" s="90">
        <v>1.4999999999999999E-2</v>
      </c>
      <c r="K19" s="90">
        <v>1.0000000000000002E-3</v>
      </c>
      <c r="L19" s="90">
        <v>4.4999999999999998E-2</v>
      </c>
      <c r="M19" s="90">
        <v>5.4000000000000006E-2</v>
      </c>
      <c r="N19" s="90">
        <v>4.8000000000000001E-2</v>
      </c>
      <c r="O19" s="90">
        <v>0</v>
      </c>
    </row>
    <row r="20" spans="1:16" ht="13" x14ac:dyDescent="0.3">
      <c r="A20" t="s">
        <v>238</v>
      </c>
      <c r="F20" s="90">
        <f t="array" ref="F20:O20">TRANSPOSE($C$7:$C$16)*(F9:O9)*C9</f>
        <v>0.12</v>
      </c>
      <c r="G20" s="90">
        <v>3.0000000000000005E-3</v>
      </c>
      <c r="H20" s="90">
        <v>0.09</v>
      </c>
      <c r="I20" s="90">
        <v>0.36</v>
      </c>
      <c r="J20" s="90">
        <v>7.4999999999999997E-2</v>
      </c>
      <c r="K20" s="90">
        <v>3.0000000000000005E-3</v>
      </c>
      <c r="L20" s="90">
        <v>0</v>
      </c>
      <c r="M20" s="90">
        <v>0.27</v>
      </c>
      <c r="N20" s="90">
        <v>7.1999999999999995E-2</v>
      </c>
      <c r="O20" s="90">
        <v>0</v>
      </c>
    </row>
    <row r="21" spans="1:16" x14ac:dyDescent="0.25">
      <c r="B21" s="95" t="s">
        <v>110</v>
      </c>
      <c r="F21" s="90">
        <f t="array" ref="F21:O21">TRANSPOSE($C$7:$C$16)*(F10:O10)*C10</f>
        <v>0.6</v>
      </c>
      <c r="G21" s="90">
        <v>0</v>
      </c>
      <c r="H21" s="90">
        <v>0.36</v>
      </c>
      <c r="I21" s="90">
        <v>4</v>
      </c>
      <c r="J21" s="90">
        <v>0.8</v>
      </c>
      <c r="K21" s="90">
        <v>4.0000000000000008E-2</v>
      </c>
      <c r="L21" s="90">
        <v>0.30000000000000004</v>
      </c>
      <c r="M21" s="90">
        <v>0</v>
      </c>
      <c r="N21" s="90">
        <v>0</v>
      </c>
      <c r="O21" s="90">
        <v>1.2800000000000002</v>
      </c>
    </row>
    <row r="22" spans="1:16" x14ac:dyDescent="0.25">
      <c r="A22" s="95" t="s">
        <v>197</v>
      </c>
      <c r="B22" s="95" t="s">
        <v>240</v>
      </c>
      <c r="C22" s="95"/>
      <c r="F22" s="90">
        <f t="array" ref="F22:O22">TRANSPOSE($C$7:$C$16)*(F11:O11)*C11</f>
        <v>0.05</v>
      </c>
      <c r="G22" s="90">
        <v>1.4999999999999999E-2</v>
      </c>
      <c r="H22" s="90">
        <v>7.4999999999999997E-2</v>
      </c>
      <c r="I22" s="90">
        <v>0.8</v>
      </c>
      <c r="J22" s="90">
        <v>0.25</v>
      </c>
      <c r="K22" s="90">
        <v>1.0000000000000002E-2</v>
      </c>
      <c r="L22" s="90">
        <v>0.22499999999999998</v>
      </c>
      <c r="M22" s="90">
        <v>0.27</v>
      </c>
      <c r="N22" s="90">
        <v>0.36</v>
      </c>
      <c r="O22" s="90">
        <v>0.16000000000000003</v>
      </c>
    </row>
    <row r="23" spans="1:16" x14ac:dyDescent="0.25">
      <c r="A23" s="90">
        <v>40</v>
      </c>
      <c r="B23" s="96">
        <f>NORMDIST(A23,$B$17,$C$17,1)</f>
        <v>4.0501664284715161E-2</v>
      </c>
      <c r="C23" s="96"/>
      <c r="F23" s="90">
        <f t="array" ref="F23:O23">TRANSPOSE($C$7:$C$16)*(F12:O12)*C12</f>
        <v>0</v>
      </c>
      <c r="G23" s="90">
        <v>1.0000000000000002E-3</v>
      </c>
      <c r="H23" s="90">
        <v>3.0000000000000001E-3</v>
      </c>
      <c r="I23" s="90">
        <v>4.0000000000000008E-2</v>
      </c>
      <c r="J23" s="90">
        <v>1.0000000000000002E-2</v>
      </c>
      <c r="K23" s="90">
        <v>1.0000000000000002E-2</v>
      </c>
      <c r="L23" s="90">
        <v>6.0000000000000012E-2</v>
      </c>
      <c r="M23" s="90">
        <v>7.2000000000000008E-2</v>
      </c>
      <c r="N23" s="90">
        <v>0.12</v>
      </c>
      <c r="O23" s="90">
        <v>0</v>
      </c>
    </row>
    <row r="24" spans="1:16" x14ac:dyDescent="0.25">
      <c r="A24" s="90">
        <v>50</v>
      </c>
      <c r="B24" s="96">
        <f>NORMDIST(A24,$B$17,$C$17,1)</f>
        <v>0.28040752065267049</v>
      </c>
      <c r="C24" s="96"/>
      <c r="F24" s="90">
        <f t="array" ref="F24:O24">TRANSPOSE($C$7:$C$16)*(F13:O13)*C13</f>
        <v>0.30000000000000004</v>
      </c>
      <c r="G24" s="90">
        <v>4.4999999999999998E-2</v>
      </c>
      <c r="H24" s="90">
        <v>0</v>
      </c>
      <c r="I24" s="90">
        <v>0.30000000000000004</v>
      </c>
      <c r="J24" s="90">
        <v>0.22499999999999998</v>
      </c>
      <c r="K24" s="90">
        <v>6.0000000000000012E-2</v>
      </c>
      <c r="L24" s="90">
        <v>2.25</v>
      </c>
      <c r="M24" s="90">
        <v>1.8900000000000001</v>
      </c>
      <c r="N24" s="90">
        <v>2.88</v>
      </c>
      <c r="O24" s="90">
        <v>1.44</v>
      </c>
    </row>
    <row r="25" spans="1:16" x14ac:dyDescent="0.25">
      <c r="A25" s="90">
        <v>60</v>
      </c>
      <c r="B25" s="96">
        <f>NORMDIST(A25,$B$17,$C$17,1)</f>
        <v>0.71959247934732951</v>
      </c>
      <c r="C25" s="96"/>
      <c r="F25" s="90">
        <f t="array" ref="F25:O25">TRANSPOSE($C$7:$C$16)*(F14:O14)*C14</f>
        <v>0.72000000000000008</v>
      </c>
      <c r="G25" s="90">
        <v>5.3999999999999999E-2</v>
      </c>
      <c r="H25" s="90">
        <v>0.27</v>
      </c>
      <c r="I25" s="90">
        <v>0</v>
      </c>
      <c r="J25" s="90">
        <v>0.27</v>
      </c>
      <c r="K25" s="90">
        <v>7.2000000000000022E-2</v>
      </c>
      <c r="L25" s="90">
        <v>1.8899999999999997</v>
      </c>
      <c r="M25" s="90">
        <v>3.24</v>
      </c>
      <c r="N25" s="90">
        <v>3.8880000000000003</v>
      </c>
      <c r="O25" s="90">
        <v>2.3040000000000007</v>
      </c>
    </row>
    <row r="26" spans="1:16" x14ac:dyDescent="0.25">
      <c r="F26" s="90">
        <f t="array" ref="F26:O26">TRANSPOSE($C$7:$C$16)*(F15:O15)*C15</f>
        <v>0.48</v>
      </c>
      <c r="G26" s="90">
        <v>4.8000000000000008E-2</v>
      </c>
      <c r="H26" s="90">
        <v>7.1999999999999995E-2</v>
      </c>
      <c r="I26" s="90">
        <v>0</v>
      </c>
      <c r="J26" s="90">
        <v>0.36</v>
      </c>
      <c r="K26" s="90">
        <v>0.12</v>
      </c>
      <c r="L26" s="90">
        <v>2.8800000000000003</v>
      </c>
      <c r="M26" s="90">
        <v>3.8879999999999999</v>
      </c>
      <c r="N26" s="90">
        <v>5.76</v>
      </c>
      <c r="O26" s="90">
        <v>3.84</v>
      </c>
    </row>
    <row r="27" spans="1:16" x14ac:dyDescent="0.25">
      <c r="F27" s="90">
        <f t="array" ref="F27:O27">TRANSPOSE($C$7:$C$16)*(F16:O16)*C16</f>
        <v>0.32000000000000006</v>
      </c>
      <c r="G27" s="90">
        <v>0</v>
      </c>
      <c r="H27" s="90">
        <v>0</v>
      </c>
      <c r="I27" s="90">
        <v>1.2800000000000002</v>
      </c>
      <c r="J27" s="90">
        <v>0.16000000000000003</v>
      </c>
      <c r="K27" s="90">
        <v>0</v>
      </c>
      <c r="L27" s="90">
        <v>1.44</v>
      </c>
      <c r="M27" s="90">
        <v>2.3040000000000003</v>
      </c>
      <c r="N27" s="90">
        <v>3.84</v>
      </c>
      <c r="O27" s="90">
        <v>10.240000000000002</v>
      </c>
    </row>
    <row r="28" spans="1:16" x14ac:dyDescent="0.25">
      <c r="F28" s="90">
        <v>1</v>
      </c>
      <c r="G28" s="90">
        <v>1</v>
      </c>
      <c r="H28" s="90">
        <v>1</v>
      </c>
      <c r="I28" s="90">
        <v>1</v>
      </c>
      <c r="J28" s="90">
        <v>1</v>
      </c>
      <c r="K28" s="90">
        <v>1</v>
      </c>
      <c r="L28" s="90">
        <v>1</v>
      </c>
      <c r="M28" s="90">
        <v>1</v>
      </c>
      <c r="N28" s="90">
        <v>1</v>
      </c>
      <c r="O28" s="90">
        <v>1</v>
      </c>
      <c r="P28" s="93" t="s">
        <v>243</v>
      </c>
    </row>
    <row r="29" spans="1:16" x14ac:dyDescent="0.25">
      <c r="B29" s="95"/>
      <c r="C29" s="95"/>
    </row>
    <row r="30" spans="1:16" x14ac:dyDescent="0.25">
      <c r="A30" s="90">
        <v>10</v>
      </c>
      <c r="B30" s="90">
        <f t="shared" ref="B30:B75" si="1">NORMDIST(A30,$B$17,$C$17,1)</f>
        <v>8.2634627062404155E-8</v>
      </c>
    </row>
    <row r="31" spans="1:16" x14ac:dyDescent="0.25">
      <c r="A31" s="90">
        <v>12</v>
      </c>
      <c r="B31" s="90">
        <f t="shared" si="1"/>
        <v>2.8364974283106272E-7</v>
      </c>
    </row>
    <row r="32" spans="1:16" x14ac:dyDescent="0.25">
      <c r="A32" s="90">
        <v>14</v>
      </c>
      <c r="B32" s="90">
        <f t="shared" si="1"/>
        <v>9.2398345745088071E-7</v>
      </c>
    </row>
    <row r="33" spans="1:2" x14ac:dyDescent="0.25">
      <c r="A33" s="90">
        <v>16</v>
      </c>
      <c r="B33" s="90">
        <f t="shared" si="1"/>
        <v>2.8567359158571262E-6</v>
      </c>
    </row>
    <row r="34" spans="1:2" x14ac:dyDescent="0.25">
      <c r="A34" s="90">
        <v>18</v>
      </c>
      <c r="B34" s="90">
        <f t="shared" si="1"/>
        <v>8.3843649422540064E-6</v>
      </c>
    </row>
    <row r="35" spans="1:2" x14ac:dyDescent="0.25">
      <c r="A35" s="90">
        <v>20</v>
      </c>
      <c r="B35" s="90">
        <f t="shared" si="1"/>
        <v>2.3363781020500792E-5</v>
      </c>
    </row>
    <row r="36" spans="1:2" x14ac:dyDescent="0.25">
      <c r="A36" s="90">
        <v>22</v>
      </c>
      <c r="B36" s="90">
        <f t="shared" si="1"/>
        <v>6.182692223481346E-5</v>
      </c>
    </row>
    <row r="37" spans="1:2" x14ac:dyDescent="0.25">
      <c r="A37" s="90">
        <v>24</v>
      </c>
      <c r="B37" s="90">
        <f t="shared" si="1"/>
        <v>1.5540820378976691E-4</v>
      </c>
    </row>
    <row r="38" spans="1:2" x14ac:dyDescent="0.25">
      <c r="A38" s="90">
        <v>26</v>
      </c>
      <c r="B38" s="90">
        <f t="shared" si="1"/>
        <v>3.7114691505951881E-4</v>
      </c>
    </row>
    <row r="39" spans="1:2" x14ac:dyDescent="0.25">
      <c r="A39" s="90">
        <v>28</v>
      </c>
      <c r="B39" s="90">
        <f t="shared" si="1"/>
        <v>8.4240897562457484E-4</v>
      </c>
    </row>
    <row r="40" spans="1:2" x14ac:dyDescent="0.25">
      <c r="A40" s="90">
        <v>30</v>
      </c>
      <c r="B40" s="90">
        <f t="shared" si="1"/>
        <v>1.8178311145575323E-3</v>
      </c>
    </row>
    <row r="41" spans="1:2" x14ac:dyDescent="0.25">
      <c r="A41" s="90">
        <v>32</v>
      </c>
      <c r="B41" s="90">
        <f t="shared" si="1"/>
        <v>3.7308483019258105E-3</v>
      </c>
    </row>
    <row r="42" spans="1:2" x14ac:dyDescent="0.25">
      <c r="A42" s="90">
        <v>34</v>
      </c>
      <c r="B42" s="90">
        <f t="shared" si="1"/>
        <v>7.2858649664851224E-3</v>
      </c>
    </row>
    <row r="43" spans="1:2" x14ac:dyDescent="0.25">
      <c r="A43" s="90">
        <v>36</v>
      </c>
      <c r="B43" s="90">
        <f t="shared" si="1"/>
        <v>1.3545676528953065E-2</v>
      </c>
    </row>
    <row r="44" spans="1:2" x14ac:dyDescent="0.25">
      <c r="A44" s="90">
        <v>38</v>
      </c>
      <c r="B44" s="90">
        <f t="shared" si="1"/>
        <v>2.3989945446367626E-2</v>
      </c>
    </row>
    <row r="45" spans="1:2" x14ac:dyDescent="0.25">
      <c r="A45" s="90">
        <v>40</v>
      </c>
      <c r="B45" s="90">
        <f t="shared" si="1"/>
        <v>4.0501664284715161E-2</v>
      </c>
    </row>
    <row r="46" spans="1:2" x14ac:dyDescent="0.25">
      <c r="A46" s="90">
        <v>42</v>
      </c>
      <c r="B46" s="90">
        <f t="shared" si="1"/>
        <v>6.523622697765756E-2</v>
      </c>
    </row>
    <row r="47" spans="1:2" x14ac:dyDescent="0.25">
      <c r="A47" s="90">
        <v>44</v>
      </c>
      <c r="B47" s="90">
        <f t="shared" si="1"/>
        <v>0.10034487687469969</v>
      </c>
    </row>
    <row r="48" spans="1:2" x14ac:dyDescent="0.25">
      <c r="A48" s="90">
        <v>46</v>
      </c>
      <c r="B48" s="90">
        <f t="shared" si="1"/>
        <v>0.14756446138824636</v>
      </c>
    </row>
    <row r="49" spans="1:2" x14ac:dyDescent="0.25">
      <c r="A49" s="90">
        <v>48</v>
      </c>
      <c r="B49" s="90">
        <f t="shared" si="1"/>
        <v>0.20774118000973613</v>
      </c>
    </row>
    <row r="50" spans="1:2" x14ac:dyDescent="0.25">
      <c r="A50" s="90">
        <v>50</v>
      </c>
      <c r="B50" s="90">
        <f t="shared" si="1"/>
        <v>0.28040752065267049</v>
      </c>
    </row>
    <row r="51" spans="1:2" x14ac:dyDescent="0.25">
      <c r="A51" s="90">
        <v>52</v>
      </c>
      <c r="B51" s="90">
        <f t="shared" si="1"/>
        <v>0.36355261553150653</v>
      </c>
    </row>
    <row r="52" spans="1:2" x14ac:dyDescent="0.25">
      <c r="A52" s="90">
        <v>54</v>
      </c>
      <c r="B52" s="90">
        <f t="shared" si="1"/>
        <v>0.4536969855667719</v>
      </c>
    </row>
    <row r="53" spans="1:2" x14ac:dyDescent="0.25">
      <c r="A53" s="90">
        <v>56</v>
      </c>
      <c r="B53" s="90">
        <f t="shared" si="1"/>
        <v>0.54630301443322815</v>
      </c>
    </row>
    <row r="54" spans="1:2" x14ac:dyDescent="0.25">
      <c r="A54" s="90">
        <v>58</v>
      </c>
      <c r="B54" s="90">
        <f t="shared" si="1"/>
        <v>0.63644738446849347</v>
      </c>
    </row>
    <row r="55" spans="1:2" x14ac:dyDescent="0.25">
      <c r="A55" s="90">
        <v>60</v>
      </c>
      <c r="B55" s="90">
        <f t="shared" si="1"/>
        <v>0.71959247934732951</v>
      </c>
    </row>
    <row r="56" spans="1:2" x14ac:dyDescent="0.25">
      <c r="A56" s="90">
        <v>62</v>
      </c>
      <c r="B56" s="90">
        <f t="shared" si="1"/>
        <v>0.79225881999026382</v>
      </c>
    </row>
    <row r="57" spans="1:2" x14ac:dyDescent="0.25">
      <c r="A57" s="90">
        <v>64</v>
      </c>
      <c r="B57" s="90">
        <f t="shared" si="1"/>
        <v>0.8524355386117537</v>
      </c>
    </row>
    <row r="58" spans="1:2" x14ac:dyDescent="0.25">
      <c r="A58" s="90">
        <v>66</v>
      </c>
      <c r="B58" s="90">
        <f t="shared" si="1"/>
        <v>0.89965512312530027</v>
      </c>
    </row>
    <row r="59" spans="1:2" x14ac:dyDescent="0.25">
      <c r="A59" s="90">
        <v>68</v>
      </c>
      <c r="B59" s="90">
        <f t="shared" si="1"/>
        <v>0.93476377302234248</v>
      </c>
    </row>
    <row r="60" spans="1:2" x14ac:dyDescent="0.25">
      <c r="A60" s="90">
        <v>70</v>
      </c>
      <c r="B60" s="90">
        <f t="shared" si="1"/>
        <v>0.95949833571528487</v>
      </c>
    </row>
    <row r="61" spans="1:2" x14ac:dyDescent="0.25">
      <c r="A61" s="90">
        <v>72</v>
      </c>
      <c r="B61" s="90">
        <f t="shared" si="1"/>
        <v>0.97601005455363232</v>
      </c>
    </row>
    <row r="62" spans="1:2" x14ac:dyDescent="0.25">
      <c r="A62" s="90">
        <v>74</v>
      </c>
      <c r="B62" s="90">
        <f t="shared" si="1"/>
        <v>0.98645432347104689</v>
      </c>
    </row>
    <row r="63" spans="1:2" x14ac:dyDescent="0.25">
      <c r="A63" s="90">
        <v>76</v>
      </c>
      <c r="B63" s="90">
        <f t="shared" si="1"/>
        <v>0.99271413503351491</v>
      </c>
    </row>
    <row r="64" spans="1:2" x14ac:dyDescent="0.25">
      <c r="A64" s="90">
        <v>78</v>
      </c>
      <c r="B64" s="90">
        <f t="shared" si="1"/>
        <v>0.99626915169807417</v>
      </c>
    </row>
    <row r="65" spans="1:2" x14ac:dyDescent="0.25">
      <c r="A65" s="90">
        <v>80</v>
      </c>
      <c r="B65" s="90">
        <f t="shared" si="1"/>
        <v>0.99818216888544242</v>
      </c>
    </row>
    <row r="66" spans="1:2" x14ac:dyDescent="0.25">
      <c r="A66" s="90">
        <v>82</v>
      </c>
      <c r="B66" s="90">
        <f t="shared" si="1"/>
        <v>0.9991575910243754</v>
      </c>
    </row>
    <row r="67" spans="1:2" x14ac:dyDescent="0.25">
      <c r="A67" s="90">
        <v>84</v>
      </c>
      <c r="B67" s="90">
        <f t="shared" si="1"/>
        <v>0.99962885308494043</v>
      </c>
    </row>
    <row r="68" spans="1:2" x14ac:dyDescent="0.25">
      <c r="A68" s="90">
        <v>86</v>
      </c>
      <c r="B68" s="90">
        <f t="shared" si="1"/>
        <v>0.99984459179621021</v>
      </c>
    </row>
    <row r="69" spans="1:2" x14ac:dyDescent="0.25">
      <c r="A69" s="90">
        <v>88</v>
      </c>
      <c r="B69" s="90">
        <f t="shared" si="1"/>
        <v>0.99993817307776522</v>
      </c>
    </row>
    <row r="70" spans="1:2" x14ac:dyDescent="0.25">
      <c r="A70" s="90">
        <v>90</v>
      </c>
      <c r="B70" s="90">
        <f t="shared" si="1"/>
        <v>0.99997663621897948</v>
      </c>
    </row>
    <row r="71" spans="1:2" x14ac:dyDescent="0.25">
      <c r="A71" s="90">
        <v>92</v>
      </c>
      <c r="B71" s="90">
        <f t="shared" si="1"/>
        <v>0.99999161563505778</v>
      </c>
    </row>
    <row r="72" spans="1:2" x14ac:dyDescent="0.25">
      <c r="A72" s="90">
        <v>94</v>
      </c>
      <c r="B72" s="90">
        <f t="shared" si="1"/>
        <v>0.99999714326408418</v>
      </c>
    </row>
    <row r="73" spans="1:2" x14ac:dyDescent="0.25">
      <c r="A73" s="90">
        <v>96</v>
      </c>
      <c r="B73" s="90">
        <f t="shared" si="1"/>
        <v>0.99999907601654259</v>
      </c>
    </row>
    <row r="74" spans="1:2" x14ac:dyDescent="0.25">
      <c r="A74" s="90">
        <v>98</v>
      </c>
      <c r="B74" s="90">
        <f t="shared" si="1"/>
        <v>0.9999997163502572</v>
      </c>
    </row>
    <row r="75" spans="1:2" x14ac:dyDescent="0.25">
      <c r="A75" s="90">
        <v>100</v>
      </c>
      <c r="B75" s="90">
        <f t="shared" si="1"/>
        <v>0.99999991736537297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defaultColWidth="9.1796875" defaultRowHeight="12.5" x14ac:dyDescent="0.25"/>
  <cols>
    <col min="9" max="9" width="11.1796875" customWidth="1"/>
  </cols>
  <sheetData>
    <row r="1" spans="2:10" x14ac:dyDescent="0.25">
      <c r="B1" s="3" t="s">
        <v>12</v>
      </c>
      <c r="C1" t="s">
        <v>244</v>
      </c>
    </row>
    <row r="2" spans="2:10" ht="26.25" customHeight="1" x14ac:dyDescent="0.3">
      <c r="B2" s="4">
        <v>65400</v>
      </c>
      <c r="C2" s="89">
        <f>LN(B2)</f>
        <v>11.08827753744529</v>
      </c>
      <c r="F2" s="97" t="s">
        <v>106</v>
      </c>
      <c r="G2" s="97" t="s">
        <v>107</v>
      </c>
      <c r="H2" s="98" t="s">
        <v>108</v>
      </c>
      <c r="I2" s="99" t="s">
        <v>245</v>
      </c>
      <c r="J2" s="100" t="s">
        <v>246</v>
      </c>
    </row>
    <row r="3" spans="2:10" x14ac:dyDescent="0.25">
      <c r="B3" s="4">
        <v>62000</v>
      </c>
      <c r="C3" s="89">
        <f t="shared" ref="C3:C31" si="0">LN(B3)</f>
        <v>11.034889664027229</v>
      </c>
      <c r="F3" s="36">
        <v>30000</v>
      </c>
      <c r="G3" s="7">
        <v>0</v>
      </c>
      <c r="H3" s="37">
        <f t="shared" ref="H3:H14" si="1">G3/COUNT($B$2:$B$31)</f>
        <v>0</v>
      </c>
      <c r="I3" s="37">
        <f t="shared" ref="I3:I14" si="2">LOGNORMDIST(F3,$C$32,$C$33)</f>
        <v>7.2022933129273067E-3</v>
      </c>
      <c r="J3" s="37">
        <f>I3</f>
        <v>7.2022933129273067E-3</v>
      </c>
    </row>
    <row r="4" spans="2:10" x14ac:dyDescent="0.25">
      <c r="B4" s="4">
        <v>63200</v>
      </c>
      <c r="C4" s="89">
        <f t="shared" si="0"/>
        <v>11.054059580134949</v>
      </c>
      <c r="F4" s="36">
        <v>35000</v>
      </c>
      <c r="G4" s="7">
        <v>1</v>
      </c>
      <c r="H4" s="37">
        <f t="shared" si="1"/>
        <v>3.3333333333333333E-2</v>
      </c>
      <c r="I4" s="37">
        <f t="shared" si="2"/>
        <v>4.1081536865087045E-2</v>
      </c>
      <c r="J4" s="37">
        <f>I4-I3</f>
        <v>3.3879243552159738E-2</v>
      </c>
    </row>
    <row r="5" spans="2:10" x14ac:dyDescent="0.25">
      <c r="B5" s="4">
        <v>52000</v>
      </c>
      <c r="C5" s="89">
        <f t="shared" si="0"/>
        <v>10.858998997563564</v>
      </c>
      <c r="F5" s="36">
        <v>40000</v>
      </c>
      <c r="G5" s="7">
        <v>3</v>
      </c>
      <c r="H5" s="37">
        <f t="shared" si="1"/>
        <v>0.1</v>
      </c>
      <c r="I5" s="37">
        <f t="shared" si="2"/>
        <v>0.13043626559698401</v>
      </c>
      <c r="J5" s="37">
        <f t="shared" ref="J5:J14" si="3">I5-I4</f>
        <v>8.9354728731896968E-2</v>
      </c>
    </row>
    <row r="6" spans="2:10" x14ac:dyDescent="0.25">
      <c r="B6" s="4">
        <v>81400</v>
      </c>
      <c r="C6" s="89">
        <f t="shared" si="0"/>
        <v>11.307130551990632</v>
      </c>
      <c r="F6" s="36">
        <v>45000</v>
      </c>
      <c r="G6" s="7">
        <v>4</v>
      </c>
      <c r="H6" s="37">
        <f t="shared" si="1"/>
        <v>0.13333333333333333</v>
      </c>
      <c r="I6" s="37">
        <f t="shared" si="2"/>
        <v>0.28001464978244828</v>
      </c>
      <c r="J6" s="37">
        <f t="shared" si="3"/>
        <v>0.14957838418546426</v>
      </c>
    </row>
    <row r="7" spans="2:10" x14ac:dyDescent="0.25">
      <c r="B7" s="4">
        <v>46300</v>
      </c>
      <c r="C7" s="89">
        <f t="shared" si="0"/>
        <v>10.742897240074326</v>
      </c>
      <c r="F7" s="36">
        <v>50000</v>
      </c>
      <c r="G7" s="7">
        <v>7</v>
      </c>
      <c r="H7" s="37">
        <f t="shared" si="1"/>
        <v>0.23333333333333334</v>
      </c>
      <c r="I7" s="37">
        <f t="shared" si="2"/>
        <v>0.46081528189432697</v>
      </c>
      <c r="J7" s="37">
        <f t="shared" si="3"/>
        <v>0.18080063211187869</v>
      </c>
    </row>
    <row r="8" spans="2:10" x14ac:dyDescent="0.25">
      <c r="B8" s="4">
        <v>49600</v>
      </c>
      <c r="C8" s="89">
        <f t="shared" si="0"/>
        <v>10.811746112713019</v>
      </c>
      <c r="F8" s="36">
        <v>55000</v>
      </c>
      <c r="G8" s="7">
        <v>4</v>
      </c>
      <c r="H8" s="37">
        <f t="shared" si="1"/>
        <v>0.13333333333333333</v>
      </c>
      <c r="I8" s="37">
        <f t="shared" si="2"/>
        <v>0.63300749453460492</v>
      </c>
      <c r="J8" s="37">
        <f t="shared" si="3"/>
        <v>0.17219221264027795</v>
      </c>
    </row>
    <row r="9" spans="2:10" x14ac:dyDescent="0.25">
      <c r="B9" s="4">
        <v>45900</v>
      </c>
      <c r="C9" s="89">
        <f t="shared" si="0"/>
        <v>10.734220396048636</v>
      </c>
      <c r="F9" s="36">
        <v>60000</v>
      </c>
      <c r="G9" s="7">
        <v>4</v>
      </c>
      <c r="H9" s="37">
        <f t="shared" si="1"/>
        <v>0.13333333333333333</v>
      </c>
      <c r="I9" s="37">
        <f t="shared" si="2"/>
        <v>0.77031457054429076</v>
      </c>
      <c r="J9" s="37">
        <f t="shared" si="3"/>
        <v>0.13730707600968584</v>
      </c>
    </row>
    <row r="10" spans="2:10" x14ac:dyDescent="0.25">
      <c r="B10" s="4">
        <v>47700</v>
      </c>
      <c r="C10" s="89">
        <f t="shared" si="0"/>
        <v>10.772686676876432</v>
      </c>
      <c r="F10" s="36">
        <v>65000</v>
      </c>
      <c r="G10" s="7">
        <v>4</v>
      </c>
      <c r="H10" s="37">
        <f t="shared" si="1"/>
        <v>0.13333333333333333</v>
      </c>
      <c r="I10" s="37">
        <f t="shared" si="2"/>
        <v>0.86604686222131222</v>
      </c>
      <c r="J10" s="37">
        <f t="shared" si="3"/>
        <v>9.5732291677021464E-2</v>
      </c>
    </row>
    <row r="11" spans="2:10" x14ac:dyDescent="0.25">
      <c r="B11" s="4">
        <v>59900</v>
      </c>
      <c r="C11" s="89">
        <f t="shared" si="0"/>
        <v>11.00043178410354</v>
      </c>
      <c r="F11" s="36">
        <v>70000</v>
      </c>
      <c r="G11" s="7">
        <v>1</v>
      </c>
      <c r="H11" s="37">
        <f t="shared" si="1"/>
        <v>3.3333333333333333E-2</v>
      </c>
      <c r="I11" s="37">
        <f t="shared" si="2"/>
        <v>0.92627878454090695</v>
      </c>
      <c r="J11" s="37">
        <f t="shared" si="3"/>
        <v>6.0231922319594733E-2</v>
      </c>
    </row>
    <row r="12" spans="2:10" x14ac:dyDescent="0.25">
      <c r="B12" s="4">
        <v>48100</v>
      </c>
      <c r="C12" s="89">
        <f t="shared" si="0"/>
        <v>10.781037456093852</v>
      </c>
      <c r="F12" s="36">
        <v>75000</v>
      </c>
      <c r="G12" s="7">
        <v>0</v>
      </c>
      <c r="H12" s="37">
        <f t="shared" si="1"/>
        <v>0</v>
      </c>
      <c r="I12" s="37">
        <f t="shared" si="2"/>
        <v>0.96128818774557268</v>
      </c>
      <c r="J12" s="37">
        <f t="shared" si="3"/>
        <v>3.5009403204665723E-2</v>
      </c>
    </row>
    <row r="13" spans="2:10" x14ac:dyDescent="0.25">
      <c r="B13" s="4">
        <v>58100</v>
      </c>
      <c r="C13" s="89">
        <f t="shared" si="0"/>
        <v>10.969920942840002</v>
      </c>
      <c r="F13" s="36">
        <v>80000</v>
      </c>
      <c r="G13" s="7">
        <v>1</v>
      </c>
      <c r="H13" s="37">
        <f t="shared" si="1"/>
        <v>3.3333333333333333E-2</v>
      </c>
      <c r="I13" s="37">
        <f t="shared" si="2"/>
        <v>0.9804229845202872</v>
      </c>
      <c r="J13" s="37">
        <f t="shared" si="3"/>
        <v>1.9134796774714524E-2</v>
      </c>
    </row>
    <row r="14" spans="2:10" x14ac:dyDescent="0.25">
      <c r="B14" s="4">
        <v>56000</v>
      </c>
      <c r="C14" s="89">
        <f t="shared" si="0"/>
        <v>10.933106969717286</v>
      </c>
      <c r="F14" s="101">
        <v>85000</v>
      </c>
      <c r="G14" s="102">
        <v>1</v>
      </c>
      <c r="H14" s="103">
        <f t="shared" si="1"/>
        <v>3.3333333333333333E-2</v>
      </c>
      <c r="I14" s="103">
        <f t="shared" si="2"/>
        <v>0.99039162440385808</v>
      </c>
      <c r="J14" s="103">
        <f t="shared" si="3"/>
        <v>9.9686398835708845E-3</v>
      </c>
    </row>
    <row r="15" spans="2:10" x14ac:dyDescent="0.25">
      <c r="B15" s="4">
        <v>53400</v>
      </c>
      <c r="C15" s="89">
        <f t="shared" si="0"/>
        <v>10.885566024948286</v>
      </c>
    </row>
    <row r="16" spans="2:10" x14ac:dyDescent="0.25">
      <c r="B16" s="4">
        <v>39000</v>
      </c>
      <c r="C16" s="89">
        <f t="shared" si="0"/>
        <v>10.571316925111784</v>
      </c>
    </row>
    <row r="17" spans="1:3" x14ac:dyDescent="0.25">
      <c r="B17" s="4">
        <v>61500</v>
      </c>
      <c r="C17" s="89">
        <f t="shared" si="0"/>
        <v>11.026792453794609</v>
      </c>
    </row>
    <row r="18" spans="1:3" x14ac:dyDescent="0.25">
      <c r="B18" s="4">
        <v>37700</v>
      </c>
      <c r="C18" s="89">
        <f t="shared" si="0"/>
        <v>10.537415373436103</v>
      </c>
    </row>
    <row r="19" spans="1:3" x14ac:dyDescent="0.25">
      <c r="B19" s="4">
        <v>36700</v>
      </c>
      <c r="C19" s="89">
        <f t="shared" si="0"/>
        <v>10.510532034042662</v>
      </c>
    </row>
    <row r="20" spans="1:3" x14ac:dyDescent="0.25">
      <c r="B20" s="4">
        <v>45200</v>
      </c>
      <c r="C20" s="89">
        <f t="shared" si="0"/>
        <v>10.718852365820323</v>
      </c>
    </row>
    <row r="21" spans="1:3" x14ac:dyDescent="0.25">
      <c r="B21" s="4">
        <v>59000</v>
      </c>
      <c r="C21" s="89">
        <f t="shared" si="0"/>
        <v>10.985292722887856</v>
      </c>
    </row>
    <row r="22" spans="1:3" x14ac:dyDescent="0.25">
      <c r="B22" s="4">
        <v>54300</v>
      </c>
      <c r="C22" s="89">
        <f t="shared" si="0"/>
        <v>10.902279505922026</v>
      </c>
    </row>
    <row r="23" spans="1:3" x14ac:dyDescent="0.25">
      <c r="B23" s="4">
        <v>62100</v>
      </c>
      <c r="C23" s="89">
        <f t="shared" si="0"/>
        <v>11.036501267921571</v>
      </c>
    </row>
    <row r="24" spans="1:3" x14ac:dyDescent="0.25">
      <c r="B24" s="4">
        <v>78000</v>
      </c>
      <c r="C24" s="89">
        <f t="shared" si="0"/>
        <v>11.264464105671729</v>
      </c>
    </row>
    <row r="25" spans="1:3" x14ac:dyDescent="0.25">
      <c r="B25" s="4">
        <v>43200</v>
      </c>
      <c r="C25" s="89">
        <f t="shared" si="0"/>
        <v>10.673595774232203</v>
      </c>
    </row>
    <row r="26" spans="1:3" x14ac:dyDescent="0.25">
      <c r="B26" s="4">
        <v>44500</v>
      </c>
      <c r="C26" s="89">
        <f t="shared" si="0"/>
        <v>10.703244468154331</v>
      </c>
    </row>
    <row r="27" spans="1:3" x14ac:dyDescent="0.25">
      <c r="B27" s="4">
        <v>43300</v>
      </c>
      <c r="C27" s="89">
        <f t="shared" si="0"/>
        <v>10.675907913990581</v>
      </c>
    </row>
    <row r="28" spans="1:3" x14ac:dyDescent="0.25">
      <c r="B28" s="4">
        <v>45400</v>
      </c>
      <c r="C28" s="89">
        <f t="shared" si="0"/>
        <v>10.723267384029439</v>
      </c>
    </row>
    <row r="29" spans="1:3" x14ac:dyDescent="0.25">
      <c r="B29" s="4">
        <v>53900</v>
      </c>
      <c r="C29" s="89">
        <f t="shared" si="0"/>
        <v>10.894885756897089</v>
      </c>
    </row>
    <row r="30" spans="1:3" x14ac:dyDescent="0.25">
      <c r="B30" s="4">
        <v>44100</v>
      </c>
      <c r="C30" s="89">
        <f t="shared" si="0"/>
        <v>10.694215061434937</v>
      </c>
    </row>
    <row r="31" spans="1:3" x14ac:dyDescent="0.25">
      <c r="B31" s="4">
        <v>31000</v>
      </c>
      <c r="C31" s="89">
        <f t="shared" si="0"/>
        <v>10.341742483467284</v>
      </c>
    </row>
    <row r="32" spans="1:3" x14ac:dyDescent="0.25">
      <c r="A32" t="s">
        <v>116</v>
      </c>
      <c r="B32" s="104">
        <f>AVERAGE(B2:B31)</f>
        <v>52263.333333333336</v>
      </c>
      <c r="C32" s="89">
        <f>AVERAGE(C2:C31)</f>
        <v>10.841175851046382</v>
      </c>
    </row>
    <row r="33" spans="1:3" x14ac:dyDescent="0.25">
      <c r="A33" t="s">
        <v>185</v>
      </c>
      <c r="B33" s="104">
        <f>STDEV(B2:B31)</f>
        <v>11492.650825136294</v>
      </c>
      <c r="C33" s="89">
        <f>STDEV(C2:C31)</f>
        <v>0.21749917621551049</v>
      </c>
    </row>
  </sheetData>
  <pageMargins left="0.78740157499999996" right="0.78740157499999996" top="0.984251969" bottom="0.984251969" header="0.5" footer="0.5"/>
  <pageSetup paperSize="9"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workbookViewId="0"/>
  </sheetViews>
  <sheetFormatPr defaultColWidth="11.453125" defaultRowHeight="12.5" x14ac:dyDescent="0.25"/>
  <cols>
    <col min="1" max="1" width="23.54296875" customWidth="1"/>
  </cols>
  <sheetData>
    <row r="1" spans="1:13" ht="13" x14ac:dyDescent="0.3">
      <c r="A1" s="105" t="s">
        <v>247</v>
      </c>
      <c r="B1" s="26"/>
      <c r="C1" s="26"/>
      <c r="D1" s="26"/>
      <c r="E1" s="26"/>
      <c r="F1" s="26"/>
      <c r="G1" s="26"/>
      <c r="H1" s="26"/>
      <c r="I1" s="26"/>
    </row>
    <row r="2" spans="1:13" x14ac:dyDescent="0.25">
      <c r="A2" s="26"/>
      <c r="B2" s="26"/>
      <c r="C2" s="26"/>
      <c r="D2" s="26"/>
      <c r="E2" s="26"/>
      <c r="F2" s="26"/>
      <c r="G2" s="26"/>
    </row>
    <row r="3" spans="1:13" x14ac:dyDescent="0.25">
      <c r="A3" s="26" t="s">
        <v>248</v>
      </c>
      <c r="B3">
        <v>200</v>
      </c>
      <c r="I3" s="26"/>
      <c r="J3" s="26"/>
      <c r="K3" s="26"/>
      <c r="L3" s="26"/>
      <c r="M3" s="26"/>
    </row>
    <row r="4" spans="1:13" x14ac:dyDescent="0.25">
      <c r="A4" s="26" t="s">
        <v>249</v>
      </c>
      <c r="B4">
        <v>0.1</v>
      </c>
      <c r="I4" s="26"/>
      <c r="J4" s="26"/>
      <c r="K4" s="26"/>
      <c r="L4" s="26"/>
      <c r="M4" s="26"/>
    </row>
    <row r="5" spans="1:13" x14ac:dyDescent="0.25">
      <c r="A5" s="26"/>
      <c r="I5" s="26"/>
      <c r="J5" s="26"/>
      <c r="K5" s="26"/>
      <c r="L5" s="26"/>
      <c r="M5" s="26"/>
    </row>
    <row r="6" spans="1:13" x14ac:dyDescent="0.25">
      <c r="A6" s="26" t="s">
        <v>250</v>
      </c>
      <c r="B6">
        <v>215</v>
      </c>
      <c r="I6" s="26"/>
      <c r="J6" s="26"/>
      <c r="K6" s="26"/>
      <c r="L6" s="26"/>
      <c r="M6" s="26"/>
    </row>
    <row r="7" spans="1:13" x14ac:dyDescent="0.25">
      <c r="I7" s="26"/>
      <c r="J7" s="26"/>
      <c r="K7" s="26"/>
      <c r="L7" s="26"/>
      <c r="M7" s="26"/>
    </row>
    <row r="8" spans="1:13" ht="13" x14ac:dyDescent="0.3">
      <c r="A8" s="105" t="s">
        <v>207</v>
      </c>
      <c r="B8" s="26"/>
      <c r="C8" s="26"/>
      <c r="D8" s="26"/>
      <c r="E8" s="26"/>
      <c r="I8" s="26"/>
    </row>
    <row r="9" spans="1:13" ht="25" x14ac:dyDescent="0.25">
      <c r="A9" s="26"/>
      <c r="B9" s="54" t="s">
        <v>251</v>
      </c>
      <c r="C9" s="54" t="s">
        <v>252</v>
      </c>
      <c r="D9" s="54" t="s">
        <v>253</v>
      </c>
      <c r="E9" s="54" t="s">
        <v>254</v>
      </c>
      <c r="I9" s="26"/>
    </row>
    <row r="10" spans="1:13" x14ac:dyDescent="0.25">
      <c r="A10" s="26"/>
      <c r="B10" s="58">
        <f>1-BINOMDIST(205,$B$6,1-$B$4,1)</f>
        <v>1.3530328542844527E-3</v>
      </c>
      <c r="C10" s="58">
        <f>1-BINOMDIST(200,$B$6,1-$B$4,1)</f>
        <v>4.9642310394424127E-2</v>
      </c>
      <c r="D10" s="58">
        <f>1-BINOMDIST(194,$B$6,1-$B$4,1)</f>
        <v>0.42147402013751589</v>
      </c>
      <c r="E10" s="58">
        <f>1-BINOMDIST(189,$B$6,1-$B$4,1)</f>
        <v>0.82002085697775839</v>
      </c>
    </row>
    <row r="12" spans="1:13" ht="13" x14ac:dyDescent="0.3">
      <c r="A12" s="106" t="s">
        <v>255</v>
      </c>
    </row>
    <row r="13" spans="1:13" ht="25" x14ac:dyDescent="0.25">
      <c r="B13" s="22" t="s">
        <v>251</v>
      </c>
      <c r="C13" s="22" t="s">
        <v>252</v>
      </c>
      <c r="D13" s="22" t="s">
        <v>253</v>
      </c>
      <c r="E13" s="22" t="s">
        <v>254</v>
      </c>
    </row>
    <row r="14" spans="1:13" x14ac:dyDescent="0.25">
      <c r="A14" t="s">
        <v>250</v>
      </c>
      <c r="B14" s="107"/>
      <c r="C14" s="107"/>
      <c r="D14" s="107"/>
      <c r="E14" s="107"/>
    </row>
    <row r="15" spans="1:13" x14ac:dyDescent="0.25">
      <c r="A15">
        <v>206</v>
      </c>
      <c r="B15" s="58">
        <f>1-BINOMDIST(205,A15,1-$B$4,1)</f>
        <v>3.7493586013681579E-10</v>
      </c>
      <c r="C15" s="58">
        <f>1-BINOMDIST(200,A15,1-$B$4,1)</f>
        <v>2.3701535873166257E-5</v>
      </c>
      <c r="D15" s="58">
        <f>1-BINOMDIST(194,A15,1-$B$4,1)</f>
        <v>1.2150340345055244E-2</v>
      </c>
      <c r="E15" s="58">
        <f>1-BINOMDIST(189,A15,1-$B$4,1)</f>
        <v>0.17096469584383212</v>
      </c>
    </row>
    <row r="16" spans="1:13" x14ac:dyDescent="0.25">
      <c r="A16">
        <v>209</v>
      </c>
      <c r="B16" s="58">
        <f t="shared" ref="B16:B24" si="0">1-BINOMDIST(205,A16,1-$B$4,1)</f>
        <v>6.4228982199487916E-7</v>
      </c>
      <c r="C16" s="58">
        <f t="shared" ref="C16:C24" si="1">1-BINOMDIST(200,A16,1-$B$4,1)</f>
        <v>7.5294533592717983E-4</v>
      </c>
      <c r="D16" s="58">
        <f t="shared" ref="D16:D24" si="2">1-BINOMDIST(194,A16,1-$B$4,1)</f>
        <v>6.4253097892495781E-2</v>
      </c>
      <c r="E16" s="58">
        <f t="shared" ref="E16:E24" si="3">1-BINOMDIST(189,A16,1-$B$4,1)</f>
        <v>0.38410996370063666</v>
      </c>
    </row>
    <row r="17" spans="1:5" x14ac:dyDescent="0.25">
      <c r="A17">
        <v>212</v>
      </c>
      <c r="B17" s="58">
        <f t="shared" si="0"/>
        <v>5.8474655065698933E-5</v>
      </c>
      <c r="C17" s="58">
        <f t="shared" si="1"/>
        <v>8.7225139361197801E-3</v>
      </c>
      <c r="D17" s="58">
        <f t="shared" si="2"/>
        <v>0.20078557600671731</v>
      </c>
      <c r="E17" s="58">
        <f t="shared" si="3"/>
        <v>0.62751949021542064</v>
      </c>
    </row>
    <row r="18" spans="1:5" x14ac:dyDescent="0.25">
      <c r="A18">
        <v>215</v>
      </c>
      <c r="B18" s="58">
        <f t="shared" si="0"/>
        <v>1.3530328542844527E-3</v>
      </c>
      <c r="C18" s="58">
        <f t="shared" si="1"/>
        <v>4.9642310394424127E-2</v>
      </c>
      <c r="D18" s="58">
        <f t="shared" si="2"/>
        <v>0.42147402013751589</v>
      </c>
      <c r="E18" s="58">
        <f t="shared" si="3"/>
        <v>0.82002085697775839</v>
      </c>
    </row>
    <row r="19" spans="1:5" x14ac:dyDescent="0.25">
      <c r="A19">
        <v>218</v>
      </c>
      <c r="B19" s="58">
        <f t="shared" si="0"/>
        <v>1.2839716619398756E-2</v>
      </c>
      <c r="C19" s="58">
        <f t="shared" si="1"/>
        <v>0.16598213701230469</v>
      </c>
      <c r="D19" s="58">
        <f t="shared" si="2"/>
        <v>0.65883557619599031</v>
      </c>
      <c r="E19" s="58">
        <f t="shared" si="3"/>
        <v>0.93057363686384953</v>
      </c>
    </row>
    <row r="20" spans="1:5" x14ac:dyDescent="0.25">
      <c r="A20">
        <v>221</v>
      </c>
      <c r="B20" s="58">
        <f t="shared" si="0"/>
        <v>6.3851655796925533E-2</v>
      </c>
      <c r="C20" s="58">
        <f t="shared" si="1"/>
        <v>0.36987894150360834</v>
      </c>
      <c r="D20" s="58">
        <f t="shared" si="2"/>
        <v>0.83857567063850169</v>
      </c>
      <c r="E20" s="58">
        <f t="shared" si="3"/>
        <v>0.97843810720289348</v>
      </c>
    </row>
    <row r="21" spans="1:5" x14ac:dyDescent="0.25">
      <c r="A21">
        <v>224</v>
      </c>
      <c r="B21" s="58">
        <f t="shared" si="0"/>
        <v>0.19440309056424698</v>
      </c>
      <c r="C21" s="58">
        <f t="shared" si="1"/>
        <v>0.60749580884868815</v>
      </c>
      <c r="D21" s="58">
        <f t="shared" si="2"/>
        <v>0.93868048661370751</v>
      </c>
      <c r="E21" s="58">
        <f t="shared" si="3"/>
        <v>0.9945418499183758</v>
      </c>
    </row>
    <row r="22" spans="1:5" x14ac:dyDescent="0.25">
      <c r="A22">
        <v>227</v>
      </c>
      <c r="B22" s="58">
        <f t="shared" si="0"/>
        <v>0.40609424267051786</v>
      </c>
      <c r="C22" s="58">
        <f t="shared" si="1"/>
        <v>0.80231258567408303</v>
      </c>
      <c r="D22" s="58">
        <f t="shared" si="2"/>
        <v>0.98113780630652658</v>
      </c>
      <c r="E22" s="58">
        <f t="shared" si="3"/>
        <v>0.99885873331131436</v>
      </c>
    </row>
    <row r="23" spans="1:5" x14ac:dyDescent="0.25">
      <c r="A23">
        <v>230</v>
      </c>
      <c r="B23" s="58">
        <f t="shared" si="0"/>
        <v>0.63895074360995929</v>
      </c>
      <c r="C23" s="58">
        <f t="shared" si="1"/>
        <v>0.91969795720689129</v>
      </c>
      <c r="D23" s="58">
        <f t="shared" si="2"/>
        <v>0.9952453756503874</v>
      </c>
      <c r="E23" s="58">
        <f t="shared" si="3"/>
        <v>0.99980029587057329</v>
      </c>
    </row>
    <row r="24" spans="1:5" x14ac:dyDescent="0.25">
      <c r="A24">
        <v>233</v>
      </c>
      <c r="B24" s="58">
        <f t="shared" si="0"/>
        <v>0.82190044617876601</v>
      </c>
      <c r="C24" s="58">
        <f t="shared" si="1"/>
        <v>0.97351764447219336</v>
      </c>
      <c r="D24" s="58">
        <f t="shared" si="2"/>
        <v>0.99900525611788094</v>
      </c>
      <c r="E24" s="58">
        <f t="shared" si="3"/>
        <v>0.99997039458351344</v>
      </c>
    </row>
    <row r="28" spans="1:5" x14ac:dyDescent="0.25">
      <c r="B28" s="145" t="s">
        <v>256</v>
      </c>
      <c r="C28" s="145"/>
    </row>
    <row r="29" spans="1:5" ht="25" x14ac:dyDescent="0.25">
      <c r="A29" s="22" t="s">
        <v>257</v>
      </c>
      <c r="B29" s="3" t="s">
        <v>258</v>
      </c>
      <c r="C29" s="22" t="s">
        <v>259</v>
      </c>
    </row>
    <row r="30" spans="1:5" x14ac:dyDescent="0.25">
      <c r="A30">
        <v>175</v>
      </c>
      <c r="B30" s="55">
        <f>BINOMDIST(A30,$B$6,1-$B$4,0)</f>
        <v>4.9692048378687068E-5</v>
      </c>
      <c r="C30" s="55">
        <f t="shared" ref="C30:C69" si="4">BINOMDIST(A30,$B$6,1-$B$4,1)</f>
        <v>9.2553583972561408E-5</v>
      </c>
    </row>
    <row r="31" spans="1:5" x14ac:dyDescent="0.25">
      <c r="A31">
        <v>176</v>
      </c>
      <c r="B31" s="55">
        <f t="shared" ref="B31:B70" si="5">BINOMDIST(A31,$B$6,1-$B$4,0)</f>
        <v>1.0164282622913283E-4</v>
      </c>
      <c r="C31" s="55">
        <f t="shared" si="4"/>
        <v>1.9419641020169316E-4</v>
      </c>
    </row>
    <row r="32" spans="1:5" x14ac:dyDescent="0.25">
      <c r="A32">
        <v>177</v>
      </c>
      <c r="B32" s="55">
        <f t="shared" si="5"/>
        <v>2.0156289269167044E-4</v>
      </c>
      <c r="C32" s="55">
        <f t="shared" si="4"/>
        <v>3.9575930289336423E-4</v>
      </c>
    </row>
    <row r="33" spans="1:3" x14ac:dyDescent="0.25">
      <c r="A33">
        <v>178</v>
      </c>
      <c r="B33" s="55">
        <f t="shared" si="5"/>
        <v>3.8727252416039876E-4</v>
      </c>
      <c r="C33" s="55">
        <f t="shared" si="4"/>
        <v>7.8303182705376239E-4</v>
      </c>
    </row>
    <row r="34" spans="1:3" x14ac:dyDescent="0.25">
      <c r="A34">
        <v>179</v>
      </c>
      <c r="B34" s="55">
        <f t="shared" si="5"/>
        <v>7.204567069576147E-4</v>
      </c>
      <c r="C34" s="55">
        <f t="shared" si="4"/>
        <v>1.5034885340113758E-3</v>
      </c>
    </row>
    <row r="35" spans="1:3" x14ac:dyDescent="0.25">
      <c r="A35">
        <v>180</v>
      </c>
      <c r="B35" s="55">
        <f t="shared" si="5"/>
        <v>1.2968220725237082E-3</v>
      </c>
      <c r="C35" s="55">
        <f t="shared" si="4"/>
        <v>2.8003106065350803E-3</v>
      </c>
    </row>
    <row r="36" spans="1:3" x14ac:dyDescent="0.25">
      <c r="A36">
        <v>181</v>
      </c>
      <c r="B36" s="55">
        <f t="shared" si="5"/>
        <v>2.2569002919611428E-3</v>
      </c>
      <c r="C36" s="55">
        <f t="shared" si="4"/>
        <v>5.05721089849623E-3</v>
      </c>
    </row>
    <row r="37" spans="1:3" x14ac:dyDescent="0.25">
      <c r="A37">
        <v>182</v>
      </c>
      <c r="B37" s="55">
        <f t="shared" si="5"/>
        <v>3.7945686227478645E-3</v>
      </c>
      <c r="C37" s="55">
        <f t="shared" si="4"/>
        <v>8.8517795212440988E-3</v>
      </c>
    </row>
    <row r="38" spans="1:3" x14ac:dyDescent="0.25">
      <c r="A38">
        <v>183</v>
      </c>
      <c r="B38" s="55">
        <f t="shared" si="5"/>
        <v>6.1583982565907918E-3</v>
      </c>
      <c r="C38" s="55">
        <f t="shared" si="4"/>
        <v>1.5010177777834876E-2</v>
      </c>
    </row>
    <row r="39" spans="1:3" x14ac:dyDescent="0.25">
      <c r="A39">
        <v>184</v>
      </c>
      <c r="B39" s="55">
        <f t="shared" si="5"/>
        <v>9.6392320537942826E-3</v>
      </c>
      <c r="C39" s="55">
        <f t="shared" si="4"/>
        <v>2.4649409831629169E-2</v>
      </c>
    </row>
    <row r="40" spans="1:3" x14ac:dyDescent="0.25">
      <c r="A40">
        <v>185</v>
      </c>
      <c r="B40" s="55">
        <f t="shared" si="5"/>
        <v>1.4537004016262739E-2</v>
      </c>
      <c r="C40" s="55">
        <f t="shared" si="4"/>
        <v>3.9186413847891989E-2</v>
      </c>
    </row>
    <row r="41" spans="1:3" x14ac:dyDescent="0.25">
      <c r="A41">
        <v>186</v>
      </c>
      <c r="B41" s="55">
        <f t="shared" si="5"/>
        <v>2.1102102604252375E-2</v>
      </c>
      <c r="C41" s="55">
        <f t="shared" si="4"/>
        <v>6.0288516452144239E-2</v>
      </c>
    </row>
    <row r="42" spans="1:3" x14ac:dyDescent="0.25">
      <c r="A42">
        <v>187</v>
      </c>
      <c r="B42" s="55">
        <f t="shared" si="5"/>
        <v>2.9452667271175802E-2</v>
      </c>
      <c r="C42" s="55">
        <f t="shared" si="4"/>
        <v>8.9741183723319976E-2</v>
      </c>
    </row>
    <row r="43" spans="1:3" x14ac:dyDescent="0.25">
      <c r="A43">
        <v>188</v>
      </c>
      <c r="B43" s="55">
        <f t="shared" si="5"/>
        <v>3.9479107193278191E-2</v>
      </c>
      <c r="C43" s="55">
        <f t="shared" si="4"/>
        <v>0.12922029091659809</v>
      </c>
    </row>
    <row r="44" spans="1:3" x14ac:dyDescent="0.25">
      <c r="A44">
        <v>189</v>
      </c>
      <c r="B44" s="55">
        <f t="shared" si="5"/>
        <v>5.0758852105643362E-2</v>
      </c>
      <c r="C44" s="55">
        <f t="shared" si="4"/>
        <v>0.17997914302224163</v>
      </c>
    </row>
    <row r="45" spans="1:3" x14ac:dyDescent="0.25">
      <c r="A45">
        <v>190</v>
      </c>
      <c r="B45" s="55">
        <f t="shared" si="5"/>
        <v>6.2513533645897693E-2</v>
      </c>
      <c r="C45" s="55">
        <f t="shared" si="4"/>
        <v>0.24249267666813901</v>
      </c>
    </row>
    <row r="46" spans="1:3" x14ac:dyDescent="0.25">
      <c r="A46">
        <v>191</v>
      </c>
      <c r="B46" s="55">
        <f t="shared" si="5"/>
        <v>7.3641597226842839E-2</v>
      </c>
      <c r="C46" s="55">
        <f t="shared" si="4"/>
        <v>0.31613427389498217</v>
      </c>
    </row>
    <row r="47" spans="1:3" x14ac:dyDescent="0.25">
      <c r="A47">
        <v>192</v>
      </c>
      <c r="B47" s="55">
        <f t="shared" si="5"/>
        <v>8.2846796880198206E-2</v>
      </c>
      <c r="C47" s="55">
        <f t="shared" si="4"/>
        <v>0.39898107077518014</v>
      </c>
    </row>
    <row r="48" spans="1:3" x14ac:dyDescent="0.25">
      <c r="A48">
        <v>193</v>
      </c>
      <c r="B48" s="55">
        <f t="shared" si="5"/>
        <v>8.8856409089124511E-2</v>
      </c>
      <c r="C48" s="55">
        <f t="shared" si="4"/>
        <v>0.48783747986430454</v>
      </c>
    </row>
    <row r="49" spans="1:3" x14ac:dyDescent="0.25">
      <c r="A49">
        <v>194</v>
      </c>
      <c r="B49" s="55">
        <f t="shared" si="5"/>
        <v>9.0688499998178629E-2</v>
      </c>
      <c r="C49" s="55">
        <f t="shared" si="4"/>
        <v>0.57852597986248411</v>
      </c>
    </row>
    <row r="50" spans="1:3" x14ac:dyDescent="0.25">
      <c r="A50">
        <v>195</v>
      </c>
      <c r="B50" s="55">
        <f t="shared" si="5"/>
        <v>8.7898084613619309E-2</v>
      </c>
      <c r="C50" s="55">
        <f t="shared" si="4"/>
        <v>0.66642406447610347</v>
      </c>
    </row>
    <row r="51" spans="1:3" x14ac:dyDescent="0.25">
      <c r="A51">
        <v>196</v>
      </c>
      <c r="B51" s="55">
        <f t="shared" si="5"/>
        <v>8.0722730767609621E-2</v>
      </c>
      <c r="C51" s="55">
        <f t="shared" si="4"/>
        <v>0.74714679524371241</v>
      </c>
    </row>
    <row r="52" spans="1:3" x14ac:dyDescent="0.25">
      <c r="A52">
        <v>197</v>
      </c>
      <c r="B52" s="55">
        <f t="shared" si="5"/>
        <v>7.0068969346503793E-2</v>
      </c>
      <c r="C52" s="55">
        <f t="shared" si="4"/>
        <v>0.81721576459021661</v>
      </c>
    </row>
    <row r="53" spans="1:3" x14ac:dyDescent="0.25">
      <c r="A53">
        <v>198</v>
      </c>
      <c r="B53" s="55">
        <f t="shared" si="5"/>
        <v>5.7329156738048552E-2</v>
      </c>
      <c r="C53" s="55">
        <f t="shared" si="4"/>
        <v>0.87454492132826511</v>
      </c>
    </row>
    <row r="54" spans="1:3" x14ac:dyDescent="0.25">
      <c r="A54">
        <v>199</v>
      </c>
      <c r="B54" s="55">
        <f t="shared" si="5"/>
        <v>4.4077190858901667E-2</v>
      </c>
      <c r="C54" s="55">
        <f t="shared" si="4"/>
        <v>0.91862211218716683</v>
      </c>
    </row>
    <row r="55" spans="1:3" x14ac:dyDescent="0.25">
      <c r="A55">
        <v>200</v>
      </c>
      <c r="B55" s="55">
        <f t="shared" si="5"/>
        <v>3.1735577418409169E-2</v>
      </c>
      <c r="C55" s="55">
        <f t="shared" si="4"/>
        <v>0.95035768960557587</v>
      </c>
    </row>
    <row r="56" spans="1:3" x14ac:dyDescent="0.25">
      <c r="A56">
        <v>201</v>
      </c>
      <c r="B56" s="55">
        <f t="shared" si="5"/>
        <v>2.1314940057140495E-2</v>
      </c>
      <c r="C56" s="55">
        <f t="shared" si="4"/>
        <v>0.97167262966271628</v>
      </c>
    </row>
    <row r="57" spans="1:3" x14ac:dyDescent="0.25">
      <c r="A57">
        <v>202</v>
      </c>
      <c r="B57" s="55">
        <f t="shared" si="5"/>
        <v>1.3295457659404481E-2</v>
      </c>
      <c r="C57" s="55">
        <f t="shared" si="4"/>
        <v>0.98496808732212093</v>
      </c>
    </row>
    <row r="58" spans="1:3" x14ac:dyDescent="0.25">
      <c r="A58">
        <v>203</v>
      </c>
      <c r="B58" s="55">
        <f t="shared" si="5"/>
        <v>7.6628992421198206E-3</v>
      </c>
      <c r="C58" s="55">
        <f t="shared" si="4"/>
        <v>0.99263098656424065</v>
      </c>
    </row>
    <row r="59" spans="1:3" x14ac:dyDescent="0.25">
      <c r="A59">
        <v>204</v>
      </c>
      <c r="B59" s="55">
        <f t="shared" si="5"/>
        <v>4.0568290105340238E-3</v>
      </c>
      <c r="C59" s="55">
        <f t="shared" si="4"/>
        <v>0.9966878155747747</v>
      </c>
    </row>
    <row r="60" spans="1:3" x14ac:dyDescent="0.25">
      <c r="A60">
        <v>205</v>
      </c>
      <c r="B60" s="55">
        <f t="shared" si="5"/>
        <v>1.9591515709408217E-3</v>
      </c>
      <c r="C60" s="55">
        <f t="shared" si="4"/>
        <v>0.99864696714571555</v>
      </c>
    </row>
    <row r="61" spans="1:3" x14ac:dyDescent="0.25">
      <c r="A61">
        <v>206</v>
      </c>
      <c r="B61" s="55">
        <f t="shared" si="5"/>
        <v>8.5594000672171771E-4</v>
      </c>
      <c r="C61" s="55">
        <f t="shared" si="4"/>
        <v>0.99950290715243728</v>
      </c>
    </row>
    <row r="62" spans="1:3" x14ac:dyDescent="0.25">
      <c r="A62">
        <v>207</v>
      </c>
      <c r="B62" s="55">
        <f t="shared" si="5"/>
        <v>3.3493304610849862E-4</v>
      </c>
      <c r="C62" s="55">
        <f t="shared" si="4"/>
        <v>0.99983784019854571</v>
      </c>
    </row>
    <row r="63" spans="1:3" x14ac:dyDescent="0.25">
      <c r="A63">
        <v>208</v>
      </c>
      <c r="B63" s="55">
        <f t="shared" si="5"/>
        <v>1.1593836211448044E-4</v>
      </c>
      <c r="C63" s="55">
        <f t="shared" si="4"/>
        <v>0.99995377856066026</v>
      </c>
    </row>
    <row r="64" spans="1:3" x14ac:dyDescent="0.25">
      <c r="A64">
        <v>209</v>
      </c>
      <c r="B64" s="55">
        <f t="shared" si="5"/>
        <v>3.4947927335943911E-5</v>
      </c>
      <c r="C64" s="55">
        <f t="shared" si="4"/>
        <v>0.99998872648799619</v>
      </c>
    </row>
    <row r="65" spans="1:3" x14ac:dyDescent="0.25">
      <c r="A65">
        <v>210</v>
      </c>
      <c r="B65" s="55">
        <f t="shared" si="5"/>
        <v>8.9866098863855755E-6</v>
      </c>
      <c r="C65" s="55">
        <f t="shared" si="4"/>
        <v>0.99999771309788255</v>
      </c>
    </row>
    <row r="66" spans="1:3" x14ac:dyDescent="0.25">
      <c r="A66">
        <v>211</v>
      </c>
      <c r="B66" s="55">
        <f t="shared" si="5"/>
        <v>1.9165755681864992E-6</v>
      </c>
      <c r="C66" s="55">
        <f t="shared" si="4"/>
        <v>0.9999996296734508</v>
      </c>
    </row>
    <row r="67" spans="1:3" x14ac:dyDescent="0.25">
      <c r="A67">
        <v>212</v>
      </c>
      <c r="B67" s="55">
        <f t="shared" si="5"/>
        <v>3.254562285599697E-7</v>
      </c>
      <c r="C67" s="55">
        <f t="shared" si="4"/>
        <v>0.99999995512967932</v>
      </c>
    </row>
    <row r="68" spans="1:3" x14ac:dyDescent="0.25">
      <c r="A68">
        <v>213</v>
      </c>
      <c r="B68" s="55">
        <f t="shared" si="5"/>
        <v>4.1255014887883512E-8</v>
      </c>
      <c r="C68" s="55">
        <f t="shared" si="4"/>
        <v>0.99999999638469417</v>
      </c>
    </row>
    <row r="69" spans="1:3" x14ac:dyDescent="0.25">
      <c r="A69">
        <v>214</v>
      </c>
      <c r="B69" s="55">
        <f t="shared" si="5"/>
        <v>3.4700479812238734E-9</v>
      </c>
      <c r="C69" s="55">
        <f t="shared" si="4"/>
        <v>0.99999999985474219</v>
      </c>
    </row>
    <row r="70" spans="1:3" x14ac:dyDescent="0.25">
      <c r="A70">
        <v>215</v>
      </c>
      <c r="B70" s="55">
        <f t="shared" si="5"/>
        <v>1.4525782246983613E-10</v>
      </c>
      <c r="C70" s="55">
        <f>BINOMDIST(A70,$B$6,1-$B$4,1)</f>
        <v>1</v>
      </c>
    </row>
  </sheetData>
  <mergeCells count="1">
    <mergeCell ref="B28:C28"/>
  </mergeCells>
  <pageMargins left="0.78740157499999996" right="0.78740157499999996" top="0.984251969" bottom="0.984251969" header="0.4921259845" footer="0.492125984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workbookViewId="0"/>
  </sheetViews>
  <sheetFormatPr defaultColWidth="11.453125" defaultRowHeight="12.5" x14ac:dyDescent="0.25"/>
  <cols>
    <col min="1" max="1" width="11.453125" customWidth="1"/>
    <col min="2" max="3" width="7" customWidth="1"/>
    <col min="4" max="4" width="8.26953125" customWidth="1"/>
    <col min="5" max="5" width="7.7265625" customWidth="1"/>
    <col min="6" max="6" width="7" style="18" customWidth="1"/>
    <col min="7" max="7" width="8.453125" customWidth="1"/>
    <col min="8" max="8" width="9.7265625" customWidth="1"/>
    <col min="9" max="9" width="8.1796875" style="86" customWidth="1"/>
    <col min="10" max="10" width="7.7265625" customWidth="1"/>
    <col min="11" max="11" width="6.26953125" customWidth="1"/>
  </cols>
  <sheetData>
    <row r="1" spans="1:11" ht="13" x14ac:dyDescent="0.3">
      <c r="A1" s="2" t="s">
        <v>260</v>
      </c>
    </row>
    <row r="2" spans="1:11" x14ac:dyDescent="0.25">
      <c r="A2" t="s">
        <v>116</v>
      </c>
      <c r="E2" s="13">
        <v>52263.333333333336</v>
      </c>
    </row>
    <row r="3" spans="1:11" x14ac:dyDescent="0.25">
      <c r="A3" t="s">
        <v>117</v>
      </c>
      <c r="E3" s="13">
        <v>11492.650825136294</v>
      </c>
    </row>
    <row r="4" spans="1:11" x14ac:dyDescent="0.25">
      <c r="A4" t="s">
        <v>261</v>
      </c>
      <c r="E4">
        <v>30</v>
      </c>
    </row>
    <row r="5" spans="1:11" x14ac:dyDescent="0.25">
      <c r="D5" s="3"/>
      <c r="E5" s="3"/>
      <c r="G5" s="3"/>
    </row>
    <row r="6" spans="1:11" x14ac:dyDescent="0.25">
      <c r="A6" t="s">
        <v>262</v>
      </c>
      <c r="D6" s="3"/>
      <c r="E6" s="13">
        <f>E3/SQRT(E4)</f>
        <v>2098.2613674858362</v>
      </c>
    </row>
    <row r="7" spans="1:11" x14ac:dyDescent="0.25">
      <c r="C7" s="89"/>
      <c r="D7" s="3"/>
      <c r="E7" s="3"/>
    </row>
    <row r="8" spans="1:11" ht="13" x14ac:dyDescent="0.3">
      <c r="A8" s="2" t="s">
        <v>263</v>
      </c>
      <c r="C8" s="89"/>
      <c r="D8" s="3"/>
      <c r="E8" s="3"/>
    </row>
    <row r="9" spans="1:11" ht="25" x14ac:dyDescent="0.25">
      <c r="B9" s="15" t="s">
        <v>41</v>
      </c>
      <c r="C9" s="3" t="s">
        <v>203</v>
      </c>
      <c r="D9" s="22" t="s">
        <v>264</v>
      </c>
      <c r="E9" s="22" t="s">
        <v>265</v>
      </c>
    </row>
    <row r="10" spans="1:11" x14ac:dyDescent="0.25">
      <c r="B10">
        <v>0.05</v>
      </c>
      <c r="C10" s="29">
        <f>ABS(NORMSINV(B10/2))</f>
        <v>1.9599639845400538</v>
      </c>
      <c r="D10" s="13">
        <f>$E$2-C10*$E$6</f>
        <v>48150.816622909333</v>
      </c>
      <c r="E10" s="13">
        <f>$E$2+C10*$E$6</f>
        <v>56375.850043757338</v>
      </c>
    </row>
    <row r="11" spans="1:11" x14ac:dyDescent="0.25">
      <c r="G11" s="108" t="s">
        <v>266</v>
      </c>
      <c r="H11" s="109"/>
    </row>
    <row r="12" spans="1:11" ht="13" x14ac:dyDescent="0.3">
      <c r="A12" s="2" t="s">
        <v>267</v>
      </c>
      <c r="D12" s="108" t="s">
        <v>268</v>
      </c>
      <c r="E12" s="108" t="s">
        <v>269</v>
      </c>
      <c r="G12" s="108" t="s">
        <v>270</v>
      </c>
      <c r="H12" s="108" t="s">
        <v>271</v>
      </c>
    </row>
    <row r="13" spans="1:11" x14ac:dyDescent="0.25">
      <c r="B13" s="3" t="s">
        <v>272</v>
      </c>
      <c r="C13" s="15" t="s">
        <v>41</v>
      </c>
      <c r="D13" s="108" t="s">
        <v>273</v>
      </c>
      <c r="E13" s="108" t="s">
        <v>273</v>
      </c>
      <c r="F13" s="80"/>
      <c r="G13" s="108" t="s">
        <v>274</v>
      </c>
      <c r="H13" s="108" t="s">
        <v>275</v>
      </c>
      <c r="J13" s="108" t="s">
        <v>276</v>
      </c>
    </row>
    <row r="14" spans="1:11" x14ac:dyDescent="0.25">
      <c r="A14" t="s">
        <v>277</v>
      </c>
      <c r="B14" s="13">
        <v>47500</v>
      </c>
      <c r="C14">
        <v>0.05</v>
      </c>
      <c r="D14" s="110">
        <f>$E$2+NORMSINV($C14/2)*$E$6</f>
        <v>48150.816622909333</v>
      </c>
      <c r="E14" s="110">
        <f>$E$2-NORMSINV($C14/2)*$E$6</f>
        <v>56375.850043757338</v>
      </c>
      <c r="F14" s="18" t="str">
        <f>IF(OR($B14&lt;$D14,$B14&gt;$E14),"reject","accept")</f>
        <v>reject</v>
      </c>
      <c r="G14" s="111">
        <f>($E$2-B14)/$E$6</f>
        <v>2.2701334577020895</v>
      </c>
      <c r="H14" s="111">
        <f>ABS(NORMSINV(C14/2))</f>
        <v>1.9599639845400538</v>
      </c>
      <c r="I14" s="86" t="str">
        <f>IF(ABS($G14)&gt;$H14,"reject","accept")</f>
        <v>reject</v>
      </c>
      <c r="J14" s="111">
        <f>IF(B14&lt;E2,NORMDIST(B14,E2,E6,1)*2,(1-NORMDIST(B14,E2,E6,1))*2)</f>
        <v>2.3199486868522464E-2</v>
      </c>
      <c r="K14" s="18" t="str">
        <f>IF(J14&lt;=$C14,"reject","accept")</f>
        <v>reject</v>
      </c>
    </row>
    <row r="15" spans="1:11" x14ac:dyDescent="0.25">
      <c r="B15" s="13">
        <v>47500</v>
      </c>
      <c r="C15">
        <v>0.01</v>
      </c>
      <c r="D15" s="110">
        <f>$E$2+NORMSINV($C15/2)*$E$6</f>
        <v>46858.570216458735</v>
      </c>
      <c r="E15" s="110">
        <f>$E$2-NORMSINV($C15/2)*$E$6</f>
        <v>57668.096450207937</v>
      </c>
      <c r="F15" s="18" t="str">
        <f>IF(OR($B15&lt;$D15,$B15&gt;$E15),"reject","accept")</f>
        <v>accept</v>
      </c>
      <c r="G15" s="111">
        <f>($E$2-B15)/$E$6</f>
        <v>2.2701334577020895</v>
      </c>
      <c r="H15" s="111">
        <f>ABS(NORMSINV(C15/2))</f>
        <v>2.5758293035488999</v>
      </c>
      <c r="I15" s="86" t="str">
        <f>IF(ABS($G15)&gt;$H15,"reject","accept")</f>
        <v>accept</v>
      </c>
      <c r="J15" s="111">
        <f>IF(B15&lt;E2,NORMDIST(B15,E2,E6,1)*2,(1-NORMDIST(B15,E2,E6,1))*2)</f>
        <v>2.3199486868522464E-2</v>
      </c>
      <c r="K15" s="18" t="str">
        <f>IF(J15&lt;=$C15,"reject","accept")</f>
        <v>accept</v>
      </c>
    </row>
    <row r="18" spans="1:15" ht="13" x14ac:dyDescent="0.3">
      <c r="A18" s="2" t="s">
        <v>278</v>
      </c>
    </row>
    <row r="20" spans="1:15" x14ac:dyDescent="0.25">
      <c r="B20" s="3" t="s">
        <v>279</v>
      </c>
      <c r="C20" s="3" t="s">
        <v>280</v>
      </c>
    </row>
    <row r="21" spans="1:15" x14ac:dyDescent="0.25">
      <c r="A21" t="s">
        <v>116</v>
      </c>
      <c r="B21">
        <v>55083.333333333336</v>
      </c>
      <c r="C21">
        <v>48033.333333333336</v>
      </c>
    </row>
    <row r="22" spans="1:15" x14ac:dyDescent="0.25">
      <c r="A22" t="s">
        <v>185</v>
      </c>
      <c r="B22">
        <v>11971.74369333154</v>
      </c>
      <c r="C22">
        <v>12182.090679901105</v>
      </c>
    </row>
    <row r="23" spans="1:15" x14ac:dyDescent="0.25">
      <c r="A23" t="s">
        <v>161</v>
      </c>
      <c r="B23">
        <v>18</v>
      </c>
      <c r="C23">
        <v>12</v>
      </c>
    </row>
    <row r="24" spans="1:15" x14ac:dyDescent="0.25">
      <c r="A24" t="s">
        <v>281</v>
      </c>
      <c r="B24" s="13">
        <f>B22/SQRT(B23)</f>
        <v>2821.7670493940054</v>
      </c>
      <c r="C24" s="13">
        <f>C22/SQRT(C23)</f>
        <v>3516.666666666667</v>
      </c>
    </row>
    <row r="26" spans="1:15" x14ac:dyDescent="0.25">
      <c r="A26" t="s">
        <v>282</v>
      </c>
      <c r="B26">
        <f>(B21-C21)/SQRT(B22^2/B23+C22^2/C23)</f>
        <v>1.5636075470806057</v>
      </c>
    </row>
    <row r="27" spans="1:15" x14ac:dyDescent="0.25">
      <c r="A27" t="s">
        <v>276</v>
      </c>
      <c r="B27">
        <f>2*(1-NORMSDIST(ABS(B26)))</f>
        <v>0.11790976141095033</v>
      </c>
    </row>
    <row r="30" spans="1:15" x14ac:dyDescent="0.25">
      <c r="M30">
        <v>-3.5</v>
      </c>
      <c r="N30" s="13">
        <f t="shared" ref="N30:N93" si="0">$E$2+M30*$E$6</f>
        <v>44919.418547132911</v>
      </c>
      <c r="O30">
        <f>NORMDIST(N30,$E$2,$E$6,1)</f>
        <v>2.3262907903552545E-4</v>
      </c>
    </row>
    <row r="31" spans="1:15" x14ac:dyDescent="0.25">
      <c r="M31">
        <v>-3.4</v>
      </c>
      <c r="N31" s="13">
        <f t="shared" si="0"/>
        <v>45129.244683881494</v>
      </c>
      <c r="O31">
        <f>NORMDIST(N31,$E$2,$E$6,1)-SUM($O$30:O30)</f>
        <v>1.0430018664135606E-4</v>
      </c>
    </row>
    <row r="32" spans="1:15" x14ac:dyDescent="0.25">
      <c r="M32">
        <v>-3.3</v>
      </c>
      <c r="N32" s="13">
        <f t="shared" si="0"/>
        <v>45339.070820630077</v>
      </c>
      <c r="O32">
        <f>NORMDIST(N32,$E$2,$E$6,1)-SUM($O$30:O31)</f>
        <v>1.4649487670689593E-4</v>
      </c>
    </row>
    <row r="33" spans="13:15" x14ac:dyDescent="0.25">
      <c r="M33">
        <v>-3.2</v>
      </c>
      <c r="N33" s="13">
        <f t="shared" si="0"/>
        <v>45548.89695737866</v>
      </c>
      <c r="O33">
        <f>NORMDIST(N33,$E$2,$E$6,1)-SUM($O$30:O32)</f>
        <v>2.0371379553206975E-4</v>
      </c>
    </row>
    <row r="34" spans="13:15" x14ac:dyDescent="0.25">
      <c r="M34">
        <v>-3.1</v>
      </c>
      <c r="N34" s="13">
        <f t="shared" si="0"/>
        <v>45758.723094127243</v>
      </c>
      <c r="O34">
        <f>NORMDIST(N34,$E$2,$E$6,1)-SUM($O$30:O33)</f>
        <v>2.8046527530250717E-4</v>
      </c>
    </row>
    <row r="35" spans="13:15" x14ac:dyDescent="0.25">
      <c r="M35">
        <v>-3</v>
      </c>
      <c r="N35" s="13">
        <f t="shared" si="0"/>
        <v>45968.549230875826</v>
      </c>
      <c r="O35">
        <f>NORMDIST(N35,$E$2,$E$6,1)-SUM($O$30:O34)</f>
        <v>3.8229481841173891E-4</v>
      </c>
    </row>
    <row r="36" spans="13:15" x14ac:dyDescent="0.25">
      <c r="M36">
        <v>-2.9</v>
      </c>
      <c r="N36" s="13">
        <f t="shared" si="0"/>
        <v>46178.375367624409</v>
      </c>
      <c r="O36">
        <f>NORMDIST(N36,$E$2,$E$6,1)-SUM($O$30:O35)</f>
        <v>5.1591526875393689E-4</v>
      </c>
    </row>
    <row r="37" spans="13:15" x14ac:dyDescent="0.25">
      <c r="M37">
        <v>-2.8</v>
      </c>
      <c r="N37" s="13">
        <f t="shared" si="0"/>
        <v>46388.201504372992</v>
      </c>
      <c r="O37">
        <f>NORMDIST(N37,$E$2,$E$6,1)-SUM($O$30:O36)</f>
        <v>6.8931703004389017E-4</v>
      </c>
    </row>
    <row r="38" spans="13:15" x14ac:dyDescent="0.25">
      <c r="M38">
        <v>-2.7</v>
      </c>
      <c r="N38" s="13">
        <f t="shared" si="0"/>
        <v>46598.027641121575</v>
      </c>
      <c r="O38">
        <f>NORMDIST(N38,$E$2,$E$6,1)-SUM($O$30:O37)</f>
        <v>9.1184347261273092E-4</v>
      </c>
    </row>
    <row r="39" spans="13:15" x14ac:dyDescent="0.25">
      <c r="M39">
        <v>-2.6</v>
      </c>
      <c r="N39" s="13">
        <f t="shared" si="0"/>
        <v>46807.853777870158</v>
      </c>
      <c r="O39">
        <f>NORMDIST(N39,$E$2,$E$6,1)-SUM($O$30:O38)</f>
        <v>1.1942142206780712E-3</v>
      </c>
    </row>
    <row r="40" spans="13:15" x14ac:dyDescent="0.25">
      <c r="M40">
        <v>-2.5</v>
      </c>
      <c r="N40" s="13">
        <f t="shared" si="0"/>
        <v>47017.679914618748</v>
      </c>
      <c r="O40">
        <f>NORMDIST(N40,$E$2,$E$6,1)-SUM($O$30:O39)</f>
        <v>1.5484773020574341E-3</v>
      </c>
    </row>
    <row r="41" spans="13:15" x14ac:dyDescent="0.25">
      <c r="M41">
        <v>-2.4</v>
      </c>
      <c r="N41" s="13">
        <f t="shared" si="0"/>
        <v>47227.506051367331</v>
      </c>
      <c r="O41">
        <f>NORMDIST(N41,$E$2,$E$6,1)-SUM($O$30:O40)</f>
        <v>1.9878705988199937E-3</v>
      </c>
    </row>
    <row r="42" spans="13:15" x14ac:dyDescent="0.25">
      <c r="M42">
        <v>-2.2999999999999998</v>
      </c>
      <c r="N42" s="13">
        <f t="shared" si="0"/>
        <v>47437.332188115914</v>
      </c>
      <c r="O42">
        <f>NORMDIST(N42,$E$2,$E$6,1)-SUM($O$30:O41)</f>
        <v>2.5265740970796639E-3</v>
      </c>
    </row>
    <row r="43" spans="13:15" x14ac:dyDescent="0.25">
      <c r="M43">
        <v>-2.2000000000000002</v>
      </c>
      <c r="N43" s="13">
        <f t="shared" si="0"/>
        <v>47647.158324864497</v>
      </c>
      <c r="O43">
        <f>NORMDIST(N43,$E$2,$E$6,1)-SUM($O$30:O42)</f>
        <v>3.1793374918228073E-3</v>
      </c>
    </row>
    <row r="44" spans="13:15" x14ac:dyDescent="0.25">
      <c r="M44">
        <v>-2.1</v>
      </c>
      <c r="N44" s="13">
        <f t="shared" si="0"/>
        <v>47856.984461613079</v>
      </c>
      <c r="O44">
        <f>NORMDIST(N44,$E$2,$E$6,1)-SUM($O$30:O43)</f>
        <v>3.9609730493179243E-3</v>
      </c>
    </row>
    <row r="45" spans="13:15" x14ac:dyDescent="0.25">
      <c r="M45">
        <v>-2</v>
      </c>
      <c r="N45" s="13">
        <f t="shared" si="0"/>
        <v>48066.810598361662</v>
      </c>
      <c r="O45">
        <f>NORMDIST(N45,$E$2,$E$6,1)-SUM($O$30:O44)</f>
        <v>4.8857113853626385E-3</v>
      </c>
    </row>
    <row r="46" spans="13:15" x14ac:dyDescent="0.25">
      <c r="M46">
        <v>-1.9</v>
      </c>
      <c r="N46" s="13">
        <f t="shared" si="0"/>
        <v>48276.636735110245</v>
      </c>
      <c r="O46">
        <f>NORMDIST(N46,$E$2,$E$6,1)-SUM($O$30:O45)</f>
        <v>5.9664278678225463E-3</v>
      </c>
    </row>
    <row r="47" spans="13:15" x14ac:dyDescent="0.25">
      <c r="M47">
        <v>-1.8</v>
      </c>
      <c r="N47" s="13">
        <f t="shared" si="0"/>
        <v>48486.462871858828</v>
      </c>
      <c r="O47">
        <f>NORMDIST(N47,$E$2,$E$6,1)-SUM($O$30:O46)</f>
        <v>7.2137592969239821E-3</v>
      </c>
    </row>
    <row r="48" spans="13:15" x14ac:dyDescent="0.25">
      <c r="M48">
        <v>-1.7</v>
      </c>
      <c r="N48" s="13">
        <f t="shared" si="0"/>
        <v>48696.289008607411</v>
      </c>
      <c r="O48">
        <f>NORMDIST(N48,$E$2,$E$6,1)-SUM($O$30:O47)</f>
        <v>8.6351436456171687E-3</v>
      </c>
    </row>
    <row r="49" spans="13:15" x14ac:dyDescent="0.25">
      <c r="M49">
        <v>-1.6</v>
      </c>
      <c r="N49" s="13">
        <f t="shared" si="0"/>
        <v>48906.115145356001</v>
      </c>
      <c r="O49">
        <f>NORMDIST(N49,$E$2,$E$6,1)-SUM($O$30:O48)</f>
        <v>1.0233828941015301E-2</v>
      </c>
    </row>
    <row r="50" spans="13:15" x14ac:dyDescent="0.25">
      <c r="M50">
        <v>-1.5</v>
      </c>
      <c r="N50" s="13">
        <f t="shared" si="0"/>
        <v>49115.941282104584</v>
      </c>
      <c r="O50">
        <f>NORMDIST(N50,$E$2,$E$6,1)-SUM($O$30:O49)</f>
        <v>1.2007909569300014E-2</v>
      </c>
    </row>
    <row r="51" spans="13:15" x14ac:dyDescent="0.25">
      <c r="M51">
        <v>-1.4</v>
      </c>
      <c r="N51" s="13">
        <f t="shared" si="0"/>
        <v>49325.767418853167</v>
      </c>
      <c r="O51">
        <f>NORMDIST(N51,$E$2,$E$6,1)-SUM($O$30:O50)</f>
        <v>1.3949457964912967E-2</v>
      </c>
    </row>
    <row r="52" spans="13:15" x14ac:dyDescent="0.25">
      <c r="M52">
        <v>-1.3</v>
      </c>
      <c r="N52" s="13">
        <f t="shared" si="0"/>
        <v>49535.59355560175</v>
      </c>
      <c r="O52">
        <f>NORMDIST(N52,$E$2,$E$6,1)-SUM($O$30:O51)</f>
        <v>1.6043825351839278E-2</v>
      </c>
    </row>
    <row r="53" spans="13:15" x14ac:dyDescent="0.25">
      <c r="M53">
        <v>-1.2</v>
      </c>
      <c r="N53" s="13">
        <f t="shared" si="0"/>
        <v>49745.419692350333</v>
      </c>
      <c r="O53">
        <f>NORMDIST(N53,$E$2,$E$6,1)-SUM($O$30:O52)</f>
        <v>1.8269185636097932E-2</v>
      </c>
    </row>
    <row r="54" spans="13:15" x14ac:dyDescent="0.25">
      <c r="M54">
        <v>-1.1000000000000001</v>
      </c>
      <c r="N54" s="13">
        <f t="shared" si="0"/>
        <v>49955.245829098916</v>
      </c>
      <c r="O54">
        <f>NORMDIST(N54,$E$2,$E$6,1)-SUM($O$30:O53)</f>
        <v>2.0596390724674299E-2</v>
      </c>
    </row>
    <row r="55" spans="13:15" x14ac:dyDescent="0.25">
      <c r="M55">
        <v>-1</v>
      </c>
      <c r="N55" s="13">
        <f t="shared" si="0"/>
        <v>50165.071965847499</v>
      </c>
      <c r="O55">
        <f>NORMDIST(N55,$E$2,$E$6,1)-SUM($O$30:O54)</f>
        <v>2.2989192985074319E-2</v>
      </c>
    </row>
    <row r="56" spans="13:15" x14ac:dyDescent="0.25">
      <c r="M56">
        <v>-0.9</v>
      </c>
      <c r="N56" s="13">
        <f t="shared" si="0"/>
        <v>50374.898102596082</v>
      </c>
      <c r="O56">
        <f>NORMDIST(N56,$E$2,$E$6,1)-SUM($O$30:O55)</f>
        <v>2.5404871415302371E-2</v>
      </c>
    </row>
    <row r="57" spans="13:15" x14ac:dyDescent="0.25">
      <c r="M57">
        <v>-0.8</v>
      </c>
      <c r="N57" s="13">
        <f t="shared" si="0"/>
        <v>50584.724239344665</v>
      </c>
      <c r="O57">
        <f>NORMDIST(N57,$E$2,$E$6,1)-SUM($O$30:O56)</f>
        <v>2.7795273236637053E-2</v>
      </c>
    </row>
    <row r="58" spans="13:15" x14ac:dyDescent="0.25">
      <c r="M58">
        <v>-0.7</v>
      </c>
      <c r="N58" s="13">
        <f t="shared" si="0"/>
        <v>50794.550376093248</v>
      </c>
      <c r="O58">
        <f>NORMDIST(N58,$E$2,$E$6,1)-SUM($O$30:O57)</f>
        <v>3.0108253639676175E-2</v>
      </c>
    </row>
    <row r="59" spans="13:15" x14ac:dyDescent="0.25">
      <c r="M59">
        <v>-0.6</v>
      </c>
      <c r="N59" s="13">
        <f t="shared" si="0"/>
        <v>51004.376512841831</v>
      </c>
      <c r="O59">
        <f>NORMDIST(N59,$E$2,$E$6,1)-SUM($O$30:O58)</f>
        <v>3.2289465527000405E-2</v>
      </c>
    </row>
    <row r="60" spans="13:15" x14ac:dyDescent="0.25">
      <c r="M60">
        <v>-0.5</v>
      </c>
      <c r="N60" s="13">
        <f t="shared" si="0"/>
        <v>51214.202649590421</v>
      </c>
      <c r="O60">
        <f>NORMDIST(N60,$E$2,$E$6,1)-SUM($O$30:O59)</f>
        <v>3.4284420975914442E-2</v>
      </c>
    </row>
    <row r="61" spans="13:15" x14ac:dyDescent="0.25">
      <c r="M61">
        <v>-0.4</v>
      </c>
      <c r="N61" s="13">
        <f t="shared" si="0"/>
        <v>51424.028786339004</v>
      </c>
      <c r="O61">
        <f>NORMDIST(N61,$E$2,$E$6,1)-SUM($O$30:O60)</f>
        <v>3.6040719663688825E-2</v>
      </c>
    </row>
    <row r="62" spans="13:15" x14ac:dyDescent="0.25">
      <c r="M62">
        <v>-0.3</v>
      </c>
      <c r="N62" s="13">
        <f t="shared" si="0"/>
        <v>51633.854923087587</v>
      </c>
      <c r="O62">
        <f>NORMDIST(N62,$E$2,$E$6,1)-SUM($O$30:O61)</f>
        <v>3.7510319421371452E-2</v>
      </c>
    </row>
    <row r="63" spans="13:15" x14ac:dyDescent="0.25">
      <c r="M63">
        <v>-0.2</v>
      </c>
      <c r="N63" s="13">
        <f t="shared" si="0"/>
        <v>51843.68105983617</v>
      </c>
      <c r="O63">
        <f>NORMDIST(N63,$E$2,$E$6,1)-SUM($O$30:O62)</f>
        <v>3.8651712749849521E-2</v>
      </c>
    </row>
    <row r="64" spans="13:15" x14ac:dyDescent="0.25">
      <c r="M64">
        <v>-0.1</v>
      </c>
      <c r="N64" s="13">
        <f t="shared" si="0"/>
        <v>52053.507196584753</v>
      </c>
      <c r="O64">
        <f>NORMDIST(N64,$E$2,$E$6,1)-SUM($O$30:O63)</f>
        <v>3.9431872162073889E-2</v>
      </c>
    </row>
    <row r="65" spans="13:15" x14ac:dyDescent="0.25">
      <c r="M65">
        <v>0</v>
      </c>
      <c r="N65" s="13">
        <f t="shared" si="0"/>
        <v>52263.333333333336</v>
      </c>
      <c r="O65">
        <f>NORMDIST(N65,$E$2,$E$6,1)-SUM($O$30:O64)</f>
        <v>3.9827837277028877E-2</v>
      </c>
    </row>
    <row r="66" spans="13:15" x14ac:dyDescent="0.25">
      <c r="M66">
        <v>0.1</v>
      </c>
      <c r="N66" s="13">
        <f t="shared" si="0"/>
        <v>52473.159470081919</v>
      </c>
      <c r="O66">
        <f>NORMDIST(N66,$E$2,$E$6,1)-SUM($O$30:O65)</f>
        <v>3.9827837277028877E-2</v>
      </c>
    </row>
    <row r="67" spans="13:15" x14ac:dyDescent="0.25">
      <c r="M67">
        <v>0.2</v>
      </c>
      <c r="N67" s="13">
        <f t="shared" si="0"/>
        <v>52682.985606830502</v>
      </c>
      <c r="O67">
        <f>NORMDIST(N67,$E$2,$E$6,1)-SUM($O$30:O66)</f>
        <v>3.9431872162073889E-2</v>
      </c>
    </row>
    <row r="68" spans="13:15" x14ac:dyDescent="0.25">
      <c r="M68">
        <v>0.3</v>
      </c>
      <c r="N68" s="13">
        <f t="shared" si="0"/>
        <v>52892.811743579085</v>
      </c>
      <c r="O68">
        <f>NORMDIST(N68,$E$2,$E$6,1)-SUM($O$30:O67)</f>
        <v>3.8651712749849576E-2</v>
      </c>
    </row>
    <row r="69" spans="13:15" x14ac:dyDescent="0.25">
      <c r="M69">
        <v>0.4</v>
      </c>
      <c r="N69" s="13">
        <f t="shared" si="0"/>
        <v>53102.637880327668</v>
      </c>
      <c r="O69">
        <f>NORMDIST(N69,$E$2,$E$6,1)-SUM($O$30:O68)</f>
        <v>3.7510319421371396E-2</v>
      </c>
    </row>
    <row r="70" spans="13:15" x14ac:dyDescent="0.25">
      <c r="M70">
        <v>0.5</v>
      </c>
      <c r="N70" s="13">
        <f t="shared" si="0"/>
        <v>53312.46401707625</v>
      </c>
      <c r="O70">
        <f>NORMDIST(N70,$E$2,$E$6,1)-SUM($O$30:O69)</f>
        <v>3.6040719663688825E-2</v>
      </c>
    </row>
    <row r="71" spans="13:15" x14ac:dyDescent="0.25">
      <c r="M71">
        <v>0.6</v>
      </c>
      <c r="N71" s="13">
        <f t="shared" si="0"/>
        <v>53522.290153824841</v>
      </c>
      <c r="O71">
        <f>NORMDIST(N71,$E$2,$E$6,1)-SUM($O$30:O70)</f>
        <v>3.4284420975914442E-2</v>
      </c>
    </row>
    <row r="72" spans="13:15" x14ac:dyDescent="0.25">
      <c r="M72">
        <v>0.7</v>
      </c>
      <c r="N72" s="13">
        <f t="shared" si="0"/>
        <v>53732.116290573424</v>
      </c>
      <c r="O72">
        <f>NORMDIST(N72,$E$2,$E$6,1)-SUM($O$30:O71)</f>
        <v>3.2289465527000405E-2</v>
      </c>
    </row>
    <row r="73" spans="13:15" x14ac:dyDescent="0.25">
      <c r="M73">
        <v>0.8</v>
      </c>
      <c r="N73" s="13">
        <f t="shared" si="0"/>
        <v>53941.942427322007</v>
      </c>
      <c r="O73">
        <f>NORMDIST(N73,$E$2,$E$6,1)-SUM($O$30:O72)</f>
        <v>3.0108253639676175E-2</v>
      </c>
    </row>
    <row r="74" spans="13:15" x14ac:dyDescent="0.25">
      <c r="M74">
        <v>0.9</v>
      </c>
      <c r="N74" s="13">
        <f t="shared" si="0"/>
        <v>54151.768564070589</v>
      </c>
      <c r="O74">
        <f>NORMDIST(N74,$E$2,$E$6,1)-SUM($O$30:O73)</f>
        <v>2.7795273236637108E-2</v>
      </c>
    </row>
    <row r="75" spans="13:15" x14ac:dyDescent="0.25">
      <c r="M75">
        <v>1</v>
      </c>
      <c r="N75" s="13">
        <f t="shared" si="0"/>
        <v>54361.594700819172</v>
      </c>
      <c r="O75">
        <f>NORMDIST(N75,$E$2,$E$6,1)-SUM($O$30:O74)</f>
        <v>2.5404871415302344E-2</v>
      </c>
    </row>
    <row r="76" spans="13:15" x14ac:dyDescent="0.25">
      <c r="M76">
        <v>1.1000000000000001</v>
      </c>
      <c r="N76" s="13">
        <f t="shared" si="0"/>
        <v>54571.420837567755</v>
      </c>
      <c r="O76">
        <f>NORMDIST(N76,$E$2,$E$6,1)-SUM($O$30:O75)</f>
        <v>2.2989192985074292E-2</v>
      </c>
    </row>
    <row r="77" spans="13:15" x14ac:dyDescent="0.25">
      <c r="M77">
        <v>1.2</v>
      </c>
      <c r="N77" s="13">
        <f t="shared" si="0"/>
        <v>54781.246974316338</v>
      </c>
      <c r="O77">
        <f>NORMDIST(N77,$E$2,$E$6,1)-SUM($O$30:O76)</f>
        <v>2.0596390724674341E-2</v>
      </c>
    </row>
    <row r="78" spans="13:15" x14ac:dyDescent="0.25">
      <c r="M78">
        <v>1.3</v>
      </c>
      <c r="N78" s="13">
        <f t="shared" si="0"/>
        <v>54991.073111064921</v>
      </c>
      <c r="O78">
        <f>NORMDIST(N78,$E$2,$E$6,1)-SUM($O$30:O77)</f>
        <v>1.8269185636097918E-2</v>
      </c>
    </row>
    <row r="79" spans="13:15" x14ac:dyDescent="0.25">
      <c r="M79">
        <v>1.4</v>
      </c>
      <c r="N79" s="13">
        <f t="shared" si="0"/>
        <v>55200.899247813504</v>
      </c>
      <c r="O79">
        <f>NORMDIST(N79,$E$2,$E$6,1)-SUM($O$30:O78)</f>
        <v>1.6043825351839236E-2</v>
      </c>
    </row>
    <row r="80" spans="13:15" x14ac:dyDescent="0.25">
      <c r="M80">
        <v>1.5</v>
      </c>
      <c r="N80" s="13">
        <f t="shared" si="0"/>
        <v>55410.725384562087</v>
      </c>
      <c r="O80">
        <f>NORMDIST(N80,$E$2,$E$6,1)-SUM($O$30:O79)</f>
        <v>1.3949457964912981E-2</v>
      </c>
    </row>
    <row r="81" spans="13:15" x14ac:dyDescent="0.25">
      <c r="M81">
        <v>1.6</v>
      </c>
      <c r="N81" s="13">
        <f t="shared" si="0"/>
        <v>55620.55152131067</v>
      </c>
      <c r="O81">
        <f>NORMDIST(N81,$E$2,$E$6,1)-SUM($O$30:O80)</f>
        <v>1.2007909569299979E-2</v>
      </c>
    </row>
    <row r="82" spans="13:15" x14ac:dyDescent="0.25">
      <c r="M82">
        <v>1.7</v>
      </c>
      <c r="N82" s="13">
        <f t="shared" si="0"/>
        <v>55830.37765805926</v>
      </c>
      <c r="O82">
        <f>NORMDIST(N82,$E$2,$E$6,1)-SUM($O$30:O81)</f>
        <v>1.0233828941015322E-2</v>
      </c>
    </row>
    <row r="83" spans="13:15" x14ac:dyDescent="0.25">
      <c r="M83">
        <v>1.8</v>
      </c>
      <c r="N83" s="13">
        <f t="shared" si="0"/>
        <v>56040.203794807843</v>
      </c>
      <c r="O83">
        <f>NORMDIST(N83,$E$2,$E$6,1)-SUM($O$30:O82)</f>
        <v>8.6351436456172381E-3</v>
      </c>
    </row>
    <row r="84" spans="13:15" x14ac:dyDescent="0.25">
      <c r="M84">
        <v>1.9</v>
      </c>
      <c r="N84" s="13">
        <f t="shared" si="0"/>
        <v>56250.029931556426</v>
      </c>
      <c r="O84">
        <f>NORMDIST(N84,$E$2,$E$6,1)-SUM($O$30:O83)</f>
        <v>7.2137592969239162E-3</v>
      </c>
    </row>
    <row r="85" spans="13:15" x14ac:dyDescent="0.25">
      <c r="M85">
        <v>2.0000000000000102</v>
      </c>
      <c r="N85" s="13">
        <f t="shared" si="0"/>
        <v>56459.856068305031</v>
      </c>
      <c r="O85">
        <f>NORMDIST(N85,$E$2,$E$6,1)-SUM($O$30:O84)</f>
        <v>5.9664278678230875E-3</v>
      </c>
    </row>
    <row r="86" spans="13:15" x14ac:dyDescent="0.25">
      <c r="M86">
        <v>2.1</v>
      </c>
      <c r="N86" s="13">
        <f t="shared" si="0"/>
        <v>56669.682205053592</v>
      </c>
      <c r="O86">
        <f>NORMDIST(N86,$E$2,$E$6,1)-SUM($O$30:O85)</f>
        <v>4.8857113853620904E-3</v>
      </c>
    </row>
    <row r="87" spans="13:15" x14ac:dyDescent="0.25">
      <c r="M87">
        <v>2.2000000000000002</v>
      </c>
      <c r="N87" s="13">
        <f t="shared" si="0"/>
        <v>56879.508341802175</v>
      </c>
      <c r="O87">
        <f>NORMDIST(N87,$E$2,$E$6,1)-SUM($O$30:O86)</f>
        <v>3.9609730493179729E-3</v>
      </c>
    </row>
    <row r="88" spans="13:15" x14ac:dyDescent="0.25">
      <c r="M88">
        <v>2.30000000000001</v>
      </c>
      <c r="N88" s="13">
        <f t="shared" si="0"/>
        <v>57089.33447855078</v>
      </c>
      <c r="O88">
        <f>NORMDIST(N88,$E$2,$E$6,1)-SUM($O$30:O87)</f>
        <v>3.1793374918230866E-3</v>
      </c>
    </row>
    <row r="89" spans="13:15" x14ac:dyDescent="0.25">
      <c r="M89">
        <v>2.4000000000000101</v>
      </c>
      <c r="N89" s="13">
        <f t="shared" si="0"/>
        <v>57299.160615299363</v>
      </c>
      <c r="O89">
        <f>NORMDIST(N89,$E$2,$E$6,1)-SUM($O$30:O88)</f>
        <v>2.5265740970795703E-3</v>
      </c>
    </row>
    <row r="90" spans="13:15" x14ac:dyDescent="0.25">
      <c r="M90">
        <v>2.5000000000000102</v>
      </c>
      <c r="N90" s="13">
        <f t="shared" si="0"/>
        <v>57508.986752047946</v>
      </c>
      <c r="O90">
        <f>NORMDIST(N90,$E$2,$E$6,1)-SUM($O$30:O89)</f>
        <v>1.9878705988199963E-3</v>
      </c>
    </row>
    <row r="91" spans="13:15" x14ac:dyDescent="0.25">
      <c r="M91">
        <v>2.6</v>
      </c>
      <c r="N91" s="13">
        <f t="shared" si="0"/>
        <v>57718.812888796514</v>
      </c>
      <c r="O91">
        <f>NORMDIST(N91,$E$2,$E$6,1)-SUM($O$30:O90)</f>
        <v>1.5484773020572051E-3</v>
      </c>
    </row>
    <row r="92" spans="13:15" x14ac:dyDescent="0.25">
      <c r="M92">
        <v>2.7000000000000099</v>
      </c>
      <c r="N92" s="13">
        <f t="shared" si="0"/>
        <v>57928.639025545112</v>
      </c>
      <c r="O92">
        <f>NORMDIST(N92,$E$2,$E$6,1)-SUM($O$30:O91)</f>
        <v>1.1942142206781137E-3</v>
      </c>
    </row>
    <row r="93" spans="13:15" x14ac:dyDescent="0.25">
      <c r="M93">
        <v>2.80000000000001</v>
      </c>
      <c r="N93" s="13">
        <f t="shared" si="0"/>
        <v>58138.465162293694</v>
      </c>
      <c r="O93">
        <f>NORMDIST(N93,$E$2,$E$6,1)-SUM($O$30:O92)</f>
        <v>9.1184347261275001E-4</v>
      </c>
    </row>
    <row r="94" spans="13:15" x14ac:dyDescent="0.25">
      <c r="M94">
        <v>2.9000000000000101</v>
      </c>
      <c r="N94" s="13">
        <f t="shared" ref="N94:N100" si="1">$E$2+M94*$E$6</f>
        <v>58348.291299042285</v>
      </c>
      <c r="O94">
        <f>NORMDIST(N94,$E$2,$E$6,1)-SUM($O$30:O93)</f>
        <v>6.8931703004393441E-4</v>
      </c>
    </row>
    <row r="95" spans="13:15" x14ac:dyDescent="0.25">
      <c r="M95">
        <v>3.0000000000000102</v>
      </c>
      <c r="N95" s="13">
        <f t="shared" si="1"/>
        <v>58558.117435790868</v>
      </c>
      <c r="O95">
        <f>NORMDIST(N95,$E$2,$E$6,1)-SUM($O$30:O94)</f>
        <v>5.1591526875394145E-4</v>
      </c>
    </row>
    <row r="96" spans="13:15" x14ac:dyDescent="0.25">
      <c r="M96">
        <v>3.1000000000000099</v>
      </c>
      <c r="N96" s="13">
        <f t="shared" si="1"/>
        <v>58767.943572539451</v>
      </c>
      <c r="O96">
        <f>NORMDIST(N96,$E$2,$E$6,1)-SUM($O$30:O95)</f>
        <v>3.8229481841167701E-4</v>
      </c>
    </row>
    <row r="97" spans="13:15" x14ac:dyDescent="0.25">
      <c r="M97">
        <v>3.2000000000000099</v>
      </c>
      <c r="N97" s="13">
        <f t="shared" si="1"/>
        <v>58977.769709288033</v>
      </c>
      <c r="O97">
        <f>NORMDIST(N97,$E$2,$E$6,1)-SUM($O$30:O96)</f>
        <v>2.8046527530245502E-4</v>
      </c>
    </row>
    <row r="98" spans="13:15" x14ac:dyDescent="0.25">
      <c r="M98">
        <v>3.30000000000001</v>
      </c>
      <c r="N98" s="13">
        <f t="shared" si="1"/>
        <v>59187.595846036616</v>
      </c>
      <c r="O98">
        <f>NORMDIST(N98,$E$2,$E$6,1)-SUM($O$30:O97)</f>
        <v>2.0371379553207891E-4</v>
      </c>
    </row>
    <row r="99" spans="13:15" x14ac:dyDescent="0.25">
      <c r="M99">
        <v>3.4000000000000101</v>
      </c>
      <c r="N99" s="13">
        <f t="shared" si="1"/>
        <v>59397.421982785199</v>
      </c>
      <c r="O99">
        <f>NORMDIST(N99,$E$2,$E$6,1)-SUM($O$30:O98)</f>
        <v>1.4649487670692629E-4</v>
      </c>
    </row>
    <row r="100" spans="13:15" x14ac:dyDescent="0.25">
      <c r="M100">
        <v>3.5000000000000102</v>
      </c>
      <c r="N100" s="13">
        <f t="shared" si="1"/>
        <v>59607.248119533782</v>
      </c>
      <c r="O100">
        <f>NORMDIST(N100,$E$2,$E$6,1)-SUM($O$30:O99)</f>
        <v>1.0430018664131513E-4</v>
      </c>
    </row>
  </sheetData>
  <printOptions gridLines="1" gridLinesSet="0"/>
  <pageMargins left="0.78740157480314965" right="0.78740157480314965" top="0.98425196850393704" bottom="0.98425196850393704" header="0.51181102362204722" footer="0.51181102362204722"/>
  <pageSetup paperSize="9" orientation="landscape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3"/>
  <sheetViews>
    <sheetView workbookViewId="0"/>
  </sheetViews>
  <sheetFormatPr defaultColWidth="11.453125" defaultRowHeight="12.5" x14ac:dyDescent="0.25"/>
  <cols>
    <col min="1" max="2" width="11.453125" style="113" customWidth="1"/>
    <col min="3" max="3" width="13.26953125" style="113" customWidth="1"/>
    <col min="4" max="16384" width="11.453125" style="113"/>
  </cols>
  <sheetData>
    <row r="1" spans="1:6" ht="13" x14ac:dyDescent="0.3">
      <c r="A1" s="112" t="s">
        <v>283</v>
      </c>
    </row>
    <row r="2" spans="1:6" ht="13" x14ac:dyDescent="0.3">
      <c r="A2" s="112"/>
      <c r="C2" s="114" t="s">
        <v>284</v>
      </c>
      <c r="D2" s="115">
        <f>COUNT(A4:A503)</f>
        <v>500</v>
      </c>
    </row>
    <row r="3" spans="1:6" x14ac:dyDescent="0.25">
      <c r="A3" s="114" t="s">
        <v>285</v>
      </c>
      <c r="B3" s="114" t="s">
        <v>286</v>
      </c>
      <c r="C3" s="115" t="s">
        <v>287</v>
      </c>
      <c r="D3" s="115">
        <v>30</v>
      </c>
      <c r="E3" s="113" t="s">
        <v>288</v>
      </c>
      <c r="F3" s="116">
        <f>AVERAGE(A4:A503)</f>
        <v>116</v>
      </c>
    </row>
    <row r="4" spans="1:6" x14ac:dyDescent="0.25">
      <c r="A4" s="113">
        <v>133</v>
      </c>
      <c r="B4" s="113">
        <f t="shared" ref="B4:B67" ca="1" si="0">RAND()</f>
        <v>0.50133106602191446</v>
      </c>
      <c r="C4" t="str">
        <f ca="1">IF(B4&lt;=PERCENTILE($B$4:$B$503,$D$3/$D$2),A4,"")</f>
        <v/>
      </c>
      <c r="E4" s="113" t="s">
        <v>116</v>
      </c>
      <c r="F4" s="117">
        <f ca="1">AVERAGE(C4:C503)</f>
        <v>115.5</v>
      </c>
    </row>
    <row r="5" spans="1:6" x14ac:dyDescent="0.25">
      <c r="A5" s="113">
        <v>111</v>
      </c>
      <c r="B5" s="113">
        <f t="shared" ca="1" si="0"/>
        <v>0.23294056893909787</v>
      </c>
      <c r="C5" t="str">
        <f t="shared" ref="C5:C68" ca="1" si="1">IF(B5&lt;=PERCENTILE($B$4:$B$503,$D$3/$D$2),A5,"")</f>
        <v/>
      </c>
      <c r="E5" s="113" t="s">
        <v>223</v>
      </c>
      <c r="F5" s="116">
        <f ca="1">VAR(C4:C503)</f>
        <v>328.5344827586207</v>
      </c>
    </row>
    <row r="6" spans="1:6" x14ac:dyDescent="0.25">
      <c r="A6" s="113">
        <v>121</v>
      </c>
      <c r="B6" s="113">
        <f t="shared" ca="1" si="0"/>
        <v>0.22995922653719292</v>
      </c>
      <c r="C6" t="str">
        <f t="shared" ca="1" si="1"/>
        <v/>
      </c>
      <c r="E6" s="113" t="s">
        <v>185</v>
      </c>
      <c r="F6" s="116">
        <f ca="1">STDEV(C4:C503)</f>
        <v>18.125520206565678</v>
      </c>
    </row>
    <row r="7" spans="1:6" x14ac:dyDescent="0.25">
      <c r="A7" s="113">
        <v>108</v>
      </c>
      <c r="B7" s="113">
        <f t="shared" ca="1" si="0"/>
        <v>0.56264443813417564</v>
      </c>
      <c r="C7" t="str">
        <f t="shared" ca="1" si="1"/>
        <v/>
      </c>
      <c r="E7" s="113" t="s">
        <v>289</v>
      </c>
      <c r="F7" s="113">
        <f ca="1">COUNT(C4:C503)</f>
        <v>30</v>
      </c>
    </row>
    <row r="8" spans="1:6" x14ac:dyDescent="0.25">
      <c r="A8" s="113">
        <v>120</v>
      </c>
      <c r="B8" s="113">
        <f t="shared" ca="1" si="0"/>
        <v>0.12360008653629706</v>
      </c>
      <c r="C8" t="str">
        <f t="shared" ca="1" si="1"/>
        <v/>
      </c>
      <c r="E8" s="113" t="s">
        <v>281</v>
      </c>
      <c r="F8" s="117">
        <f ca="1">F6/SQRT(F7)*SQRT((D2-D3)/(D2-1))</f>
        <v>3.2116522040110715</v>
      </c>
    </row>
    <row r="9" spans="1:6" x14ac:dyDescent="0.25">
      <c r="A9" s="113">
        <v>83</v>
      </c>
      <c r="B9" s="113">
        <f t="shared" ca="1" si="0"/>
        <v>0.51240093890873395</v>
      </c>
      <c r="C9" t="str">
        <f t="shared" ca="1" si="1"/>
        <v/>
      </c>
    </row>
    <row r="10" spans="1:6" x14ac:dyDescent="0.25">
      <c r="A10" s="113">
        <v>169</v>
      </c>
      <c r="B10" s="113">
        <f t="shared" ca="1" si="0"/>
        <v>0.59219694340444384</v>
      </c>
      <c r="C10" t="str">
        <f t="shared" ca="1" si="1"/>
        <v/>
      </c>
      <c r="E10" s="118">
        <v>0.95</v>
      </c>
      <c r="F10" s="113" t="s">
        <v>290</v>
      </c>
    </row>
    <row r="11" spans="1:6" x14ac:dyDescent="0.25">
      <c r="A11" s="113">
        <v>120</v>
      </c>
      <c r="B11" s="113">
        <f t="shared" ca="1" si="0"/>
        <v>0.22586862573482969</v>
      </c>
      <c r="C11" t="str">
        <f t="shared" ca="1" si="1"/>
        <v/>
      </c>
      <c r="E11" s="114" t="s">
        <v>142</v>
      </c>
      <c r="F11" s="117">
        <f ca="1">F$4+NORMSINV((1-E10)/2)*F$8</f>
        <v>109.20527734926961</v>
      </c>
    </row>
    <row r="12" spans="1:6" x14ac:dyDescent="0.25">
      <c r="A12" s="113">
        <v>131</v>
      </c>
      <c r="B12" s="113">
        <f t="shared" ca="1" si="0"/>
        <v>0.80023754243291789</v>
      </c>
      <c r="C12" t="str">
        <f t="shared" ca="1" si="1"/>
        <v/>
      </c>
      <c r="E12" s="114" t="s">
        <v>143</v>
      </c>
      <c r="F12" s="117">
        <f ca="1">F$4-NORMSINV((1-E10)/2)*F$8</f>
        <v>121.79472265073039</v>
      </c>
    </row>
    <row r="13" spans="1:6" x14ac:dyDescent="0.25">
      <c r="A13" s="113">
        <v>101</v>
      </c>
      <c r="B13" s="113">
        <f t="shared" ca="1" si="0"/>
        <v>0.86832967554569063</v>
      </c>
      <c r="C13" t="str">
        <f t="shared" ca="1" si="1"/>
        <v/>
      </c>
    </row>
    <row r="14" spans="1:6" x14ac:dyDescent="0.25">
      <c r="A14" s="113">
        <v>87</v>
      </c>
      <c r="B14" s="113">
        <f t="shared" ca="1" si="0"/>
        <v>0.52035189625676204</v>
      </c>
      <c r="C14" t="str">
        <f t="shared" ca="1" si="1"/>
        <v/>
      </c>
    </row>
    <row r="15" spans="1:6" x14ac:dyDescent="0.25">
      <c r="A15" s="113">
        <v>96</v>
      </c>
      <c r="B15" s="113">
        <f t="shared" ca="1" si="0"/>
        <v>0.19655105305123421</v>
      </c>
      <c r="C15" t="str">
        <f t="shared" ca="1" si="1"/>
        <v/>
      </c>
    </row>
    <row r="16" spans="1:6" x14ac:dyDescent="0.25">
      <c r="A16" s="113">
        <v>98</v>
      </c>
      <c r="B16" s="113">
        <f t="shared" ca="1" si="0"/>
        <v>0.83249791222240788</v>
      </c>
      <c r="C16" t="str">
        <f t="shared" ca="1" si="1"/>
        <v/>
      </c>
    </row>
    <row r="17" spans="1:3" x14ac:dyDescent="0.25">
      <c r="A17" s="113">
        <v>138</v>
      </c>
      <c r="B17" s="113">
        <f t="shared" ca="1" si="0"/>
        <v>0.5880214987227772</v>
      </c>
      <c r="C17" t="str">
        <f t="shared" ca="1" si="1"/>
        <v/>
      </c>
    </row>
    <row r="18" spans="1:3" x14ac:dyDescent="0.25">
      <c r="A18" s="113">
        <v>118</v>
      </c>
      <c r="B18" s="113">
        <f t="shared" ca="1" si="0"/>
        <v>8.9918102864748217E-2</v>
      </c>
      <c r="C18" t="str">
        <f t="shared" ca="1" si="1"/>
        <v/>
      </c>
    </row>
    <row r="19" spans="1:3" x14ac:dyDescent="0.25">
      <c r="A19" s="113">
        <v>130</v>
      </c>
      <c r="B19" s="113">
        <f t="shared" ca="1" si="0"/>
        <v>0.36196965251350011</v>
      </c>
      <c r="C19" t="str">
        <f t="shared" ca="1" si="1"/>
        <v/>
      </c>
    </row>
    <row r="20" spans="1:3" x14ac:dyDescent="0.25">
      <c r="A20" s="113">
        <v>134</v>
      </c>
      <c r="B20" s="113">
        <f t="shared" ca="1" si="0"/>
        <v>0.16109141310661412</v>
      </c>
      <c r="C20" t="str">
        <f t="shared" ca="1" si="1"/>
        <v/>
      </c>
    </row>
    <row r="21" spans="1:3" x14ac:dyDescent="0.25">
      <c r="A21" s="113">
        <v>92</v>
      </c>
      <c r="B21" s="113">
        <f t="shared" ca="1" si="0"/>
        <v>0.2220805597519897</v>
      </c>
      <c r="C21" t="str">
        <f t="shared" ca="1" si="1"/>
        <v/>
      </c>
    </row>
    <row r="22" spans="1:3" x14ac:dyDescent="0.25">
      <c r="A22" s="113">
        <v>105</v>
      </c>
      <c r="B22" s="113">
        <f t="shared" ca="1" si="0"/>
        <v>0.71667098210490798</v>
      </c>
      <c r="C22" t="str">
        <f t="shared" ca="1" si="1"/>
        <v/>
      </c>
    </row>
    <row r="23" spans="1:3" x14ac:dyDescent="0.25">
      <c r="A23" s="113">
        <v>136</v>
      </c>
      <c r="B23" s="113">
        <f t="shared" ca="1" si="0"/>
        <v>0.93899080248831457</v>
      </c>
      <c r="C23" t="str">
        <f t="shared" ca="1" si="1"/>
        <v/>
      </c>
    </row>
    <row r="24" spans="1:3" x14ac:dyDescent="0.25">
      <c r="A24" s="113">
        <v>107</v>
      </c>
      <c r="B24" s="113">
        <f t="shared" ca="1" si="0"/>
        <v>0.67450224848277562</v>
      </c>
      <c r="C24" t="str">
        <f t="shared" ca="1" si="1"/>
        <v/>
      </c>
    </row>
    <row r="25" spans="1:3" x14ac:dyDescent="0.25">
      <c r="A25" s="113">
        <v>79</v>
      </c>
      <c r="B25" s="113">
        <f t="shared" ca="1" si="0"/>
        <v>0.14353465908964558</v>
      </c>
      <c r="C25" t="str">
        <f t="shared" ca="1" si="1"/>
        <v/>
      </c>
    </row>
    <row r="26" spans="1:3" x14ac:dyDescent="0.25">
      <c r="A26" s="113">
        <v>105</v>
      </c>
      <c r="B26" s="113">
        <f t="shared" ca="1" si="0"/>
        <v>0.60571473441726864</v>
      </c>
      <c r="C26" t="str">
        <f t="shared" ca="1" si="1"/>
        <v/>
      </c>
    </row>
    <row r="27" spans="1:3" x14ac:dyDescent="0.25">
      <c r="A27" s="113">
        <v>89</v>
      </c>
      <c r="B27" s="113">
        <f t="shared" ca="1" si="0"/>
        <v>0.12532126337642013</v>
      </c>
      <c r="C27" t="str">
        <f t="shared" ca="1" si="1"/>
        <v/>
      </c>
    </row>
    <row r="28" spans="1:3" x14ac:dyDescent="0.25">
      <c r="A28" s="113">
        <v>88</v>
      </c>
      <c r="B28" s="113">
        <f t="shared" ca="1" si="0"/>
        <v>2.0210739856306059E-2</v>
      </c>
      <c r="C28">
        <f t="shared" ca="1" si="1"/>
        <v>88</v>
      </c>
    </row>
    <row r="29" spans="1:3" x14ac:dyDescent="0.25">
      <c r="A29" s="113">
        <v>132</v>
      </c>
      <c r="B29" s="113">
        <f t="shared" ca="1" si="0"/>
        <v>0.17612010580418858</v>
      </c>
      <c r="C29" t="str">
        <f t="shared" ca="1" si="1"/>
        <v/>
      </c>
    </row>
    <row r="30" spans="1:3" x14ac:dyDescent="0.25">
      <c r="A30" s="113">
        <v>108</v>
      </c>
      <c r="B30" s="113">
        <f t="shared" ca="1" si="0"/>
        <v>1.9602686011018222E-2</v>
      </c>
      <c r="C30">
        <f t="shared" ca="1" si="1"/>
        <v>108</v>
      </c>
    </row>
    <row r="31" spans="1:3" x14ac:dyDescent="0.25">
      <c r="A31" s="113">
        <v>78</v>
      </c>
      <c r="B31" s="113">
        <f t="shared" ca="1" si="0"/>
        <v>2.224633522834607E-2</v>
      </c>
      <c r="C31">
        <f t="shared" ca="1" si="1"/>
        <v>78</v>
      </c>
    </row>
    <row r="32" spans="1:3" x14ac:dyDescent="0.25">
      <c r="A32" s="113">
        <v>134</v>
      </c>
      <c r="B32" s="113">
        <f t="shared" ca="1" si="0"/>
        <v>0.41177384658789751</v>
      </c>
      <c r="C32" t="str">
        <f t="shared" ca="1" si="1"/>
        <v/>
      </c>
    </row>
    <row r="33" spans="1:3" x14ac:dyDescent="0.25">
      <c r="A33" s="113">
        <v>120</v>
      </c>
      <c r="B33" s="113">
        <f t="shared" ca="1" si="0"/>
        <v>0.2138355239554206</v>
      </c>
      <c r="C33" t="str">
        <f t="shared" ca="1" si="1"/>
        <v/>
      </c>
    </row>
    <row r="34" spans="1:3" x14ac:dyDescent="0.25">
      <c r="A34" s="113">
        <v>134</v>
      </c>
      <c r="B34" s="113">
        <f t="shared" ca="1" si="0"/>
        <v>0.1458760657228545</v>
      </c>
      <c r="C34" t="str">
        <f t="shared" ca="1" si="1"/>
        <v/>
      </c>
    </row>
    <row r="35" spans="1:3" x14ac:dyDescent="0.25">
      <c r="A35" s="113">
        <v>108</v>
      </c>
      <c r="B35" s="113">
        <f t="shared" ca="1" si="0"/>
        <v>0.55286160612023905</v>
      </c>
      <c r="C35" t="str">
        <f t="shared" ca="1" si="1"/>
        <v/>
      </c>
    </row>
    <row r="36" spans="1:3" x14ac:dyDescent="0.25">
      <c r="A36" s="113">
        <v>85</v>
      </c>
      <c r="B36" s="113">
        <f t="shared" ca="1" si="0"/>
        <v>0.49341101285001721</v>
      </c>
      <c r="C36" t="str">
        <f t="shared" ca="1" si="1"/>
        <v/>
      </c>
    </row>
    <row r="37" spans="1:3" x14ac:dyDescent="0.25">
      <c r="A37" s="113">
        <v>139</v>
      </c>
      <c r="B37" s="113">
        <f t="shared" ca="1" si="0"/>
        <v>0.64630054135174086</v>
      </c>
      <c r="C37" t="str">
        <f t="shared" ca="1" si="1"/>
        <v/>
      </c>
    </row>
    <row r="38" spans="1:3" x14ac:dyDescent="0.25">
      <c r="A38" s="113">
        <v>80</v>
      </c>
      <c r="B38" s="113">
        <f t="shared" ca="1" si="0"/>
        <v>0.4402745230237306</v>
      </c>
      <c r="C38" t="str">
        <f t="shared" ca="1" si="1"/>
        <v/>
      </c>
    </row>
    <row r="39" spans="1:3" x14ac:dyDescent="0.25">
      <c r="A39" s="113">
        <v>132</v>
      </c>
      <c r="B39" s="113">
        <f t="shared" ca="1" si="0"/>
        <v>0.62238897639978452</v>
      </c>
      <c r="C39" t="str">
        <f t="shared" ca="1" si="1"/>
        <v/>
      </c>
    </row>
    <row r="40" spans="1:3" x14ac:dyDescent="0.25">
      <c r="A40" s="113">
        <v>87</v>
      </c>
      <c r="B40" s="113">
        <f t="shared" ca="1" si="0"/>
        <v>0.48537824722004486</v>
      </c>
      <c r="C40" t="str">
        <f t="shared" ca="1" si="1"/>
        <v/>
      </c>
    </row>
    <row r="41" spans="1:3" x14ac:dyDescent="0.25">
      <c r="A41" s="113">
        <v>106</v>
      </c>
      <c r="B41" s="113">
        <f t="shared" ca="1" si="0"/>
        <v>0.46001729562722604</v>
      </c>
      <c r="C41" t="str">
        <f t="shared" ca="1" si="1"/>
        <v/>
      </c>
    </row>
    <row r="42" spans="1:3" x14ac:dyDescent="0.25">
      <c r="A42" s="113">
        <v>92</v>
      </c>
      <c r="B42" s="113">
        <f t="shared" ca="1" si="0"/>
        <v>0.56558706850899965</v>
      </c>
      <c r="C42" t="str">
        <f t="shared" ca="1" si="1"/>
        <v/>
      </c>
    </row>
    <row r="43" spans="1:3" x14ac:dyDescent="0.25">
      <c r="A43" s="113">
        <v>130</v>
      </c>
      <c r="B43" s="113">
        <f t="shared" ca="1" si="0"/>
        <v>0.19117711447084729</v>
      </c>
      <c r="C43" t="str">
        <f t="shared" ca="1" si="1"/>
        <v/>
      </c>
    </row>
    <row r="44" spans="1:3" x14ac:dyDescent="0.25">
      <c r="A44" s="113">
        <v>139</v>
      </c>
      <c r="B44" s="113">
        <f t="shared" ca="1" si="0"/>
        <v>0.71205969932208679</v>
      </c>
      <c r="C44" t="str">
        <f t="shared" ca="1" si="1"/>
        <v/>
      </c>
    </row>
    <row r="45" spans="1:3" x14ac:dyDescent="0.25">
      <c r="A45" s="113">
        <v>112</v>
      </c>
      <c r="B45" s="113">
        <f t="shared" ca="1" si="0"/>
        <v>0.83743907100760173</v>
      </c>
      <c r="C45" t="str">
        <f t="shared" ca="1" si="1"/>
        <v/>
      </c>
    </row>
    <row r="46" spans="1:3" x14ac:dyDescent="0.25">
      <c r="A46" s="113">
        <v>151</v>
      </c>
      <c r="B46" s="113">
        <f t="shared" ca="1" si="0"/>
        <v>0.97651874399762295</v>
      </c>
      <c r="C46" t="str">
        <f t="shared" ca="1" si="1"/>
        <v/>
      </c>
    </row>
    <row r="47" spans="1:3" x14ac:dyDescent="0.25">
      <c r="A47" s="113">
        <v>103</v>
      </c>
      <c r="B47" s="113">
        <f t="shared" ca="1" si="0"/>
        <v>0.73130296022642327</v>
      </c>
      <c r="C47" t="str">
        <f t="shared" ca="1" si="1"/>
        <v/>
      </c>
    </row>
    <row r="48" spans="1:3" x14ac:dyDescent="0.25">
      <c r="A48" s="113">
        <v>135</v>
      </c>
      <c r="B48" s="113">
        <f t="shared" ca="1" si="0"/>
        <v>1.7294343803872181E-2</v>
      </c>
      <c r="C48">
        <f t="shared" ca="1" si="1"/>
        <v>135</v>
      </c>
    </row>
    <row r="49" spans="1:3" x14ac:dyDescent="0.25">
      <c r="A49" s="113">
        <v>110</v>
      </c>
      <c r="B49" s="113">
        <f t="shared" ca="1" si="0"/>
        <v>0.78261050697978374</v>
      </c>
      <c r="C49" t="str">
        <f t="shared" ca="1" si="1"/>
        <v/>
      </c>
    </row>
    <row r="50" spans="1:3" x14ac:dyDescent="0.25">
      <c r="A50" s="113">
        <v>107</v>
      </c>
      <c r="B50" s="113">
        <f t="shared" ca="1" si="0"/>
        <v>0.74442870378114689</v>
      </c>
      <c r="C50" t="str">
        <f t="shared" ca="1" si="1"/>
        <v/>
      </c>
    </row>
    <row r="51" spans="1:3" x14ac:dyDescent="0.25">
      <c r="A51" s="113">
        <v>120</v>
      </c>
      <c r="B51" s="113">
        <f t="shared" ca="1" si="0"/>
        <v>3.9379230652806019E-2</v>
      </c>
      <c r="C51">
        <f t="shared" ca="1" si="1"/>
        <v>120</v>
      </c>
    </row>
    <row r="52" spans="1:3" x14ac:dyDescent="0.25">
      <c r="A52" s="113">
        <v>99</v>
      </c>
      <c r="B52" s="113">
        <f t="shared" ca="1" si="0"/>
        <v>0.90565059681325244</v>
      </c>
      <c r="C52" t="str">
        <f t="shared" ca="1" si="1"/>
        <v/>
      </c>
    </row>
    <row r="53" spans="1:3" x14ac:dyDescent="0.25">
      <c r="A53" s="113">
        <v>127</v>
      </c>
      <c r="B53" s="113">
        <f t="shared" ca="1" si="0"/>
        <v>0.13389304694144333</v>
      </c>
      <c r="C53" t="str">
        <f t="shared" ca="1" si="1"/>
        <v/>
      </c>
    </row>
    <row r="54" spans="1:3" x14ac:dyDescent="0.25">
      <c r="A54" s="113">
        <v>115</v>
      </c>
      <c r="B54" s="113">
        <f t="shared" ca="1" si="0"/>
        <v>0.38685098396521111</v>
      </c>
      <c r="C54" t="str">
        <f t="shared" ca="1" si="1"/>
        <v/>
      </c>
    </row>
    <row r="55" spans="1:3" x14ac:dyDescent="0.25">
      <c r="A55" s="113">
        <v>115</v>
      </c>
      <c r="B55" s="113">
        <f t="shared" ca="1" si="0"/>
        <v>0.87538016108396433</v>
      </c>
      <c r="C55" t="str">
        <f t="shared" ca="1" si="1"/>
        <v/>
      </c>
    </row>
    <row r="56" spans="1:3" x14ac:dyDescent="0.25">
      <c r="A56" s="113">
        <v>103</v>
      </c>
      <c r="B56" s="113">
        <f t="shared" ca="1" si="0"/>
        <v>1.8434401645277654E-2</v>
      </c>
      <c r="C56">
        <f t="shared" ca="1" si="1"/>
        <v>103</v>
      </c>
    </row>
    <row r="57" spans="1:3" x14ac:dyDescent="0.25">
      <c r="A57" s="113">
        <v>149</v>
      </c>
      <c r="B57" s="113">
        <f t="shared" ca="1" si="0"/>
        <v>0.57964485405297306</v>
      </c>
      <c r="C57" t="str">
        <f t="shared" ca="1" si="1"/>
        <v/>
      </c>
    </row>
    <row r="58" spans="1:3" x14ac:dyDescent="0.25">
      <c r="A58" s="113">
        <v>112</v>
      </c>
      <c r="B58" s="113">
        <f t="shared" ca="1" si="0"/>
        <v>0.11500338624447648</v>
      </c>
      <c r="C58" t="str">
        <f t="shared" ca="1" si="1"/>
        <v/>
      </c>
    </row>
    <row r="59" spans="1:3" x14ac:dyDescent="0.25">
      <c r="A59" s="113">
        <v>114</v>
      </c>
      <c r="B59" s="113">
        <f t="shared" ca="1" si="0"/>
        <v>0.92814263985593548</v>
      </c>
      <c r="C59" t="str">
        <f t="shared" ca="1" si="1"/>
        <v/>
      </c>
    </row>
    <row r="60" spans="1:3" x14ac:dyDescent="0.25">
      <c r="A60" s="113">
        <v>115</v>
      </c>
      <c r="B60" s="113">
        <f t="shared" ca="1" si="0"/>
        <v>0.74272339113993135</v>
      </c>
      <c r="C60" t="str">
        <f t="shared" ca="1" si="1"/>
        <v/>
      </c>
    </row>
    <row r="61" spans="1:3" x14ac:dyDescent="0.25">
      <c r="A61" s="113">
        <v>138</v>
      </c>
      <c r="B61" s="113">
        <f t="shared" ca="1" si="0"/>
        <v>0.92438485673374438</v>
      </c>
      <c r="C61" t="str">
        <f t="shared" ca="1" si="1"/>
        <v/>
      </c>
    </row>
    <row r="62" spans="1:3" x14ac:dyDescent="0.25">
      <c r="A62" s="113">
        <v>95</v>
      </c>
      <c r="B62" s="113">
        <f t="shared" ca="1" si="0"/>
        <v>0.49177242646530517</v>
      </c>
      <c r="C62" t="str">
        <f t="shared" ca="1" si="1"/>
        <v/>
      </c>
    </row>
    <row r="63" spans="1:3" x14ac:dyDescent="0.25">
      <c r="A63" s="113">
        <v>122</v>
      </c>
      <c r="B63" s="113">
        <f t="shared" ca="1" si="0"/>
        <v>4.2554589214634064E-2</v>
      </c>
      <c r="C63">
        <f t="shared" ca="1" si="1"/>
        <v>122</v>
      </c>
    </row>
    <row r="64" spans="1:3" x14ac:dyDescent="0.25">
      <c r="A64" s="113">
        <v>111</v>
      </c>
      <c r="B64" s="113">
        <f t="shared" ca="1" si="0"/>
        <v>0.62019631707937684</v>
      </c>
      <c r="C64" t="str">
        <f t="shared" ca="1" si="1"/>
        <v/>
      </c>
    </row>
    <row r="65" spans="1:3" x14ac:dyDescent="0.25">
      <c r="A65" s="113">
        <v>121</v>
      </c>
      <c r="B65" s="113">
        <f t="shared" ca="1" si="0"/>
        <v>0.53766602683131925</v>
      </c>
      <c r="C65" t="str">
        <f t="shared" ca="1" si="1"/>
        <v/>
      </c>
    </row>
    <row r="66" spans="1:3" x14ac:dyDescent="0.25">
      <c r="A66" s="113">
        <v>109</v>
      </c>
      <c r="B66" s="113">
        <f t="shared" ca="1" si="0"/>
        <v>0.4913494053920443</v>
      </c>
      <c r="C66" t="str">
        <f t="shared" ca="1" si="1"/>
        <v/>
      </c>
    </row>
    <row r="67" spans="1:3" x14ac:dyDescent="0.25">
      <c r="A67" s="113">
        <v>87</v>
      </c>
      <c r="B67" s="113">
        <f t="shared" ca="1" si="0"/>
        <v>0.41049279128003813</v>
      </c>
      <c r="C67" t="str">
        <f t="shared" ca="1" si="1"/>
        <v/>
      </c>
    </row>
    <row r="68" spans="1:3" x14ac:dyDescent="0.25">
      <c r="A68" s="113">
        <v>102</v>
      </c>
      <c r="B68" s="113">
        <f t="shared" ref="B68:B131" ca="1" si="2">RAND()</f>
        <v>0.13396106654227036</v>
      </c>
      <c r="C68" t="str">
        <f t="shared" ca="1" si="1"/>
        <v/>
      </c>
    </row>
    <row r="69" spans="1:3" x14ac:dyDescent="0.25">
      <c r="A69" s="113">
        <v>133</v>
      </c>
      <c r="B69" s="113">
        <f t="shared" ca="1" si="2"/>
        <v>0.74250523102511512</v>
      </c>
      <c r="C69" t="str">
        <f t="shared" ref="C69:C132" ca="1" si="3">IF(B69&lt;=PERCENTILE($B$4:$B$503,$D$3/$D$2),A69,"")</f>
        <v/>
      </c>
    </row>
    <row r="70" spans="1:3" x14ac:dyDescent="0.25">
      <c r="A70" s="113">
        <v>102</v>
      </c>
      <c r="B70" s="113">
        <f t="shared" ca="1" si="2"/>
        <v>0.52959964999598486</v>
      </c>
      <c r="C70" t="str">
        <f t="shared" ca="1" si="3"/>
        <v/>
      </c>
    </row>
    <row r="71" spans="1:3" x14ac:dyDescent="0.25">
      <c r="A71" s="113">
        <v>69</v>
      </c>
      <c r="B71" s="113">
        <f t="shared" ca="1" si="2"/>
        <v>0.5375796515960386</v>
      </c>
      <c r="C71" t="str">
        <f t="shared" ca="1" si="3"/>
        <v/>
      </c>
    </row>
    <row r="72" spans="1:3" x14ac:dyDescent="0.25">
      <c r="A72" s="113">
        <v>107</v>
      </c>
      <c r="B72" s="113">
        <f t="shared" ca="1" si="2"/>
        <v>0.45531897399764376</v>
      </c>
      <c r="C72" t="str">
        <f t="shared" ca="1" si="3"/>
        <v/>
      </c>
    </row>
    <row r="73" spans="1:3" x14ac:dyDescent="0.25">
      <c r="A73" s="113">
        <v>80</v>
      </c>
      <c r="B73" s="113">
        <f t="shared" ca="1" si="2"/>
        <v>0.43471750669351117</v>
      </c>
      <c r="C73" t="str">
        <f t="shared" ca="1" si="3"/>
        <v/>
      </c>
    </row>
    <row r="74" spans="1:3" x14ac:dyDescent="0.25">
      <c r="A74" s="113">
        <v>115</v>
      </c>
      <c r="B74" s="113">
        <f t="shared" ca="1" si="2"/>
        <v>0.90043604665716348</v>
      </c>
      <c r="C74" t="str">
        <f t="shared" ca="1" si="3"/>
        <v/>
      </c>
    </row>
    <row r="75" spans="1:3" x14ac:dyDescent="0.25">
      <c r="A75" s="113">
        <v>86</v>
      </c>
      <c r="B75" s="113">
        <f t="shared" ca="1" si="2"/>
        <v>0.43907870137643135</v>
      </c>
      <c r="C75" t="str">
        <f t="shared" ca="1" si="3"/>
        <v/>
      </c>
    </row>
    <row r="76" spans="1:3" x14ac:dyDescent="0.25">
      <c r="A76" s="113">
        <v>101</v>
      </c>
      <c r="B76" s="113">
        <f t="shared" ca="1" si="2"/>
        <v>0.54506049081972685</v>
      </c>
      <c r="C76" t="str">
        <f t="shared" ca="1" si="3"/>
        <v/>
      </c>
    </row>
    <row r="77" spans="1:3" x14ac:dyDescent="0.25">
      <c r="A77" s="113">
        <v>123</v>
      </c>
      <c r="B77" s="113">
        <f t="shared" ca="1" si="2"/>
        <v>0.20785454956383842</v>
      </c>
      <c r="C77" t="str">
        <f t="shared" ca="1" si="3"/>
        <v/>
      </c>
    </row>
    <row r="78" spans="1:3" x14ac:dyDescent="0.25">
      <c r="A78" s="113">
        <v>106</v>
      </c>
      <c r="B78" s="113">
        <f t="shared" ca="1" si="2"/>
        <v>0.13559689701766742</v>
      </c>
      <c r="C78" t="str">
        <f t="shared" ca="1" si="3"/>
        <v/>
      </c>
    </row>
    <row r="79" spans="1:3" x14ac:dyDescent="0.25">
      <c r="A79" s="113">
        <v>124</v>
      </c>
      <c r="B79" s="113">
        <f t="shared" ca="1" si="2"/>
        <v>0.93980767885225069</v>
      </c>
      <c r="C79" t="str">
        <f t="shared" ca="1" si="3"/>
        <v/>
      </c>
    </row>
    <row r="80" spans="1:3" x14ac:dyDescent="0.25">
      <c r="A80" s="113">
        <v>91</v>
      </c>
      <c r="B80" s="113">
        <f t="shared" ca="1" si="2"/>
        <v>0.97552457694475925</v>
      </c>
      <c r="C80" t="str">
        <f t="shared" ca="1" si="3"/>
        <v/>
      </c>
    </row>
    <row r="81" spans="1:3" x14ac:dyDescent="0.25">
      <c r="A81" s="113">
        <v>117</v>
      </c>
      <c r="B81" s="113">
        <f t="shared" ca="1" si="2"/>
        <v>0.53147673828744002</v>
      </c>
      <c r="C81" t="str">
        <f t="shared" ca="1" si="3"/>
        <v/>
      </c>
    </row>
    <row r="82" spans="1:3" x14ac:dyDescent="0.25">
      <c r="A82" s="113">
        <v>119</v>
      </c>
      <c r="B82" s="113">
        <f t="shared" ca="1" si="2"/>
        <v>0.21599898927532957</v>
      </c>
      <c r="C82" t="str">
        <f t="shared" ca="1" si="3"/>
        <v/>
      </c>
    </row>
    <row r="83" spans="1:3" x14ac:dyDescent="0.25">
      <c r="A83" s="113">
        <v>105</v>
      </c>
      <c r="B83" s="113">
        <f t="shared" ca="1" si="2"/>
        <v>0.48029571271589233</v>
      </c>
      <c r="C83" t="str">
        <f t="shared" ca="1" si="3"/>
        <v/>
      </c>
    </row>
    <row r="84" spans="1:3" x14ac:dyDescent="0.25">
      <c r="A84" s="113">
        <v>118</v>
      </c>
      <c r="B84" s="113">
        <f t="shared" ca="1" si="2"/>
        <v>0.88019017882902173</v>
      </c>
      <c r="C84" t="str">
        <f t="shared" ca="1" si="3"/>
        <v/>
      </c>
    </row>
    <row r="85" spans="1:3" x14ac:dyDescent="0.25">
      <c r="A85" s="113">
        <v>105</v>
      </c>
      <c r="B85" s="113">
        <f t="shared" ca="1" si="2"/>
        <v>0.4448585004105492</v>
      </c>
      <c r="C85" t="str">
        <f t="shared" ca="1" si="3"/>
        <v/>
      </c>
    </row>
    <row r="86" spans="1:3" x14ac:dyDescent="0.25">
      <c r="A86" s="113">
        <v>117</v>
      </c>
      <c r="B86" s="113">
        <f t="shared" ca="1" si="2"/>
        <v>0.44721049182292083</v>
      </c>
      <c r="C86" t="str">
        <f t="shared" ca="1" si="3"/>
        <v/>
      </c>
    </row>
    <row r="87" spans="1:3" x14ac:dyDescent="0.25">
      <c r="A87" s="113">
        <v>127</v>
      </c>
      <c r="B87" s="113">
        <f t="shared" ca="1" si="2"/>
        <v>0.18246537945568508</v>
      </c>
      <c r="C87" t="str">
        <f t="shared" ca="1" si="3"/>
        <v/>
      </c>
    </row>
    <row r="88" spans="1:3" x14ac:dyDescent="0.25">
      <c r="A88" s="113">
        <v>141</v>
      </c>
      <c r="B88" s="113">
        <f t="shared" ca="1" si="2"/>
        <v>0.4917644733412776</v>
      </c>
      <c r="C88" t="str">
        <f t="shared" ca="1" si="3"/>
        <v/>
      </c>
    </row>
    <row r="89" spans="1:3" x14ac:dyDescent="0.25">
      <c r="A89" s="113">
        <v>145</v>
      </c>
      <c r="B89" s="113">
        <f t="shared" ca="1" si="2"/>
        <v>1.2537665488538519E-2</v>
      </c>
      <c r="C89">
        <f t="shared" ca="1" si="3"/>
        <v>145</v>
      </c>
    </row>
    <row r="90" spans="1:3" x14ac:dyDescent="0.25">
      <c r="A90" s="113">
        <v>119</v>
      </c>
      <c r="B90" s="113">
        <f t="shared" ca="1" si="2"/>
        <v>0.42656988509787541</v>
      </c>
      <c r="C90" t="str">
        <f t="shared" ca="1" si="3"/>
        <v/>
      </c>
    </row>
    <row r="91" spans="1:3" x14ac:dyDescent="0.25">
      <c r="A91" s="113">
        <v>114</v>
      </c>
      <c r="B91" s="113">
        <f t="shared" ca="1" si="2"/>
        <v>0.97726537252510948</v>
      </c>
      <c r="C91" t="str">
        <f t="shared" ca="1" si="3"/>
        <v/>
      </c>
    </row>
    <row r="92" spans="1:3" x14ac:dyDescent="0.25">
      <c r="A92" s="113">
        <v>107</v>
      </c>
      <c r="B92" s="113">
        <f t="shared" ca="1" si="2"/>
        <v>0.58502789549141709</v>
      </c>
      <c r="C92" t="str">
        <f t="shared" ca="1" si="3"/>
        <v/>
      </c>
    </row>
    <row r="93" spans="1:3" x14ac:dyDescent="0.25">
      <c r="A93" s="113">
        <v>119</v>
      </c>
      <c r="B93" s="113">
        <f t="shared" ca="1" si="2"/>
        <v>2.9858638936615556E-2</v>
      </c>
      <c r="C93">
        <f t="shared" ca="1" si="3"/>
        <v>119</v>
      </c>
    </row>
    <row r="94" spans="1:3" x14ac:dyDescent="0.25">
      <c r="A94" s="113">
        <v>125</v>
      </c>
      <c r="B94" s="113">
        <f t="shared" ca="1" si="2"/>
        <v>0.10346827485764287</v>
      </c>
      <c r="C94" t="str">
        <f t="shared" ca="1" si="3"/>
        <v/>
      </c>
    </row>
    <row r="95" spans="1:3" x14ac:dyDescent="0.25">
      <c r="A95" s="113">
        <v>97</v>
      </c>
      <c r="B95" s="113">
        <f t="shared" ca="1" si="2"/>
        <v>0.61608961110240235</v>
      </c>
      <c r="C95" t="str">
        <f t="shared" ca="1" si="3"/>
        <v/>
      </c>
    </row>
    <row r="96" spans="1:3" x14ac:dyDescent="0.25">
      <c r="A96" s="113">
        <v>85</v>
      </c>
      <c r="B96" s="113">
        <f t="shared" ca="1" si="2"/>
        <v>0.31425869193792333</v>
      </c>
      <c r="C96" t="str">
        <f t="shared" ca="1" si="3"/>
        <v/>
      </c>
    </row>
    <row r="97" spans="1:3" x14ac:dyDescent="0.25">
      <c r="A97" s="113">
        <v>111</v>
      </c>
      <c r="B97" s="113">
        <f t="shared" ca="1" si="2"/>
        <v>0.63826687014663341</v>
      </c>
      <c r="C97" t="str">
        <f t="shared" ca="1" si="3"/>
        <v/>
      </c>
    </row>
    <row r="98" spans="1:3" x14ac:dyDescent="0.25">
      <c r="A98" s="113">
        <v>126</v>
      </c>
      <c r="B98" s="113">
        <f t="shared" ca="1" si="2"/>
        <v>0.47631049759734512</v>
      </c>
      <c r="C98" t="str">
        <f t="shared" ca="1" si="3"/>
        <v/>
      </c>
    </row>
    <row r="99" spans="1:3" x14ac:dyDescent="0.25">
      <c r="A99" s="113">
        <v>124</v>
      </c>
      <c r="B99" s="113">
        <f t="shared" ca="1" si="2"/>
        <v>0.98642585257009441</v>
      </c>
      <c r="C99" t="str">
        <f t="shared" ca="1" si="3"/>
        <v/>
      </c>
    </row>
    <row r="100" spans="1:3" x14ac:dyDescent="0.25">
      <c r="A100" s="113">
        <v>102</v>
      </c>
      <c r="B100" s="113">
        <f t="shared" ca="1" si="2"/>
        <v>0.97545114131677735</v>
      </c>
      <c r="C100" t="str">
        <f t="shared" ca="1" si="3"/>
        <v/>
      </c>
    </row>
    <row r="101" spans="1:3" x14ac:dyDescent="0.25">
      <c r="A101" s="113">
        <v>121</v>
      </c>
      <c r="B101" s="113">
        <f t="shared" ca="1" si="2"/>
        <v>0.6147851209347055</v>
      </c>
      <c r="C101" t="str">
        <f t="shared" ca="1" si="3"/>
        <v/>
      </c>
    </row>
    <row r="102" spans="1:3" x14ac:dyDescent="0.25">
      <c r="A102" s="113">
        <v>103</v>
      </c>
      <c r="B102" s="113">
        <f t="shared" ca="1" si="2"/>
        <v>0.79746277481749139</v>
      </c>
      <c r="C102" t="str">
        <f t="shared" ca="1" si="3"/>
        <v/>
      </c>
    </row>
    <row r="103" spans="1:3" x14ac:dyDescent="0.25">
      <c r="A103" s="113">
        <v>128</v>
      </c>
      <c r="B103" s="113">
        <f t="shared" ca="1" si="2"/>
        <v>0.10308953789591169</v>
      </c>
      <c r="C103" t="str">
        <f t="shared" ca="1" si="3"/>
        <v/>
      </c>
    </row>
    <row r="104" spans="1:3" x14ac:dyDescent="0.25">
      <c r="A104" s="113">
        <v>119</v>
      </c>
      <c r="B104" s="113">
        <f t="shared" ca="1" si="2"/>
        <v>0.69339364168656303</v>
      </c>
      <c r="C104" t="str">
        <f t="shared" ca="1" si="3"/>
        <v/>
      </c>
    </row>
    <row r="105" spans="1:3" x14ac:dyDescent="0.25">
      <c r="A105" s="113">
        <v>115</v>
      </c>
      <c r="B105" s="113">
        <f t="shared" ca="1" si="2"/>
        <v>0.70033137942487789</v>
      </c>
      <c r="C105" t="str">
        <f t="shared" ca="1" si="3"/>
        <v/>
      </c>
    </row>
    <row r="106" spans="1:3" x14ac:dyDescent="0.25">
      <c r="A106" s="113">
        <v>96</v>
      </c>
      <c r="B106" s="113">
        <f t="shared" ca="1" si="2"/>
        <v>0.27424580471349858</v>
      </c>
      <c r="C106" t="str">
        <f t="shared" ca="1" si="3"/>
        <v/>
      </c>
    </row>
    <row r="107" spans="1:3" x14ac:dyDescent="0.25">
      <c r="A107" s="113">
        <v>124</v>
      </c>
      <c r="B107" s="113">
        <f t="shared" ca="1" si="2"/>
        <v>0.57264637770757376</v>
      </c>
      <c r="C107" t="str">
        <f t="shared" ca="1" si="3"/>
        <v/>
      </c>
    </row>
    <row r="108" spans="1:3" x14ac:dyDescent="0.25">
      <c r="A108" s="113">
        <v>127</v>
      </c>
      <c r="B108" s="113">
        <f t="shared" ca="1" si="2"/>
        <v>0.21394029833916761</v>
      </c>
      <c r="C108" t="str">
        <f t="shared" ca="1" si="3"/>
        <v/>
      </c>
    </row>
    <row r="109" spans="1:3" x14ac:dyDescent="0.25">
      <c r="A109" s="113">
        <v>114</v>
      </c>
      <c r="B109" s="113">
        <f t="shared" ca="1" si="2"/>
        <v>0.99057420496260007</v>
      </c>
      <c r="C109" t="str">
        <f t="shared" ca="1" si="3"/>
        <v/>
      </c>
    </row>
    <row r="110" spans="1:3" x14ac:dyDescent="0.25">
      <c r="A110" s="113">
        <v>78</v>
      </c>
      <c r="B110" s="113">
        <f t="shared" ca="1" si="2"/>
        <v>0.31869499696358883</v>
      </c>
      <c r="C110" t="str">
        <f t="shared" ca="1" si="3"/>
        <v/>
      </c>
    </row>
    <row r="111" spans="1:3" x14ac:dyDescent="0.25">
      <c r="A111" s="113">
        <v>110</v>
      </c>
      <c r="B111" s="113">
        <f t="shared" ca="1" si="2"/>
        <v>0.75644530249909558</v>
      </c>
      <c r="C111" t="str">
        <f t="shared" ca="1" si="3"/>
        <v/>
      </c>
    </row>
    <row r="112" spans="1:3" x14ac:dyDescent="0.25">
      <c r="A112" s="113">
        <v>113</v>
      </c>
      <c r="B112" s="113">
        <f t="shared" ca="1" si="2"/>
        <v>0.89075413992103436</v>
      </c>
      <c r="C112" t="str">
        <f t="shared" ca="1" si="3"/>
        <v/>
      </c>
    </row>
    <row r="113" spans="1:3" x14ac:dyDescent="0.25">
      <c r="A113" s="113">
        <v>102</v>
      </c>
      <c r="B113" s="113">
        <f t="shared" ca="1" si="2"/>
        <v>0.12759060034227965</v>
      </c>
      <c r="C113" t="str">
        <f t="shared" ca="1" si="3"/>
        <v/>
      </c>
    </row>
    <row r="114" spans="1:3" x14ac:dyDescent="0.25">
      <c r="A114" s="113">
        <v>106</v>
      </c>
      <c r="B114" s="113">
        <f t="shared" ca="1" si="2"/>
        <v>0.39673820059174048</v>
      </c>
      <c r="C114" t="str">
        <f t="shared" ca="1" si="3"/>
        <v/>
      </c>
    </row>
    <row r="115" spans="1:3" x14ac:dyDescent="0.25">
      <c r="A115" s="113">
        <v>111</v>
      </c>
      <c r="B115" s="113">
        <f t="shared" ca="1" si="2"/>
        <v>0.80396693437570266</v>
      </c>
      <c r="C115" t="str">
        <f t="shared" ca="1" si="3"/>
        <v/>
      </c>
    </row>
    <row r="116" spans="1:3" x14ac:dyDescent="0.25">
      <c r="A116" s="113">
        <v>129</v>
      </c>
      <c r="B116" s="113">
        <f t="shared" ca="1" si="2"/>
        <v>0.29942355137979415</v>
      </c>
      <c r="C116" t="str">
        <f t="shared" ca="1" si="3"/>
        <v/>
      </c>
    </row>
    <row r="117" spans="1:3" x14ac:dyDescent="0.25">
      <c r="A117" s="113">
        <v>117</v>
      </c>
      <c r="B117" s="113">
        <f t="shared" ca="1" si="2"/>
        <v>0.41457879979834644</v>
      </c>
      <c r="C117" t="str">
        <f t="shared" ca="1" si="3"/>
        <v/>
      </c>
    </row>
    <row r="118" spans="1:3" x14ac:dyDescent="0.25">
      <c r="A118" s="113">
        <v>128</v>
      </c>
      <c r="B118" s="113">
        <f t="shared" ca="1" si="2"/>
        <v>0.59010597185408276</v>
      </c>
      <c r="C118" t="str">
        <f t="shared" ca="1" si="3"/>
        <v/>
      </c>
    </row>
    <row r="119" spans="1:3" x14ac:dyDescent="0.25">
      <c r="A119" s="113">
        <v>115</v>
      </c>
      <c r="B119" s="113">
        <f t="shared" ca="1" si="2"/>
        <v>0.3034730568184475</v>
      </c>
      <c r="C119" t="str">
        <f t="shared" ca="1" si="3"/>
        <v/>
      </c>
    </row>
    <row r="120" spans="1:3" x14ac:dyDescent="0.25">
      <c r="A120" s="113">
        <v>92</v>
      </c>
      <c r="B120" s="113">
        <f t="shared" ca="1" si="2"/>
        <v>0.28374242956598905</v>
      </c>
      <c r="C120" t="str">
        <f t="shared" ca="1" si="3"/>
        <v/>
      </c>
    </row>
    <row r="121" spans="1:3" x14ac:dyDescent="0.25">
      <c r="A121" s="113">
        <v>135</v>
      </c>
      <c r="B121" s="113">
        <f t="shared" ca="1" si="2"/>
        <v>4.1625577489561194E-2</v>
      </c>
      <c r="C121">
        <f t="shared" ca="1" si="3"/>
        <v>135</v>
      </c>
    </row>
    <row r="122" spans="1:3" x14ac:dyDescent="0.25">
      <c r="A122" s="113">
        <v>123</v>
      </c>
      <c r="B122" s="113">
        <f t="shared" ca="1" si="2"/>
        <v>0.40052281896460351</v>
      </c>
      <c r="C122" t="str">
        <f t="shared" ca="1" si="3"/>
        <v/>
      </c>
    </row>
    <row r="123" spans="1:3" x14ac:dyDescent="0.25">
      <c r="A123" s="113">
        <v>138</v>
      </c>
      <c r="B123" s="113">
        <f t="shared" ca="1" si="2"/>
        <v>0.64082068929106428</v>
      </c>
      <c r="C123" t="str">
        <f t="shared" ca="1" si="3"/>
        <v/>
      </c>
    </row>
    <row r="124" spans="1:3" x14ac:dyDescent="0.25">
      <c r="A124" s="113">
        <v>131</v>
      </c>
      <c r="B124" s="113">
        <f t="shared" ca="1" si="2"/>
        <v>0.3269853987542537</v>
      </c>
      <c r="C124" t="str">
        <f t="shared" ca="1" si="3"/>
        <v/>
      </c>
    </row>
    <row r="125" spans="1:3" x14ac:dyDescent="0.25">
      <c r="A125" s="113">
        <v>168</v>
      </c>
      <c r="B125" s="113">
        <f t="shared" ca="1" si="2"/>
        <v>0.23020478595935967</v>
      </c>
      <c r="C125" t="str">
        <f t="shared" ca="1" si="3"/>
        <v/>
      </c>
    </row>
    <row r="126" spans="1:3" x14ac:dyDescent="0.25">
      <c r="A126" s="113">
        <v>108</v>
      </c>
      <c r="B126" s="113">
        <f t="shared" ca="1" si="2"/>
        <v>3.3588235414134915E-2</v>
      </c>
      <c r="C126">
        <f t="shared" ca="1" si="3"/>
        <v>108</v>
      </c>
    </row>
    <row r="127" spans="1:3" x14ac:dyDescent="0.25">
      <c r="A127" s="113">
        <v>97</v>
      </c>
      <c r="B127" s="113">
        <f t="shared" ca="1" si="2"/>
        <v>0.364786018789789</v>
      </c>
      <c r="C127" t="str">
        <f t="shared" ca="1" si="3"/>
        <v/>
      </c>
    </row>
    <row r="128" spans="1:3" x14ac:dyDescent="0.25">
      <c r="A128" s="113">
        <v>113</v>
      </c>
      <c r="B128" s="113">
        <f t="shared" ca="1" si="2"/>
        <v>0.79326120986797188</v>
      </c>
      <c r="C128" t="str">
        <f t="shared" ca="1" si="3"/>
        <v/>
      </c>
    </row>
    <row r="129" spans="1:3" x14ac:dyDescent="0.25">
      <c r="A129" s="113">
        <v>142</v>
      </c>
      <c r="B129" s="113">
        <f t="shared" ca="1" si="2"/>
        <v>0.76071787296816062</v>
      </c>
      <c r="C129" t="str">
        <f t="shared" ca="1" si="3"/>
        <v/>
      </c>
    </row>
    <row r="130" spans="1:3" x14ac:dyDescent="0.25">
      <c r="A130" s="113">
        <v>133</v>
      </c>
      <c r="B130" s="113">
        <f t="shared" ca="1" si="2"/>
        <v>0.61203120806815925</v>
      </c>
      <c r="C130" t="str">
        <f t="shared" ca="1" si="3"/>
        <v/>
      </c>
    </row>
    <row r="131" spans="1:3" x14ac:dyDescent="0.25">
      <c r="A131" s="113">
        <v>90</v>
      </c>
      <c r="B131" s="113">
        <f t="shared" ca="1" si="2"/>
        <v>0.89692343157436016</v>
      </c>
      <c r="C131" t="str">
        <f t="shared" ca="1" si="3"/>
        <v/>
      </c>
    </row>
    <row r="132" spans="1:3" x14ac:dyDescent="0.25">
      <c r="A132" s="113">
        <v>107</v>
      </c>
      <c r="B132" s="113">
        <f t="shared" ref="B132:B195" ca="1" si="4">RAND()</f>
        <v>0.44507066866646405</v>
      </c>
      <c r="C132" t="str">
        <f t="shared" ca="1" si="3"/>
        <v/>
      </c>
    </row>
    <row r="133" spans="1:3" x14ac:dyDescent="0.25">
      <c r="A133" s="113">
        <v>122</v>
      </c>
      <c r="B133" s="113">
        <f t="shared" ca="1" si="4"/>
        <v>0.79149287804949886</v>
      </c>
      <c r="C133" t="str">
        <f t="shared" ref="C133:C196" ca="1" si="5">IF(B133&lt;=PERCENTILE($B$4:$B$503,$D$3/$D$2),A133,"")</f>
        <v/>
      </c>
    </row>
    <row r="134" spans="1:3" x14ac:dyDescent="0.25">
      <c r="A134" s="113">
        <v>114</v>
      </c>
      <c r="B134" s="113">
        <f t="shared" ca="1" si="4"/>
        <v>0.40263523444579108</v>
      </c>
      <c r="C134" t="str">
        <f t="shared" ca="1" si="5"/>
        <v/>
      </c>
    </row>
    <row r="135" spans="1:3" x14ac:dyDescent="0.25">
      <c r="A135" s="113">
        <v>90</v>
      </c>
      <c r="B135" s="113">
        <f t="shared" ca="1" si="4"/>
        <v>3.3115341207462068E-2</v>
      </c>
      <c r="C135">
        <f t="shared" ca="1" si="5"/>
        <v>90</v>
      </c>
    </row>
    <row r="136" spans="1:3" x14ac:dyDescent="0.25">
      <c r="A136" s="113">
        <v>124</v>
      </c>
      <c r="B136" s="113">
        <f t="shared" ca="1" si="4"/>
        <v>0.7283610601889482</v>
      </c>
      <c r="C136" t="str">
        <f t="shared" ca="1" si="5"/>
        <v/>
      </c>
    </row>
    <row r="137" spans="1:3" x14ac:dyDescent="0.25">
      <c r="A137" s="113">
        <v>113</v>
      </c>
      <c r="B137" s="113">
        <f t="shared" ca="1" si="4"/>
        <v>0.94459686482515481</v>
      </c>
      <c r="C137" t="str">
        <f t="shared" ca="1" si="5"/>
        <v/>
      </c>
    </row>
    <row r="138" spans="1:3" x14ac:dyDescent="0.25">
      <c r="A138" s="113">
        <v>82</v>
      </c>
      <c r="B138" s="113">
        <f t="shared" ca="1" si="4"/>
        <v>0.17606410672378103</v>
      </c>
      <c r="C138" t="str">
        <f t="shared" ca="1" si="5"/>
        <v/>
      </c>
    </row>
    <row r="139" spans="1:3" x14ac:dyDescent="0.25">
      <c r="A139" s="113">
        <v>129</v>
      </c>
      <c r="B139" s="113">
        <f t="shared" ca="1" si="4"/>
        <v>0.48750963497479805</v>
      </c>
      <c r="C139" t="str">
        <f t="shared" ca="1" si="5"/>
        <v/>
      </c>
    </row>
    <row r="140" spans="1:3" x14ac:dyDescent="0.25">
      <c r="A140" s="113">
        <v>96</v>
      </c>
      <c r="B140" s="113">
        <f t="shared" ca="1" si="4"/>
        <v>0.21897433852645687</v>
      </c>
      <c r="C140" t="str">
        <f t="shared" ca="1" si="5"/>
        <v/>
      </c>
    </row>
    <row r="141" spans="1:3" x14ac:dyDescent="0.25">
      <c r="A141" s="113">
        <v>119</v>
      </c>
      <c r="B141" s="113">
        <f t="shared" ca="1" si="4"/>
        <v>0.49025293867241337</v>
      </c>
      <c r="C141" t="str">
        <f t="shared" ca="1" si="5"/>
        <v/>
      </c>
    </row>
    <row r="142" spans="1:3" x14ac:dyDescent="0.25">
      <c r="A142" s="113">
        <v>125</v>
      </c>
      <c r="B142" s="113">
        <f t="shared" ca="1" si="4"/>
        <v>0.54456958464974514</v>
      </c>
      <c r="C142" t="str">
        <f t="shared" ca="1" si="5"/>
        <v/>
      </c>
    </row>
    <row r="143" spans="1:3" x14ac:dyDescent="0.25">
      <c r="A143" s="113">
        <v>118</v>
      </c>
      <c r="B143" s="113">
        <f t="shared" ca="1" si="4"/>
        <v>0.34327394947336798</v>
      </c>
      <c r="C143" t="str">
        <f t="shared" ca="1" si="5"/>
        <v/>
      </c>
    </row>
    <row r="144" spans="1:3" x14ac:dyDescent="0.25">
      <c r="A144" s="113">
        <v>112</v>
      </c>
      <c r="B144" s="113">
        <f t="shared" ca="1" si="4"/>
        <v>2.8394629183359443E-2</v>
      </c>
      <c r="C144">
        <f t="shared" ca="1" si="5"/>
        <v>112</v>
      </c>
    </row>
    <row r="145" spans="1:3" x14ac:dyDescent="0.25">
      <c r="A145" s="113">
        <v>102</v>
      </c>
      <c r="B145" s="113">
        <f t="shared" ca="1" si="4"/>
        <v>0.52397179545715911</v>
      </c>
      <c r="C145" t="str">
        <f t="shared" ca="1" si="5"/>
        <v/>
      </c>
    </row>
    <row r="146" spans="1:3" x14ac:dyDescent="0.25">
      <c r="A146" s="113">
        <v>108</v>
      </c>
      <c r="B146" s="113">
        <f t="shared" ca="1" si="4"/>
        <v>0.32111717472643686</v>
      </c>
      <c r="C146" t="str">
        <f t="shared" ca="1" si="5"/>
        <v/>
      </c>
    </row>
    <row r="147" spans="1:3" x14ac:dyDescent="0.25">
      <c r="A147" s="113">
        <v>94</v>
      </c>
      <c r="B147" s="113">
        <f t="shared" ca="1" si="4"/>
        <v>0.73187792102936267</v>
      </c>
      <c r="C147" t="str">
        <f t="shared" ca="1" si="5"/>
        <v/>
      </c>
    </row>
    <row r="148" spans="1:3" x14ac:dyDescent="0.25">
      <c r="A148" s="113">
        <v>133</v>
      </c>
      <c r="B148" s="113">
        <f t="shared" ca="1" si="4"/>
        <v>0.11501578914610777</v>
      </c>
      <c r="C148" t="str">
        <f t="shared" ca="1" si="5"/>
        <v/>
      </c>
    </row>
    <row r="149" spans="1:3" x14ac:dyDescent="0.25">
      <c r="A149" s="113">
        <v>130</v>
      </c>
      <c r="B149" s="113">
        <f t="shared" ca="1" si="4"/>
        <v>0.8056196496827448</v>
      </c>
      <c r="C149" t="str">
        <f t="shared" ca="1" si="5"/>
        <v/>
      </c>
    </row>
    <row r="150" spans="1:3" x14ac:dyDescent="0.25">
      <c r="A150" s="113">
        <v>125</v>
      </c>
      <c r="B150" s="113">
        <f t="shared" ca="1" si="4"/>
        <v>0.9094166766121301</v>
      </c>
      <c r="C150" t="str">
        <f t="shared" ca="1" si="5"/>
        <v/>
      </c>
    </row>
    <row r="151" spans="1:3" x14ac:dyDescent="0.25">
      <c r="A151" s="113">
        <v>158</v>
      </c>
      <c r="B151" s="113">
        <f t="shared" ca="1" si="4"/>
        <v>0.72737753350740775</v>
      </c>
      <c r="C151" t="str">
        <f t="shared" ca="1" si="5"/>
        <v/>
      </c>
    </row>
    <row r="152" spans="1:3" x14ac:dyDescent="0.25">
      <c r="A152" s="113">
        <v>98</v>
      </c>
      <c r="B152" s="113">
        <f t="shared" ca="1" si="4"/>
        <v>0.95124867961527815</v>
      </c>
      <c r="C152" t="str">
        <f t="shared" ca="1" si="5"/>
        <v/>
      </c>
    </row>
    <row r="153" spans="1:3" x14ac:dyDescent="0.25">
      <c r="A153" s="113">
        <v>116</v>
      </c>
      <c r="B153" s="113">
        <f t="shared" ca="1" si="4"/>
        <v>0.28242162644814017</v>
      </c>
      <c r="C153" t="str">
        <f t="shared" ca="1" si="5"/>
        <v/>
      </c>
    </row>
    <row r="154" spans="1:3" x14ac:dyDescent="0.25">
      <c r="A154" s="113">
        <v>120</v>
      </c>
      <c r="B154" s="113">
        <f t="shared" ca="1" si="4"/>
        <v>9.506334381232362E-2</v>
      </c>
      <c r="C154" t="str">
        <f t="shared" ca="1" si="5"/>
        <v/>
      </c>
    </row>
    <row r="155" spans="1:3" x14ac:dyDescent="0.25">
      <c r="A155" s="113">
        <v>109</v>
      </c>
      <c r="B155" s="113">
        <f t="shared" ca="1" si="4"/>
        <v>0.9874737548168937</v>
      </c>
      <c r="C155" t="str">
        <f t="shared" ca="1" si="5"/>
        <v/>
      </c>
    </row>
    <row r="156" spans="1:3" x14ac:dyDescent="0.25">
      <c r="A156" s="113">
        <v>102</v>
      </c>
      <c r="B156" s="113">
        <f t="shared" ca="1" si="4"/>
        <v>0.62775809141932137</v>
      </c>
      <c r="C156" t="str">
        <f t="shared" ca="1" si="5"/>
        <v/>
      </c>
    </row>
    <row r="157" spans="1:3" x14ac:dyDescent="0.25">
      <c r="A157" s="113">
        <v>128</v>
      </c>
      <c r="B157" s="113">
        <f t="shared" ca="1" si="4"/>
        <v>0.61652632223260251</v>
      </c>
      <c r="C157" t="str">
        <f t="shared" ca="1" si="5"/>
        <v/>
      </c>
    </row>
    <row r="158" spans="1:3" x14ac:dyDescent="0.25">
      <c r="A158" s="113">
        <v>127</v>
      </c>
      <c r="B158" s="113">
        <f t="shared" ca="1" si="4"/>
        <v>0.20935472617387285</v>
      </c>
      <c r="C158" t="str">
        <f t="shared" ca="1" si="5"/>
        <v/>
      </c>
    </row>
    <row r="159" spans="1:3" x14ac:dyDescent="0.25">
      <c r="A159" s="113">
        <v>108</v>
      </c>
      <c r="B159" s="113">
        <f t="shared" ca="1" si="4"/>
        <v>0.70662557146412319</v>
      </c>
      <c r="C159" t="str">
        <f t="shared" ca="1" si="5"/>
        <v/>
      </c>
    </row>
    <row r="160" spans="1:3" x14ac:dyDescent="0.25">
      <c r="A160" s="113">
        <v>132</v>
      </c>
      <c r="B160" s="113">
        <f t="shared" ca="1" si="4"/>
        <v>0.1764076857483281</v>
      </c>
      <c r="C160" t="str">
        <f t="shared" ca="1" si="5"/>
        <v/>
      </c>
    </row>
    <row r="161" spans="1:3" x14ac:dyDescent="0.25">
      <c r="A161" s="113">
        <v>130</v>
      </c>
      <c r="B161" s="113">
        <f t="shared" ca="1" si="4"/>
        <v>0.92081787992766517</v>
      </c>
      <c r="C161" t="str">
        <f t="shared" ca="1" si="5"/>
        <v/>
      </c>
    </row>
    <row r="162" spans="1:3" x14ac:dyDescent="0.25">
      <c r="A162" s="113">
        <v>114</v>
      </c>
      <c r="B162" s="113">
        <f t="shared" ca="1" si="4"/>
        <v>0.36231582107525773</v>
      </c>
      <c r="C162" t="str">
        <f t="shared" ca="1" si="5"/>
        <v/>
      </c>
    </row>
    <row r="163" spans="1:3" x14ac:dyDescent="0.25">
      <c r="A163" s="113">
        <v>125</v>
      </c>
      <c r="B163" s="113">
        <f t="shared" ca="1" si="4"/>
        <v>0.35600182264675018</v>
      </c>
      <c r="C163" t="str">
        <f t="shared" ca="1" si="5"/>
        <v/>
      </c>
    </row>
    <row r="164" spans="1:3" x14ac:dyDescent="0.25">
      <c r="A164" s="113">
        <v>118</v>
      </c>
      <c r="B164" s="113">
        <f t="shared" ca="1" si="4"/>
        <v>0.89941125021089496</v>
      </c>
      <c r="C164" t="str">
        <f t="shared" ca="1" si="5"/>
        <v/>
      </c>
    </row>
    <row r="165" spans="1:3" x14ac:dyDescent="0.25">
      <c r="A165" s="113">
        <v>135</v>
      </c>
      <c r="B165" s="113">
        <f t="shared" ca="1" si="4"/>
        <v>0.84842986327254055</v>
      </c>
      <c r="C165" t="str">
        <f t="shared" ca="1" si="5"/>
        <v/>
      </c>
    </row>
    <row r="166" spans="1:3" x14ac:dyDescent="0.25">
      <c r="A166" s="113">
        <v>117</v>
      </c>
      <c r="B166" s="113">
        <f t="shared" ca="1" si="4"/>
        <v>0.29388575809056727</v>
      </c>
      <c r="C166" t="str">
        <f t="shared" ca="1" si="5"/>
        <v/>
      </c>
    </row>
    <row r="167" spans="1:3" x14ac:dyDescent="0.25">
      <c r="A167" s="113">
        <v>128</v>
      </c>
      <c r="B167" s="113">
        <f t="shared" ca="1" si="4"/>
        <v>0.20282770440496922</v>
      </c>
      <c r="C167" t="str">
        <f t="shared" ca="1" si="5"/>
        <v/>
      </c>
    </row>
    <row r="168" spans="1:3" x14ac:dyDescent="0.25">
      <c r="A168" s="113">
        <v>124</v>
      </c>
      <c r="B168" s="113">
        <f t="shared" ca="1" si="4"/>
        <v>7.5143972671367631E-3</v>
      </c>
      <c r="C168">
        <f t="shared" ca="1" si="5"/>
        <v>124</v>
      </c>
    </row>
    <row r="169" spans="1:3" x14ac:dyDescent="0.25">
      <c r="A169" s="113">
        <v>127</v>
      </c>
      <c r="B169" s="113">
        <f t="shared" ca="1" si="4"/>
        <v>0.35956989109593052</v>
      </c>
      <c r="C169" t="str">
        <f t="shared" ca="1" si="5"/>
        <v/>
      </c>
    </row>
    <row r="170" spans="1:3" x14ac:dyDescent="0.25">
      <c r="A170" s="113">
        <v>110</v>
      </c>
      <c r="B170" s="113">
        <f t="shared" ca="1" si="4"/>
        <v>0.44128818905373679</v>
      </c>
      <c r="C170" t="str">
        <f t="shared" ca="1" si="5"/>
        <v/>
      </c>
    </row>
    <row r="171" spans="1:3" x14ac:dyDescent="0.25">
      <c r="A171" s="113">
        <v>127</v>
      </c>
      <c r="B171" s="113">
        <f t="shared" ca="1" si="4"/>
        <v>0.81847208327323528</v>
      </c>
      <c r="C171" t="str">
        <f t="shared" ca="1" si="5"/>
        <v/>
      </c>
    </row>
    <row r="172" spans="1:3" x14ac:dyDescent="0.25">
      <c r="A172" s="113">
        <v>114</v>
      </c>
      <c r="B172" s="113">
        <f t="shared" ca="1" si="4"/>
        <v>7.3347690866377713E-2</v>
      </c>
      <c r="C172" t="str">
        <f t="shared" ca="1" si="5"/>
        <v/>
      </c>
    </row>
    <row r="173" spans="1:3" x14ac:dyDescent="0.25">
      <c r="A173" s="113">
        <v>95</v>
      </c>
      <c r="B173" s="113">
        <f t="shared" ca="1" si="4"/>
        <v>0.23590016536589531</v>
      </c>
      <c r="C173" t="str">
        <f t="shared" ca="1" si="5"/>
        <v/>
      </c>
    </row>
    <row r="174" spans="1:3" x14ac:dyDescent="0.25">
      <c r="A174" s="113">
        <v>123</v>
      </c>
      <c r="B174" s="113">
        <f t="shared" ca="1" si="4"/>
        <v>7.8324007424703801E-3</v>
      </c>
      <c r="C174">
        <f t="shared" ca="1" si="5"/>
        <v>123</v>
      </c>
    </row>
    <row r="175" spans="1:3" x14ac:dyDescent="0.25">
      <c r="A175" s="113">
        <v>145</v>
      </c>
      <c r="B175" s="113">
        <f t="shared" ca="1" si="4"/>
        <v>0.19725561452942919</v>
      </c>
      <c r="C175" t="str">
        <f t="shared" ca="1" si="5"/>
        <v/>
      </c>
    </row>
    <row r="176" spans="1:3" x14ac:dyDescent="0.25">
      <c r="A176" s="113">
        <v>95</v>
      </c>
      <c r="B176" s="113">
        <f t="shared" ca="1" si="4"/>
        <v>0.48524048161341482</v>
      </c>
      <c r="C176" t="str">
        <f t="shared" ca="1" si="5"/>
        <v/>
      </c>
    </row>
    <row r="177" spans="1:3" x14ac:dyDescent="0.25">
      <c r="A177" s="113">
        <v>163</v>
      </c>
      <c r="B177" s="113">
        <f t="shared" ca="1" si="4"/>
        <v>0.11620764019170482</v>
      </c>
      <c r="C177" t="str">
        <f t="shared" ca="1" si="5"/>
        <v/>
      </c>
    </row>
    <row r="178" spans="1:3" x14ac:dyDescent="0.25">
      <c r="A178" s="113">
        <v>115</v>
      </c>
      <c r="B178" s="113">
        <f t="shared" ca="1" si="4"/>
        <v>0.23858108204880268</v>
      </c>
      <c r="C178" t="str">
        <f t="shared" ca="1" si="5"/>
        <v/>
      </c>
    </row>
    <row r="179" spans="1:3" x14ac:dyDescent="0.25">
      <c r="A179" s="113">
        <v>148</v>
      </c>
      <c r="B179" s="113">
        <f t="shared" ca="1" si="4"/>
        <v>0.86110136748288912</v>
      </c>
      <c r="C179" t="str">
        <f t="shared" ca="1" si="5"/>
        <v/>
      </c>
    </row>
    <row r="180" spans="1:3" x14ac:dyDescent="0.25">
      <c r="A180" s="113">
        <v>104</v>
      </c>
      <c r="B180" s="113">
        <f t="shared" ca="1" si="4"/>
        <v>3.6330952755619261E-2</v>
      </c>
      <c r="C180">
        <f t="shared" ca="1" si="5"/>
        <v>104</v>
      </c>
    </row>
    <row r="181" spans="1:3" x14ac:dyDescent="0.25">
      <c r="A181" s="113">
        <v>122</v>
      </c>
      <c r="B181" s="113">
        <f t="shared" ca="1" si="4"/>
        <v>0.13495669070622895</v>
      </c>
      <c r="C181" t="str">
        <f t="shared" ca="1" si="5"/>
        <v/>
      </c>
    </row>
    <row r="182" spans="1:3" x14ac:dyDescent="0.25">
      <c r="A182" s="113">
        <v>131</v>
      </c>
      <c r="B182" s="113">
        <f t="shared" ca="1" si="4"/>
        <v>0.45251799269915904</v>
      </c>
      <c r="C182" t="str">
        <f t="shared" ca="1" si="5"/>
        <v/>
      </c>
    </row>
    <row r="183" spans="1:3" x14ac:dyDescent="0.25">
      <c r="A183" s="113">
        <v>119</v>
      </c>
      <c r="B183" s="113">
        <f t="shared" ca="1" si="4"/>
        <v>0.43376227468958206</v>
      </c>
      <c r="C183" t="str">
        <f t="shared" ca="1" si="5"/>
        <v/>
      </c>
    </row>
    <row r="184" spans="1:3" x14ac:dyDescent="0.25">
      <c r="A184" s="113">
        <v>150</v>
      </c>
      <c r="B184" s="113">
        <f t="shared" ca="1" si="4"/>
        <v>0.34106139854652495</v>
      </c>
      <c r="C184" t="str">
        <f t="shared" ca="1" si="5"/>
        <v/>
      </c>
    </row>
    <row r="185" spans="1:3" x14ac:dyDescent="0.25">
      <c r="A185" s="113">
        <v>135</v>
      </c>
      <c r="B185" s="113">
        <f t="shared" ca="1" si="4"/>
        <v>0.9831882990073102</v>
      </c>
      <c r="C185" t="str">
        <f t="shared" ca="1" si="5"/>
        <v/>
      </c>
    </row>
    <row r="186" spans="1:3" x14ac:dyDescent="0.25">
      <c r="A186" s="113">
        <v>114</v>
      </c>
      <c r="B186" s="113">
        <f t="shared" ca="1" si="4"/>
        <v>0.27308538908136426</v>
      </c>
      <c r="C186" t="str">
        <f t="shared" ca="1" si="5"/>
        <v/>
      </c>
    </row>
    <row r="187" spans="1:3" x14ac:dyDescent="0.25">
      <c r="A187" s="113">
        <v>128</v>
      </c>
      <c r="B187" s="113">
        <f t="shared" ca="1" si="4"/>
        <v>0.26367329343287538</v>
      </c>
      <c r="C187" t="str">
        <f t="shared" ca="1" si="5"/>
        <v/>
      </c>
    </row>
    <row r="188" spans="1:3" x14ac:dyDescent="0.25">
      <c r="A188" s="113">
        <v>74</v>
      </c>
      <c r="B188" s="113">
        <f t="shared" ca="1" si="4"/>
        <v>0.43391226036257502</v>
      </c>
      <c r="C188" t="str">
        <f t="shared" ca="1" si="5"/>
        <v/>
      </c>
    </row>
    <row r="189" spans="1:3" x14ac:dyDescent="0.25">
      <c r="A189" s="113">
        <v>114</v>
      </c>
      <c r="B189" s="113">
        <f t="shared" ca="1" si="4"/>
        <v>9.6942385389333086E-2</v>
      </c>
      <c r="C189" t="str">
        <f t="shared" ca="1" si="5"/>
        <v/>
      </c>
    </row>
    <row r="190" spans="1:3" x14ac:dyDescent="0.25">
      <c r="A190" s="113">
        <v>111</v>
      </c>
      <c r="B190" s="113">
        <f t="shared" ca="1" si="4"/>
        <v>0.36494799113258958</v>
      </c>
      <c r="C190" t="str">
        <f t="shared" ca="1" si="5"/>
        <v/>
      </c>
    </row>
    <row r="191" spans="1:3" x14ac:dyDescent="0.25">
      <c r="A191" s="113">
        <v>104</v>
      </c>
      <c r="B191" s="113">
        <f t="shared" ca="1" si="4"/>
        <v>0.31360594931939167</v>
      </c>
      <c r="C191" t="str">
        <f t="shared" ca="1" si="5"/>
        <v/>
      </c>
    </row>
    <row r="192" spans="1:3" x14ac:dyDescent="0.25">
      <c r="A192" s="113">
        <v>116</v>
      </c>
      <c r="B192" s="113">
        <f t="shared" ca="1" si="4"/>
        <v>0.62928184756651462</v>
      </c>
      <c r="C192" t="str">
        <f t="shared" ca="1" si="5"/>
        <v/>
      </c>
    </row>
    <row r="193" spans="1:3" x14ac:dyDescent="0.25">
      <c r="A193" s="113">
        <v>138</v>
      </c>
      <c r="B193" s="113">
        <f t="shared" ca="1" si="4"/>
        <v>0.65844872993834513</v>
      </c>
      <c r="C193" t="str">
        <f t="shared" ca="1" si="5"/>
        <v/>
      </c>
    </row>
    <row r="194" spans="1:3" x14ac:dyDescent="0.25">
      <c r="A194" s="113">
        <v>90</v>
      </c>
      <c r="B194" s="113">
        <f t="shared" ca="1" si="4"/>
        <v>0.37564699555984193</v>
      </c>
      <c r="C194" t="str">
        <f t="shared" ca="1" si="5"/>
        <v/>
      </c>
    </row>
    <row r="195" spans="1:3" x14ac:dyDescent="0.25">
      <c r="A195" s="113">
        <v>89</v>
      </c>
      <c r="B195" s="113">
        <f t="shared" ca="1" si="4"/>
        <v>0.19041100285579615</v>
      </c>
      <c r="C195" t="str">
        <f t="shared" ca="1" si="5"/>
        <v/>
      </c>
    </row>
    <row r="196" spans="1:3" x14ac:dyDescent="0.25">
      <c r="A196" s="113">
        <v>121</v>
      </c>
      <c r="B196" s="113">
        <f t="shared" ref="B196:B259" ca="1" si="6">RAND()</f>
        <v>0.14019889254807194</v>
      </c>
      <c r="C196" t="str">
        <f t="shared" ca="1" si="5"/>
        <v/>
      </c>
    </row>
    <row r="197" spans="1:3" x14ac:dyDescent="0.25">
      <c r="A197" s="113">
        <v>84</v>
      </c>
      <c r="B197" s="113">
        <f t="shared" ca="1" si="6"/>
        <v>0.26348629152679892</v>
      </c>
      <c r="C197" t="str">
        <f t="shared" ref="C197:C260" ca="1" si="7">IF(B197&lt;=PERCENTILE($B$4:$B$503,$D$3/$D$2),A197,"")</f>
        <v/>
      </c>
    </row>
    <row r="198" spans="1:3" x14ac:dyDescent="0.25">
      <c r="A198" s="113">
        <v>103</v>
      </c>
      <c r="B198" s="113">
        <f t="shared" ca="1" si="6"/>
        <v>0.30354592140125924</v>
      </c>
      <c r="C198" t="str">
        <f t="shared" ca="1" si="7"/>
        <v/>
      </c>
    </row>
    <row r="199" spans="1:3" x14ac:dyDescent="0.25">
      <c r="A199" s="113">
        <v>144</v>
      </c>
      <c r="B199" s="113">
        <f t="shared" ca="1" si="6"/>
        <v>0.14858373838215366</v>
      </c>
      <c r="C199" t="str">
        <f t="shared" ca="1" si="7"/>
        <v/>
      </c>
    </row>
    <row r="200" spans="1:3" x14ac:dyDescent="0.25">
      <c r="A200" s="113">
        <v>118</v>
      </c>
      <c r="B200" s="113">
        <f t="shared" ca="1" si="6"/>
        <v>0.24515110089357772</v>
      </c>
      <c r="C200" t="str">
        <f t="shared" ca="1" si="7"/>
        <v/>
      </c>
    </row>
    <row r="201" spans="1:3" x14ac:dyDescent="0.25">
      <c r="A201" s="113">
        <v>124</v>
      </c>
      <c r="B201" s="113">
        <f t="shared" ca="1" si="6"/>
        <v>0.32507364264508631</v>
      </c>
      <c r="C201" t="str">
        <f t="shared" ca="1" si="7"/>
        <v/>
      </c>
    </row>
    <row r="202" spans="1:3" x14ac:dyDescent="0.25">
      <c r="A202" s="113">
        <v>94</v>
      </c>
      <c r="B202" s="113">
        <f t="shared" ca="1" si="6"/>
        <v>0.24624983665703992</v>
      </c>
      <c r="C202" t="str">
        <f t="shared" ca="1" si="7"/>
        <v/>
      </c>
    </row>
    <row r="203" spans="1:3" x14ac:dyDescent="0.25">
      <c r="A203" s="113">
        <v>122</v>
      </c>
      <c r="B203" s="113">
        <f t="shared" ca="1" si="6"/>
        <v>0.68012093262236417</v>
      </c>
      <c r="C203" t="str">
        <f t="shared" ca="1" si="7"/>
        <v/>
      </c>
    </row>
    <row r="204" spans="1:3" x14ac:dyDescent="0.25">
      <c r="A204" s="113">
        <v>127</v>
      </c>
      <c r="B204" s="113">
        <f t="shared" ca="1" si="6"/>
        <v>0.16760741693136527</v>
      </c>
      <c r="C204" t="str">
        <f t="shared" ca="1" si="7"/>
        <v/>
      </c>
    </row>
    <row r="205" spans="1:3" x14ac:dyDescent="0.25">
      <c r="A205" s="113">
        <v>152</v>
      </c>
      <c r="B205" s="113">
        <f t="shared" ca="1" si="6"/>
        <v>0.71935668460900482</v>
      </c>
      <c r="C205" t="str">
        <f t="shared" ca="1" si="7"/>
        <v/>
      </c>
    </row>
    <row r="206" spans="1:3" x14ac:dyDescent="0.25">
      <c r="A206" s="113">
        <v>113</v>
      </c>
      <c r="B206" s="113">
        <f t="shared" ca="1" si="6"/>
        <v>6.6938327904794925E-2</v>
      </c>
      <c r="C206" t="str">
        <f t="shared" ca="1" si="7"/>
        <v/>
      </c>
    </row>
    <row r="207" spans="1:3" x14ac:dyDescent="0.25">
      <c r="A207" s="113">
        <v>147</v>
      </c>
      <c r="B207" s="113">
        <f t="shared" ca="1" si="6"/>
        <v>0.69164185618709739</v>
      </c>
      <c r="C207" t="str">
        <f t="shared" ca="1" si="7"/>
        <v/>
      </c>
    </row>
    <row r="208" spans="1:3" x14ac:dyDescent="0.25">
      <c r="A208" s="113">
        <v>103</v>
      </c>
      <c r="B208" s="113">
        <f t="shared" ca="1" si="6"/>
        <v>0.97113937471166767</v>
      </c>
      <c r="C208" t="str">
        <f t="shared" ca="1" si="7"/>
        <v/>
      </c>
    </row>
    <row r="209" spans="1:3" x14ac:dyDescent="0.25">
      <c r="A209" s="113">
        <v>150</v>
      </c>
      <c r="B209" s="113">
        <f t="shared" ca="1" si="6"/>
        <v>0.85449226700037473</v>
      </c>
      <c r="C209" t="str">
        <f t="shared" ca="1" si="7"/>
        <v/>
      </c>
    </row>
    <row r="210" spans="1:3" x14ac:dyDescent="0.25">
      <c r="A210" s="113">
        <v>133</v>
      </c>
      <c r="B210" s="113">
        <f t="shared" ca="1" si="6"/>
        <v>0.75068147254872752</v>
      </c>
      <c r="C210" t="str">
        <f t="shared" ca="1" si="7"/>
        <v/>
      </c>
    </row>
    <row r="211" spans="1:3" x14ac:dyDescent="0.25">
      <c r="A211" s="113">
        <v>132</v>
      </c>
      <c r="B211" s="113">
        <f t="shared" ca="1" si="6"/>
        <v>0.55486112049628156</v>
      </c>
      <c r="C211" t="str">
        <f t="shared" ca="1" si="7"/>
        <v/>
      </c>
    </row>
    <row r="212" spans="1:3" x14ac:dyDescent="0.25">
      <c r="A212" s="113">
        <v>112</v>
      </c>
      <c r="B212" s="113">
        <f t="shared" ca="1" si="6"/>
        <v>0.65181143930864294</v>
      </c>
      <c r="C212" t="str">
        <f t="shared" ca="1" si="7"/>
        <v/>
      </c>
    </row>
    <row r="213" spans="1:3" x14ac:dyDescent="0.25">
      <c r="A213" s="113">
        <v>86</v>
      </c>
      <c r="B213" s="113">
        <f t="shared" ca="1" si="6"/>
        <v>0.58189496900115445</v>
      </c>
      <c r="C213" t="str">
        <f t="shared" ca="1" si="7"/>
        <v/>
      </c>
    </row>
    <row r="214" spans="1:3" x14ac:dyDescent="0.25">
      <c r="A214" s="113">
        <v>119</v>
      </c>
      <c r="B214" s="113">
        <f t="shared" ca="1" si="6"/>
        <v>0.82195472483943766</v>
      </c>
      <c r="C214" t="str">
        <f t="shared" ca="1" si="7"/>
        <v/>
      </c>
    </row>
    <row r="215" spans="1:3" x14ac:dyDescent="0.25">
      <c r="A215" s="113">
        <v>142</v>
      </c>
      <c r="B215" s="113">
        <f t="shared" ca="1" si="6"/>
        <v>0.1135554950158405</v>
      </c>
      <c r="C215" t="str">
        <f t="shared" ca="1" si="7"/>
        <v/>
      </c>
    </row>
    <row r="216" spans="1:3" x14ac:dyDescent="0.25">
      <c r="A216" s="113">
        <v>120</v>
      </c>
      <c r="B216" s="113">
        <f t="shared" ca="1" si="6"/>
        <v>0.64300432760126058</v>
      </c>
      <c r="C216" t="str">
        <f t="shared" ca="1" si="7"/>
        <v/>
      </c>
    </row>
    <row r="217" spans="1:3" x14ac:dyDescent="0.25">
      <c r="A217" s="113">
        <v>121</v>
      </c>
      <c r="B217" s="113">
        <f t="shared" ca="1" si="6"/>
        <v>0.55083048677701973</v>
      </c>
      <c r="C217" t="str">
        <f t="shared" ca="1" si="7"/>
        <v/>
      </c>
    </row>
    <row r="218" spans="1:3" x14ac:dyDescent="0.25">
      <c r="A218" s="113">
        <v>137</v>
      </c>
      <c r="B218" s="113">
        <f t="shared" ca="1" si="6"/>
        <v>0.77746408829005564</v>
      </c>
      <c r="C218" t="str">
        <f t="shared" ca="1" si="7"/>
        <v/>
      </c>
    </row>
    <row r="219" spans="1:3" x14ac:dyDescent="0.25">
      <c r="A219" s="113">
        <v>103</v>
      </c>
      <c r="B219" s="113">
        <f t="shared" ca="1" si="6"/>
        <v>0.12822371077815131</v>
      </c>
      <c r="C219" t="str">
        <f t="shared" ca="1" si="7"/>
        <v/>
      </c>
    </row>
    <row r="220" spans="1:3" x14ac:dyDescent="0.25">
      <c r="A220" s="113">
        <v>93</v>
      </c>
      <c r="B220" s="113">
        <f t="shared" ca="1" si="6"/>
        <v>0.3562490284673584</v>
      </c>
      <c r="C220" t="str">
        <f t="shared" ca="1" si="7"/>
        <v/>
      </c>
    </row>
    <row r="221" spans="1:3" x14ac:dyDescent="0.25">
      <c r="A221" s="113">
        <v>112</v>
      </c>
      <c r="B221" s="113">
        <f t="shared" ca="1" si="6"/>
        <v>0.89751449572874653</v>
      </c>
      <c r="C221" t="str">
        <f t="shared" ca="1" si="7"/>
        <v/>
      </c>
    </row>
    <row r="222" spans="1:3" x14ac:dyDescent="0.25">
      <c r="A222" s="113">
        <v>100</v>
      </c>
      <c r="B222" s="113">
        <f t="shared" ca="1" si="6"/>
        <v>0.40716490079327128</v>
      </c>
      <c r="C222" t="str">
        <f t="shared" ca="1" si="7"/>
        <v/>
      </c>
    </row>
    <row r="223" spans="1:3" x14ac:dyDescent="0.25">
      <c r="A223" s="113">
        <v>76</v>
      </c>
      <c r="B223" s="113">
        <f t="shared" ca="1" si="6"/>
        <v>0.50751437716669701</v>
      </c>
      <c r="C223" t="str">
        <f t="shared" ca="1" si="7"/>
        <v/>
      </c>
    </row>
    <row r="224" spans="1:3" x14ac:dyDescent="0.25">
      <c r="A224" s="113">
        <v>82</v>
      </c>
      <c r="B224" s="113">
        <f t="shared" ca="1" si="6"/>
        <v>0.69459862261722727</v>
      </c>
      <c r="C224" t="str">
        <f t="shared" ca="1" si="7"/>
        <v/>
      </c>
    </row>
    <row r="225" spans="1:3" x14ac:dyDescent="0.25">
      <c r="A225" s="113">
        <v>141</v>
      </c>
      <c r="B225" s="113">
        <f t="shared" ca="1" si="6"/>
        <v>0.73322839994446298</v>
      </c>
      <c r="C225" t="str">
        <f t="shared" ca="1" si="7"/>
        <v/>
      </c>
    </row>
    <row r="226" spans="1:3" x14ac:dyDescent="0.25">
      <c r="A226" s="113">
        <v>124</v>
      </c>
      <c r="B226" s="113">
        <f t="shared" ca="1" si="6"/>
        <v>0.27626803438884884</v>
      </c>
      <c r="C226" t="str">
        <f t="shared" ca="1" si="7"/>
        <v/>
      </c>
    </row>
    <row r="227" spans="1:3" x14ac:dyDescent="0.25">
      <c r="A227" s="113">
        <v>136</v>
      </c>
      <c r="B227" s="113">
        <f t="shared" ca="1" si="6"/>
        <v>0.87368973610771417</v>
      </c>
      <c r="C227" t="str">
        <f t="shared" ca="1" si="7"/>
        <v/>
      </c>
    </row>
    <row r="228" spans="1:3" x14ac:dyDescent="0.25">
      <c r="A228" s="113">
        <v>72</v>
      </c>
      <c r="B228" s="113">
        <f t="shared" ca="1" si="6"/>
        <v>0.48111671451811022</v>
      </c>
      <c r="C228" t="str">
        <f t="shared" ca="1" si="7"/>
        <v/>
      </c>
    </row>
    <row r="229" spans="1:3" x14ac:dyDescent="0.25">
      <c r="A229" s="113">
        <v>99</v>
      </c>
      <c r="B229" s="113">
        <f t="shared" ca="1" si="6"/>
        <v>0.27192981510111636</v>
      </c>
      <c r="C229" t="str">
        <f t="shared" ca="1" si="7"/>
        <v/>
      </c>
    </row>
    <row r="230" spans="1:3" x14ac:dyDescent="0.25">
      <c r="A230" s="113">
        <v>125</v>
      </c>
      <c r="B230" s="113">
        <f t="shared" ca="1" si="6"/>
        <v>0.50767275633820907</v>
      </c>
      <c r="C230" t="str">
        <f t="shared" ca="1" si="7"/>
        <v/>
      </c>
    </row>
    <row r="231" spans="1:3" x14ac:dyDescent="0.25">
      <c r="A231" s="113">
        <v>139</v>
      </c>
      <c r="B231" s="113">
        <f t="shared" ca="1" si="6"/>
        <v>8.7305041695492469E-2</v>
      </c>
      <c r="C231" t="str">
        <f t="shared" ca="1" si="7"/>
        <v/>
      </c>
    </row>
    <row r="232" spans="1:3" x14ac:dyDescent="0.25">
      <c r="A232" s="113">
        <v>152</v>
      </c>
      <c r="B232" s="113">
        <f t="shared" ca="1" si="6"/>
        <v>0.17581631988360424</v>
      </c>
      <c r="C232" t="str">
        <f t="shared" ca="1" si="7"/>
        <v/>
      </c>
    </row>
    <row r="233" spans="1:3" x14ac:dyDescent="0.25">
      <c r="A233" s="113">
        <v>106</v>
      </c>
      <c r="B233" s="113">
        <f t="shared" ca="1" si="6"/>
        <v>0.3869125004848456</v>
      </c>
      <c r="C233" t="str">
        <f t="shared" ca="1" si="7"/>
        <v/>
      </c>
    </row>
    <row r="234" spans="1:3" x14ac:dyDescent="0.25">
      <c r="A234" s="113">
        <v>98</v>
      </c>
      <c r="B234" s="113">
        <f t="shared" ca="1" si="6"/>
        <v>0.72728280605756157</v>
      </c>
      <c r="C234" t="str">
        <f t="shared" ca="1" si="7"/>
        <v/>
      </c>
    </row>
    <row r="235" spans="1:3" x14ac:dyDescent="0.25">
      <c r="A235" s="113">
        <v>115</v>
      </c>
      <c r="B235" s="113">
        <f t="shared" ca="1" si="6"/>
        <v>0.79003000483667751</v>
      </c>
      <c r="C235" t="str">
        <f t="shared" ca="1" si="7"/>
        <v/>
      </c>
    </row>
    <row r="236" spans="1:3" x14ac:dyDescent="0.25">
      <c r="A236" s="113">
        <v>138</v>
      </c>
      <c r="B236" s="113">
        <f t="shared" ca="1" si="6"/>
        <v>0.11345561375901614</v>
      </c>
      <c r="C236" t="str">
        <f t="shared" ca="1" si="7"/>
        <v/>
      </c>
    </row>
    <row r="237" spans="1:3" x14ac:dyDescent="0.25">
      <c r="A237" s="113">
        <v>118</v>
      </c>
      <c r="B237" s="113">
        <f t="shared" ca="1" si="6"/>
        <v>0.42833678557659216</v>
      </c>
      <c r="C237" t="str">
        <f t="shared" ca="1" si="7"/>
        <v/>
      </c>
    </row>
    <row r="238" spans="1:3" x14ac:dyDescent="0.25">
      <c r="A238" s="113">
        <v>89</v>
      </c>
      <c r="B238" s="113">
        <f t="shared" ca="1" si="6"/>
        <v>0.40697839343205544</v>
      </c>
      <c r="C238" t="str">
        <f t="shared" ca="1" si="7"/>
        <v/>
      </c>
    </row>
    <row r="239" spans="1:3" x14ac:dyDescent="0.25">
      <c r="A239" s="113">
        <v>124</v>
      </c>
      <c r="B239" s="113">
        <f t="shared" ca="1" si="6"/>
        <v>0.19375622251149571</v>
      </c>
      <c r="C239" t="str">
        <f t="shared" ca="1" si="7"/>
        <v/>
      </c>
    </row>
    <row r="240" spans="1:3" x14ac:dyDescent="0.25">
      <c r="A240" s="113">
        <v>125</v>
      </c>
      <c r="B240" s="113">
        <f t="shared" ca="1" si="6"/>
        <v>0.76038955644063355</v>
      </c>
      <c r="C240" t="str">
        <f t="shared" ca="1" si="7"/>
        <v/>
      </c>
    </row>
    <row r="241" spans="1:3" x14ac:dyDescent="0.25">
      <c r="A241" s="113">
        <v>150</v>
      </c>
      <c r="B241" s="113">
        <f t="shared" ca="1" si="6"/>
        <v>0.14338124827485699</v>
      </c>
      <c r="C241" t="str">
        <f t="shared" ca="1" si="7"/>
        <v/>
      </c>
    </row>
    <row r="242" spans="1:3" x14ac:dyDescent="0.25">
      <c r="A242" s="113">
        <v>160</v>
      </c>
      <c r="B242" s="113">
        <f t="shared" ca="1" si="6"/>
        <v>0.55199612090318451</v>
      </c>
      <c r="C242" t="str">
        <f t="shared" ca="1" si="7"/>
        <v/>
      </c>
    </row>
    <row r="243" spans="1:3" x14ac:dyDescent="0.25">
      <c r="A243" s="113">
        <v>127</v>
      </c>
      <c r="B243" s="113">
        <f t="shared" ca="1" si="6"/>
        <v>0.89622156954525767</v>
      </c>
      <c r="C243" t="str">
        <f t="shared" ca="1" si="7"/>
        <v/>
      </c>
    </row>
    <row r="244" spans="1:3" x14ac:dyDescent="0.25">
      <c r="A244" s="113">
        <v>81</v>
      </c>
      <c r="B244" s="113">
        <f t="shared" ca="1" si="6"/>
        <v>0.10592593781492965</v>
      </c>
      <c r="C244" t="str">
        <f t="shared" ca="1" si="7"/>
        <v/>
      </c>
    </row>
    <row r="245" spans="1:3" x14ac:dyDescent="0.25">
      <c r="A245" s="113">
        <v>119</v>
      </c>
      <c r="B245" s="113">
        <f t="shared" ca="1" si="6"/>
        <v>0.53894702713255338</v>
      </c>
      <c r="C245" t="str">
        <f t="shared" ca="1" si="7"/>
        <v/>
      </c>
    </row>
    <row r="246" spans="1:3" x14ac:dyDescent="0.25">
      <c r="A246" s="113">
        <v>79</v>
      </c>
      <c r="B246" s="113">
        <f t="shared" ca="1" si="6"/>
        <v>4.9727384356631266E-2</v>
      </c>
      <c r="C246">
        <f t="shared" ca="1" si="7"/>
        <v>79</v>
      </c>
    </row>
    <row r="247" spans="1:3" x14ac:dyDescent="0.25">
      <c r="A247" s="113">
        <v>150</v>
      </c>
      <c r="B247" s="113">
        <f t="shared" ca="1" si="6"/>
        <v>0.68217263658105842</v>
      </c>
      <c r="C247" t="str">
        <f t="shared" ca="1" si="7"/>
        <v/>
      </c>
    </row>
    <row r="248" spans="1:3" x14ac:dyDescent="0.25">
      <c r="A248" s="113">
        <v>98</v>
      </c>
      <c r="B248" s="113">
        <f t="shared" ca="1" si="6"/>
        <v>0.8696613118089932</v>
      </c>
      <c r="C248" t="str">
        <f t="shared" ca="1" si="7"/>
        <v/>
      </c>
    </row>
    <row r="249" spans="1:3" x14ac:dyDescent="0.25">
      <c r="A249" s="113">
        <v>54</v>
      </c>
      <c r="B249" s="113">
        <f t="shared" ca="1" si="6"/>
        <v>0.98619448884220096</v>
      </c>
      <c r="C249" t="str">
        <f t="shared" ca="1" si="7"/>
        <v/>
      </c>
    </row>
    <row r="250" spans="1:3" x14ac:dyDescent="0.25">
      <c r="A250" s="113">
        <v>139</v>
      </c>
      <c r="B250" s="113">
        <f t="shared" ca="1" si="6"/>
        <v>0.24162009989114186</v>
      </c>
      <c r="C250" t="str">
        <f t="shared" ca="1" si="7"/>
        <v/>
      </c>
    </row>
    <row r="251" spans="1:3" x14ac:dyDescent="0.25">
      <c r="A251" s="113">
        <v>111</v>
      </c>
      <c r="B251" s="113">
        <f t="shared" ca="1" si="6"/>
        <v>0.14292759070532168</v>
      </c>
      <c r="C251" t="str">
        <f t="shared" ca="1" si="7"/>
        <v/>
      </c>
    </row>
    <row r="252" spans="1:3" x14ac:dyDescent="0.25">
      <c r="A252" s="113">
        <v>138</v>
      </c>
      <c r="B252" s="113">
        <f t="shared" ca="1" si="6"/>
        <v>0.47782945580684244</v>
      </c>
      <c r="C252" t="str">
        <f t="shared" ca="1" si="7"/>
        <v/>
      </c>
    </row>
    <row r="253" spans="1:3" x14ac:dyDescent="0.25">
      <c r="A253" s="113">
        <v>107</v>
      </c>
      <c r="B253" s="113">
        <f t="shared" ca="1" si="6"/>
        <v>0.63722591495469882</v>
      </c>
      <c r="C253" t="str">
        <f t="shared" ca="1" si="7"/>
        <v/>
      </c>
    </row>
    <row r="254" spans="1:3" x14ac:dyDescent="0.25">
      <c r="A254" s="113">
        <v>118</v>
      </c>
      <c r="B254" s="113">
        <f t="shared" ca="1" si="6"/>
        <v>0.16691688745255839</v>
      </c>
      <c r="C254" t="str">
        <f t="shared" ca="1" si="7"/>
        <v/>
      </c>
    </row>
    <row r="255" spans="1:3" x14ac:dyDescent="0.25">
      <c r="A255" s="113">
        <v>74</v>
      </c>
      <c r="B255" s="113">
        <f t="shared" ca="1" si="6"/>
        <v>0.4853720120875481</v>
      </c>
      <c r="C255" t="str">
        <f t="shared" ca="1" si="7"/>
        <v/>
      </c>
    </row>
    <row r="256" spans="1:3" x14ac:dyDescent="0.25">
      <c r="A256" s="113">
        <v>150</v>
      </c>
      <c r="B256" s="113">
        <f t="shared" ca="1" si="6"/>
        <v>0.2985031680350958</v>
      </c>
      <c r="C256" t="str">
        <f t="shared" ca="1" si="7"/>
        <v/>
      </c>
    </row>
    <row r="257" spans="1:3" x14ac:dyDescent="0.25">
      <c r="A257" s="113">
        <v>91</v>
      </c>
      <c r="B257" s="113">
        <f t="shared" ca="1" si="6"/>
        <v>0.70976010105262133</v>
      </c>
      <c r="C257" t="str">
        <f t="shared" ca="1" si="7"/>
        <v/>
      </c>
    </row>
    <row r="258" spans="1:3" x14ac:dyDescent="0.25">
      <c r="A258" s="113">
        <v>102</v>
      </c>
      <c r="B258" s="113">
        <f t="shared" ca="1" si="6"/>
        <v>0.10233647800130685</v>
      </c>
      <c r="C258" t="str">
        <f t="shared" ca="1" si="7"/>
        <v/>
      </c>
    </row>
    <row r="259" spans="1:3" x14ac:dyDescent="0.25">
      <c r="A259" s="113">
        <v>103</v>
      </c>
      <c r="B259" s="113">
        <f t="shared" ca="1" si="6"/>
        <v>0.54903424616286411</v>
      </c>
      <c r="C259" t="str">
        <f t="shared" ca="1" si="7"/>
        <v/>
      </c>
    </row>
    <row r="260" spans="1:3" x14ac:dyDescent="0.25">
      <c r="A260" s="113">
        <v>61</v>
      </c>
      <c r="B260" s="113">
        <f t="shared" ref="B260:B323" ca="1" si="8">RAND()</f>
        <v>0.61507663610290764</v>
      </c>
      <c r="C260" t="str">
        <f t="shared" ca="1" si="7"/>
        <v/>
      </c>
    </row>
    <row r="261" spans="1:3" x14ac:dyDescent="0.25">
      <c r="A261" s="113">
        <v>135</v>
      </c>
      <c r="B261" s="113">
        <f t="shared" ca="1" si="8"/>
        <v>0.27968950856684038</v>
      </c>
      <c r="C261" t="str">
        <f t="shared" ref="C261:C324" ca="1" si="9">IF(B261&lt;=PERCENTILE($B$4:$B$503,$D$3/$D$2),A261,"")</f>
        <v/>
      </c>
    </row>
    <row r="262" spans="1:3" x14ac:dyDescent="0.25">
      <c r="A262" s="113">
        <v>69</v>
      </c>
      <c r="B262" s="113">
        <f t="shared" ca="1" si="8"/>
        <v>0.52408660375751015</v>
      </c>
      <c r="C262" t="str">
        <f t="shared" ca="1" si="9"/>
        <v/>
      </c>
    </row>
    <row r="263" spans="1:3" x14ac:dyDescent="0.25">
      <c r="A263" s="113">
        <v>88</v>
      </c>
      <c r="B263" s="113">
        <f t="shared" ca="1" si="8"/>
        <v>0.10261343778675025</v>
      </c>
      <c r="C263" t="str">
        <f t="shared" ca="1" si="9"/>
        <v/>
      </c>
    </row>
    <row r="264" spans="1:3" x14ac:dyDescent="0.25">
      <c r="A264" s="113">
        <v>130</v>
      </c>
      <c r="B264" s="113">
        <f t="shared" ca="1" si="8"/>
        <v>0.15943486966869236</v>
      </c>
      <c r="C264" t="str">
        <f t="shared" ca="1" si="9"/>
        <v/>
      </c>
    </row>
    <row r="265" spans="1:3" x14ac:dyDescent="0.25">
      <c r="A265" s="113">
        <v>96</v>
      </c>
      <c r="B265" s="113">
        <f t="shared" ca="1" si="8"/>
        <v>0.38271467238824697</v>
      </c>
      <c r="C265" t="str">
        <f t="shared" ca="1" si="9"/>
        <v/>
      </c>
    </row>
    <row r="266" spans="1:3" x14ac:dyDescent="0.25">
      <c r="A266" s="113">
        <v>106</v>
      </c>
      <c r="B266" s="113">
        <f t="shared" ca="1" si="8"/>
        <v>0.20953236539313325</v>
      </c>
      <c r="C266" t="str">
        <f t="shared" ca="1" si="9"/>
        <v/>
      </c>
    </row>
    <row r="267" spans="1:3" x14ac:dyDescent="0.25">
      <c r="A267" s="113">
        <v>117</v>
      </c>
      <c r="B267" s="113">
        <f t="shared" ca="1" si="8"/>
        <v>0.64425580421915152</v>
      </c>
      <c r="C267" t="str">
        <f t="shared" ca="1" si="9"/>
        <v/>
      </c>
    </row>
    <row r="268" spans="1:3" x14ac:dyDescent="0.25">
      <c r="A268" s="113">
        <v>126</v>
      </c>
      <c r="B268" s="113">
        <f t="shared" ca="1" si="8"/>
        <v>0.61397635939505169</v>
      </c>
      <c r="C268" t="str">
        <f t="shared" ca="1" si="9"/>
        <v/>
      </c>
    </row>
    <row r="269" spans="1:3" x14ac:dyDescent="0.25">
      <c r="A269" s="113">
        <v>157</v>
      </c>
      <c r="B269" s="113">
        <f t="shared" ca="1" si="8"/>
        <v>0.8251741638561344</v>
      </c>
      <c r="C269" t="str">
        <f t="shared" ca="1" si="9"/>
        <v/>
      </c>
    </row>
    <row r="270" spans="1:3" x14ac:dyDescent="0.25">
      <c r="A270" s="113">
        <v>130</v>
      </c>
      <c r="B270" s="113">
        <f t="shared" ca="1" si="8"/>
        <v>0.50879336954114041</v>
      </c>
      <c r="C270" t="str">
        <f t="shared" ca="1" si="9"/>
        <v/>
      </c>
    </row>
    <row r="271" spans="1:3" x14ac:dyDescent="0.25">
      <c r="A271" s="113">
        <v>135</v>
      </c>
      <c r="B271" s="113">
        <f t="shared" ca="1" si="8"/>
        <v>0.63418827933575828</v>
      </c>
      <c r="C271" t="str">
        <f t="shared" ca="1" si="9"/>
        <v/>
      </c>
    </row>
    <row r="272" spans="1:3" x14ac:dyDescent="0.25">
      <c r="A272" s="113">
        <v>129</v>
      </c>
      <c r="B272" s="113">
        <f t="shared" ca="1" si="8"/>
        <v>0.60877636120173573</v>
      </c>
      <c r="C272" t="str">
        <f t="shared" ca="1" si="9"/>
        <v/>
      </c>
    </row>
    <row r="273" spans="1:3" x14ac:dyDescent="0.25">
      <c r="A273" s="113">
        <v>104</v>
      </c>
      <c r="B273" s="113">
        <f t="shared" ca="1" si="8"/>
        <v>0.70773519437602184</v>
      </c>
      <c r="C273" t="str">
        <f t="shared" ca="1" si="9"/>
        <v/>
      </c>
    </row>
    <row r="274" spans="1:3" x14ac:dyDescent="0.25">
      <c r="A274" s="113">
        <v>132</v>
      </c>
      <c r="B274" s="113">
        <f t="shared" ca="1" si="8"/>
        <v>0.37397359411661246</v>
      </c>
      <c r="C274" t="str">
        <f t="shared" ca="1" si="9"/>
        <v/>
      </c>
    </row>
    <row r="275" spans="1:3" x14ac:dyDescent="0.25">
      <c r="A275" s="113">
        <v>140</v>
      </c>
      <c r="B275" s="113">
        <f t="shared" ca="1" si="8"/>
        <v>9.8582672786363901E-2</v>
      </c>
      <c r="C275" t="str">
        <f t="shared" ca="1" si="9"/>
        <v/>
      </c>
    </row>
    <row r="276" spans="1:3" x14ac:dyDescent="0.25">
      <c r="A276" s="113">
        <v>129</v>
      </c>
      <c r="B276" s="113">
        <f t="shared" ca="1" si="8"/>
        <v>0.91420257302147456</v>
      </c>
      <c r="C276" t="str">
        <f t="shared" ca="1" si="9"/>
        <v/>
      </c>
    </row>
    <row r="277" spans="1:3" x14ac:dyDescent="0.25">
      <c r="A277" s="113">
        <v>124</v>
      </c>
      <c r="B277" s="113">
        <f t="shared" ca="1" si="8"/>
        <v>0.50452828120978754</v>
      </c>
      <c r="C277" t="str">
        <f t="shared" ca="1" si="9"/>
        <v/>
      </c>
    </row>
    <row r="278" spans="1:3" x14ac:dyDescent="0.25">
      <c r="A278" s="113">
        <v>158</v>
      </c>
      <c r="B278" s="113">
        <f t="shared" ca="1" si="8"/>
        <v>0.98194925933107635</v>
      </c>
      <c r="C278" t="str">
        <f t="shared" ca="1" si="9"/>
        <v/>
      </c>
    </row>
    <row r="279" spans="1:3" x14ac:dyDescent="0.25">
      <c r="A279" s="113">
        <v>128</v>
      </c>
      <c r="B279" s="113">
        <f t="shared" ca="1" si="8"/>
        <v>4.4588397297916638E-3</v>
      </c>
      <c r="C279">
        <f t="shared" ca="1" si="9"/>
        <v>128</v>
      </c>
    </row>
    <row r="280" spans="1:3" x14ac:dyDescent="0.25">
      <c r="A280" s="113">
        <v>127</v>
      </c>
      <c r="B280" s="113">
        <f t="shared" ca="1" si="8"/>
        <v>0.99054185118380489</v>
      </c>
      <c r="C280" t="str">
        <f t="shared" ca="1" si="9"/>
        <v/>
      </c>
    </row>
    <row r="281" spans="1:3" x14ac:dyDescent="0.25">
      <c r="A281" s="113">
        <v>99</v>
      </c>
      <c r="B281" s="113">
        <f t="shared" ca="1" si="8"/>
        <v>0.49876294825715439</v>
      </c>
      <c r="C281" t="str">
        <f t="shared" ca="1" si="9"/>
        <v/>
      </c>
    </row>
    <row r="282" spans="1:3" x14ac:dyDescent="0.25">
      <c r="A282" s="113">
        <v>101</v>
      </c>
      <c r="B282" s="113">
        <f t="shared" ca="1" si="8"/>
        <v>0.50958739776665796</v>
      </c>
      <c r="C282" t="str">
        <f t="shared" ca="1" si="9"/>
        <v/>
      </c>
    </row>
    <row r="283" spans="1:3" x14ac:dyDescent="0.25">
      <c r="A283" s="113">
        <v>81</v>
      </c>
      <c r="B283" s="113">
        <f t="shared" ca="1" si="8"/>
        <v>0.86299273888920802</v>
      </c>
      <c r="C283" t="str">
        <f t="shared" ca="1" si="9"/>
        <v/>
      </c>
    </row>
    <row r="284" spans="1:3" x14ac:dyDescent="0.25">
      <c r="A284" s="113">
        <v>122</v>
      </c>
      <c r="B284" s="113">
        <f t="shared" ca="1" si="8"/>
        <v>0.38007825176017085</v>
      </c>
      <c r="C284" t="str">
        <f t="shared" ca="1" si="9"/>
        <v/>
      </c>
    </row>
    <row r="285" spans="1:3" x14ac:dyDescent="0.25">
      <c r="A285" s="113">
        <v>138</v>
      </c>
      <c r="B285" s="113">
        <f t="shared" ca="1" si="8"/>
        <v>0.3791240787530753</v>
      </c>
      <c r="C285" t="str">
        <f t="shared" ca="1" si="9"/>
        <v/>
      </c>
    </row>
    <row r="286" spans="1:3" x14ac:dyDescent="0.25">
      <c r="A286" s="113">
        <v>93</v>
      </c>
      <c r="B286" s="113">
        <f t="shared" ca="1" si="8"/>
        <v>0.24123000455915544</v>
      </c>
      <c r="C286" t="str">
        <f t="shared" ca="1" si="9"/>
        <v/>
      </c>
    </row>
    <row r="287" spans="1:3" x14ac:dyDescent="0.25">
      <c r="A287" s="113">
        <v>81</v>
      </c>
      <c r="B287" s="113">
        <f t="shared" ca="1" si="8"/>
        <v>0.82625462622666357</v>
      </c>
      <c r="C287" t="str">
        <f t="shared" ca="1" si="9"/>
        <v/>
      </c>
    </row>
    <row r="288" spans="1:3" x14ac:dyDescent="0.25">
      <c r="A288" s="113">
        <v>155</v>
      </c>
      <c r="B288" s="113">
        <f t="shared" ca="1" si="8"/>
        <v>0.32167002251252508</v>
      </c>
      <c r="C288" t="str">
        <f t="shared" ca="1" si="9"/>
        <v/>
      </c>
    </row>
    <row r="289" spans="1:3" x14ac:dyDescent="0.25">
      <c r="A289" s="113">
        <v>84</v>
      </c>
      <c r="B289" s="113">
        <f t="shared" ca="1" si="8"/>
        <v>0.94820969407570566</v>
      </c>
      <c r="C289" t="str">
        <f t="shared" ca="1" si="9"/>
        <v/>
      </c>
    </row>
    <row r="290" spans="1:3" x14ac:dyDescent="0.25">
      <c r="A290" s="113">
        <v>97</v>
      </c>
      <c r="B290" s="113">
        <f t="shared" ca="1" si="8"/>
        <v>0.5826220403034631</v>
      </c>
      <c r="C290" t="str">
        <f t="shared" ca="1" si="9"/>
        <v/>
      </c>
    </row>
    <row r="291" spans="1:3" x14ac:dyDescent="0.25">
      <c r="A291" s="113">
        <v>147</v>
      </c>
      <c r="B291" s="113">
        <f t="shared" ca="1" si="8"/>
        <v>0.29622146131097782</v>
      </c>
      <c r="C291" t="str">
        <f t="shared" ca="1" si="9"/>
        <v/>
      </c>
    </row>
    <row r="292" spans="1:3" x14ac:dyDescent="0.25">
      <c r="A292" s="113">
        <v>126</v>
      </c>
      <c r="B292" s="113">
        <f t="shared" ca="1" si="8"/>
        <v>0.21658670817759063</v>
      </c>
      <c r="C292" t="str">
        <f t="shared" ca="1" si="9"/>
        <v/>
      </c>
    </row>
    <row r="293" spans="1:3" x14ac:dyDescent="0.25">
      <c r="A293" s="113">
        <v>83</v>
      </c>
      <c r="B293" s="113">
        <f t="shared" ca="1" si="8"/>
        <v>0.19896077864676076</v>
      </c>
      <c r="C293" t="str">
        <f t="shared" ca="1" si="9"/>
        <v/>
      </c>
    </row>
    <row r="294" spans="1:3" x14ac:dyDescent="0.25">
      <c r="A294" s="113">
        <v>129</v>
      </c>
      <c r="B294" s="113">
        <f t="shared" ca="1" si="8"/>
        <v>0.86633396801616913</v>
      </c>
      <c r="C294" t="str">
        <f t="shared" ca="1" si="9"/>
        <v/>
      </c>
    </row>
    <row r="295" spans="1:3" x14ac:dyDescent="0.25">
      <c r="A295" s="113">
        <v>119</v>
      </c>
      <c r="B295" s="113">
        <f t="shared" ca="1" si="8"/>
        <v>0.58570803797587478</v>
      </c>
      <c r="C295" t="str">
        <f t="shared" ca="1" si="9"/>
        <v/>
      </c>
    </row>
    <row r="296" spans="1:3" x14ac:dyDescent="0.25">
      <c r="A296" s="113">
        <v>122</v>
      </c>
      <c r="B296" s="113">
        <f t="shared" ca="1" si="8"/>
        <v>0.47409325997010709</v>
      </c>
      <c r="C296" t="str">
        <f t="shared" ca="1" si="9"/>
        <v/>
      </c>
    </row>
    <row r="297" spans="1:3" x14ac:dyDescent="0.25">
      <c r="A297" s="113">
        <v>125</v>
      </c>
      <c r="B297" s="113">
        <f t="shared" ca="1" si="8"/>
        <v>0.76564571179931629</v>
      </c>
      <c r="C297" t="str">
        <f t="shared" ca="1" si="9"/>
        <v/>
      </c>
    </row>
    <row r="298" spans="1:3" x14ac:dyDescent="0.25">
      <c r="A298" s="113">
        <v>136</v>
      </c>
      <c r="B298" s="113">
        <f t="shared" ca="1" si="8"/>
        <v>0.70276601364133051</v>
      </c>
      <c r="C298" t="str">
        <f t="shared" ca="1" si="9"/>
        <v/>
      </c>
    </row>
    <row r="299" spans="1:3" x14ac:dyDescent="0.25">
      <c r="A299" s="113">
        <v>112</v>
      </c>
      <c r="B299" s="113">
        <f t="shared" ca="1" si="8"/>
        <v>0.92497438049252689</v>
      </c>
      <c r="C299" t="str">
        <f t="shared" ca="1" si="9"/>
        <v/>
      </c>
    </row>
    <row r="300" spans="1:3" x14ac:dyDescent="0.25">
      <c r="A300" s="113">
        <v>126</v>
      </c>
      <c r="B300" s="113">
        <f t="shared" ca="1" si="8"/>
        <v>0.1092643045529178</v>
      </c>
      <c r="C300" t="str">
        <f t="shared" ca="1" si="9"/>
        <v/>
      </c>
    </row>
    <row r="301" spans="1:3" x14ac:dyDescent="0.25">
      <c r="A301" s="113">
        <v>112</v>
      </c>
      <c r="B301" s="113">
        <f t="shared" ca="1" si="8"/>
        <v>0.89947869083153309</v>
      </c>
      <c r="C301" t="str">
        <f t="shared" ca="1" si="9"/>
        <v/>
      </c>
    </row>
    <row r="302" spans="1:3" x14ac:dyDescent="0.25">
      <c r="A302" s="113">
        <v>119</v>
      </c>
      <c r="B302" s="113">
        <f t="shared" ca="1" si="8"/>
        <v>0.28486187904093985</v>
      </c>
      <c r="C302" t="str">
        <f t="shared" ca="1" si="9"/>
        <v/>
      </c>
    </row>
    <row r="303" spans="1:3" x14ac:dyDescent="0.25">
      <c r="A303" s="113">
        <v>104</v>
      </c>
      <c r="B303" s="113">
        <f t="shared" ca="1" si="8"/>
        <v>0.71877518433336418</v>
      </c>
      <c r="C303" t="str">
        <f t="shared" ca="1" si="9"/>
        <v/>
      </c>
    </row>
    <row r="304" spans="1:3" x14ac:dyDescent="0.25">
      <c r="A304" s="113">
        <v>149</v>
      </c>
      <c r="B304" s="113">
        <f t="shared" ca="1" si="8"/>
        <v>0.92785183725984555</v>
      </c>
      <c r="C304" t="str">
        <f t="shared" ca="1" si="9"/>
        <v/>
      </c>
    </row>
    <row r="305" spans="1:3" x14ac:dyDescent="0.25">
      <c r="A305" s="113">
        <v>114</v>
      </c>
      <c r="B305" s="113">
        <f t="shared" ca="1" si="8"/>
        <v>0.84846214651993468</v>
      </c>
      <c r="C305" t="str">
        <f t="shared" ca="1" si="9"/>
        <v/>
      </c>
    </row>
    <row r="306" spans="1:3" x14ac:dyDescent="0.25">
      <c r="A306" s="113">
        <v>124</v>
      </c>
      <c r="B306" s="113">
        <f t="shared" ca="1" si="8"/>
        <v>0.48868232049938343</v>
      </c>
      <c r="C306" t="str">
        <f t="shared" ca="1" si="9"/>
        <v/>
      </c>
    </row>
    <row r="307" spans="1:3" x14ac:dyDescent="0.25">
      <c r="A307" s="113">
        <v>117</v>
      </c>
      <c r="B307" s="113">
        <f t="shared" ca="1" si="8"/>
        <v>0.24380653596923951</v>
      </c>
      <c r="C307" t="str">
        <f t="shared" ca="1" si="9"/>
        <v/>
      </c>
    </row>
    <row r="308" spans="1:3" x14ac:dyDescent="0.25">
      <c r="A308" s="113">
        <v>112</v>
      </c>
      <c r="B308" s="113">
        <f t="shared" ca="1" si="8"/>
        <v>0.6480110371936828</v>
      </c>
      <c r="C308" t="str">
        <f t="shared" ca="1" si="9"/>
        <v/>
      </c>
    </row>
    <row r="309" spans="1:3" x14ac:dyDescent="0.25">
      <c r="A309" s="113">
        <v>103</v>
      </c>
      <c r="B309" s="113">
        <f t="shared" ca="1" si="8"/>
        <v>0.25885000910571621</v>
      </c>
      <c r="C309" t="str">
        <f t="shared" ca="1" si="9"/>
        <v/>
      </c>
    </row>
    <row r="310" spans="1:3" x14ac:dyDescent="0.25">
      <c r="A310" s="113">
        <v>150</v>
      </c>
      <c r="B310" s="113">
        <f t="shared" ca="1" si="8"/>
        <v>0.47421244698138587</v>
      </c>
      <c r="C310" t="str">
        <f t="shared" ca="1" si="9"/>
        <v/>
      </c>
    </row>
    <row r="311" spans="1:3" x14ac:dyDescent="0.25">
      <c r="A311" s="113">
        <v>104</v>
      </c>
      <c r="B311" s="113">
        <f t="shared" ca="1" si="8"/>
        <v>0.76453631817373191</v>
      </c>
      <c r="C311" t="str">
        <f t="shared" ca="1" si="9"/>
        <v/>
      </c>
    </row>
    <row r="312" spans="1:3" x14ac:dyDescent="0.25">
      <c r="A312" s="113">
        <v>114</v>
      </c>
      <c r="B312" s="113">
        <f t="shared" ca="1" si="8"/>
        <v>0.86833551687654664</v>
      </c>
      <c r="C312" t="str">
        <f t="shared" ca="1" si="9"/>
        <v/>
      </c>
    </row>
    <row r="313" spans="1:3" x14ac:dyDescent="0.25">
      <c r="A313" s="113">
        <v>108</v>
      </c>
      <c r="B313" s="113">
        <f t="shared" ca="1" si="8"/>
        <v>0.26455476454694282</v>
      </c>
      <c r="C313" t="str">
        <f t="shared" ca="1" si="9"/>
        <v/>
      </c>
    </row>
    <row r="314" spans="1:3" x14ac:dyDescent="0.25">
      <c r="A314" s="113">
        <v>114</v>
      </c>
      <c r="B314" s="113">
        <f t="shared" ca="1" si="8"/>
        <v>0.93480020943746311</v>
      </c>
      <c r="C314" t="str">
        <f t="shared" ca="1" si="9"/>
        <v/>
      </c>
    </row>
    <row r="315" spans="1:3" x14ac:dyDescent="0.25">
      <c r="A315" s="113">
        <v>105</v>
      </c>
      <c r="B315" s="113">
        <f t="shared" ca="1" si="8"/>
        <v>2.9092502859974223E-2</v>
      </c>
      <c r="C315">
        <f t="shared" ca="1" si="9"/>
        <v>105</v>
      </c>
    </row>
    <row r="316" spans="1:3" x14ac:dyDescent="0.25">
      <c r="A316" s="113">
        <v>125</v>
      </c>
      <c r="B316" s="113">
        <f t="shared" ca="1" si="8"/>
        <v>0.95196098509321758</v>
      </c>
      <c r="C316" t="str">
        <f t="shared" ca="1" si="9"/>
        <v/>
      </c>
    </row>
    <row r="317" spans="1:3" x14ac:dyDescent="0.25">
      <c r="A317" s="113">
        <v>106</v>
      </c>
      <c r="B317" s="113">
        <f t="shared" ca="1" si="8"/>
        <v>0.42693224239915395</v>
      </c>
      <c r="C317" t="str">
        <f t="shared" ca="1" si="9"/>
        <v/>
      </c>
    </row>
    <row r="318" spans="1:3" x14ac:dyDescent="0.25">
      <c r="A318" s="113">
        <v>133</v>
      </c>
      <c r="B318" s="113">
        <f t="shared" ca="1" si="8"/>
        <v>0.39330796116797606</v>
      </c>
      <c r="C318" t="str">
        <f t="shared" ca="1" si="9"/>
        <v/>
      </c>
    </row>
    <row r="319" spans="1:3" x14ac:dyDescent="0.25">
      <c r="A319" s="113">
        <v>96</v>
      </c>
      <c r="B319" s="113">
        <f t="shared" ca="1" si="8"/>
        <v>0.654294650225138</v>
      </c>
      <c r="C319" t="str">
        <f t="shared" ca="1" si="9"/>
        <v/>
      </c>
    </row>
    <row r="320" spans="1:3" x14ac:dyDescent="0.25">
      <c r="A320" s="113">
        <v>114</v>
      </c>
      <c r="B320" s="113">
        <f t="shared" ca="1" si="8"/>
        <v>0.12958484592387887</v>
      </c>
      <c r="C320" t="str">
        <f t="shared" ca="1" si="9"/>
        <v/>
      </c>
    </row>
    <row r="321" spans="1:3" x14ac:dyDescent="0.25">
      <c r="A321" s="113">
        <v>135</v>
      </c>
      <c r="B321" s="113">
        <f t="shared" ca="1" si="8"/>
        <v>0.64218095651276152</v>
      </c>
      <c r="C321" t="str">
        <f t="shared" ca="1" si="9"/>
        <v/>
      </c>
    </row>
    <row r="322" spans="1:3" x14ac:dyDescent="0.25">
      <c r="A322" s="113">
        <v>101</v>
      </c>
      <c r="B322" s="113">
        <f t="shared" ca="1" si="8"/>
        <v>0.81530357042015844</v>
      </c>
      <c r="C322" t="str">
        <f t="shared" ca="1" si="9"/>
        <v/>
      </c>
    </row>
    <row r="323" spans="1:3" x14ac:dyDescent="0.25">
      <c r="A323" s="113">
        <v>115</v>
      </c>
      <c r="B323" s="113">
        <f t="shared" ca="1" si="8"/>
        <v>0.41494771855810186</v>
      </c>
      <c r="C323" t="str">
        <f t="shared" ca="1" si="9"/>
        <v/>
      </c>
    </row>
    <row r="324" spans="1:3" x14ac:dyDescent="0.25">
      <c r="A324" s="113">
        <v>120</v>
      </c>
      <c r="B324" s="113">
        <f t="shared" ref="B324:B387" ca="1" si="10">RAND()</f>
        <v>0.65053441032581649</v>
      </c>
      <c r="C324" t="str">
        <f t="shared" ca="1" si="9"/>
        <v/>
      </c>
    </row>
    <row r="325" spans="1:3" x14ac:dyDescent="0.25">
      <c r="A325" s="113">
        <v>97</v>
      </c>
      <c r="B325" s="113">
        <f t="shared" ca="1" si="10"/>
        <v>0.89129293933413123</v>
      </c>
      <c r="C325" t="str">
        <f t="shared" ref="C325:C388" ca="1" si="11">IF(B325&lt;=PERCENTILE($B$4:$B$503,$D$3/$D$2),A325,"")</f>
        <v/>
      </c>
    </row>
    <row r="326" spans="1:3" x14ac:dyDescent="0.25">
      <c r="A326" s="113">
        <v>123</v>
      </c>
      <c r="B326" s="113">
        <f t="shared" ca="1" si="10"/>
        <v>0.37587502597757871</v>
      </c>
      <c r="C326" t="str">
        <f t="shared" ca="1" si="11"/>
        <v/>
      </c>
    </row>
    <row r="327" spans="1:3" x14ac:dyDescent="0.25">
      <c r="A327" s="113">
        <v>137</v>
      </c>
      <c r="B327" s="113">
        <f t="shared" ca="1" si="10"/>
        <v>0.56592688766181254</v>
      </c>
      <c r="C327" t="str">
        <f t="shared" ca="1" si="11"/>
        <v/>
      </c>
    </row>
    <row r="328" spans="1:3" x14ac:dyDescent="0.25">
      <c r="A328" s="113">
        <v>123</v>
      </c>
      <c r="B328" s="113">
        <f t="shared" ca="1" si="10"/>
        <v>0.59160669566575164</v>
      </c>
      <c r="C328" t="str">
        <f t="shared" ca="1" si="11"/>
        <v/>
      </c>
    </row>
    <row r="329" spans="1:3" x14ac:dyDescent="0.25">
      <c r="A329" s="113">
        <v>113</v>
      </c>
      <c r="B329" s="113">
        <f t="shared" ca="1" si="10"/>
        <v>0.98004139971942039</v>
      </c>
      <c r="C329" t="str">
        <f t="shared" ca="1" si="11"/>
        <v/>
      </c>
    </row>
    <row r="330" spans="1:3" x14ac:dyDescent="0.25">
      <c r="A330" s="113">
        <v>134</v>
      </c>
      <c r="B330" s="113">
        <f t="shared" ca="1" si="10"/>
        <v>0.15160522816752797</v>
      </c>
      <c r="C330" t="str">
        <f t="shared" ca="1" si="11"/>
        <v/>
      </c>
    </row>
    <row r="331" spans="1:3" x14ac:dyDescent="0.25">
      <c r="A331" s="113">
        <v>92</v>
      </c>
      <c r="B331" s="113">
        <f t="shared" ca="1" si="10"/>
        <v>0.30130685286769332</v>
      </c>
      <c r="C331" t="str">
        <f t="shared" ca="1" si="11"/>
        <v/>
      </c>
    </row>
    <row r="332" spans="1:3" x14ac:dyDescent="0.25">
      <c r="A332" s="113">
        <v>69</v>
      </c>
      <c r="B332" s="113">
        <f t="shared" ca="1" si="10"/>
        <v>0.69528022197046535</v>
      </c>
      <c r="C332" t="str">
        <f t="shared" ca="1" si="11"/>
        <v/>
      </c>
    </row>
    <row r="333" spans="1:3" x14ac:dyDescent="0.25">
      <c r="A333" s="113">
        <v>124</v>
      </c>
      <c r="B333" s="113">
        <f t="shared" ca="1" si="10"/>
        <v>7.7626881570477257E-3</v>
      </c>
      <c r="C333">
        <f t="shared" ca="1" si="11"/>
        <v>124</v>
      </c>
    </row>
    <row r="334" spans="1:3" x14ac:dyDescent="0.25">
      <c r="A334" s="113">
        <v>130</v>
      </c>
      <c r="B334" s="113">
        <f t="shared" ca="1" si="10"/>
        <v>0.6768686340802722</v>
      </c>
      <c r="C334" t="str">
        <f t="shared" ca="1" si="11"/>
        <v/>
      </c>
    </row>
    <row r="335" spans="1:3" x14ac:dyDescent="0.25">
      <c r="A335" s="113">
        <v>128</v>
      </c>
      <c r="B335" s="113">
        <f t="shared" ca="1" si="10"/>
        <v>0.48915949645728429</v>
      </c>
      <c r="C335" t="str">
        <f t="shared" ca="1" si="11"/>
        <v/>
      </c>
    </row>
    <row r="336" spans="1:3" x14ac:dyDescent="0.25">
      <c r="A336" s="113">
        <v>113</v>
      </c>
      <c r="B336" s="113">
        <f t="shared" ca="1" si="10"/>
        <v>0.23955149303843049</v>
      </c>
      <c r="C336" t="str">
        <f t="shared" ca="1" si="11"/>
        <v/>
      </c>
    </row>
    <row r="337" spans="1:3" x14ac:dyDescent="0.25">
      <c r="A337" s="113">
        <v>131</v>
      </c>
      <c r="B337" s="113">
        <f t="shared" ca="1" si="10"/>
        <v>0.88713188419746203</v>
      </c>
      <c r="C337" t="str">
        <f t="shared" ca="1" si="11"/>
        <v/>
      </c>
    </row>
    <row r="338" spans="1:3" x14ac:dyDescent="0.25">
      <c r="A338" s="113">
        <v>148</v>
      </c>
      <c r="B338" s="113">
        <f t="shared" ca="1" si="10"/>
        <v>0.51120659387137835</v>
      </c>
      <c r="C338" t="str">
        <f t="shared" ca="1" si="11"/>
        <v/>
      </c>
    </row>
    <row r="339" spans="1:3" x14ac:dyDescent="0.25">
      <c r="A339" s="113">
        <v>122</v>
      </c>
      <c r="B339" s="113">
        <f t="shared" ca="1" si="10"/>
        <v>0.27768175757638625</v>
      </c>
      <c r="C339" t="str">
        <f t="shared" ca="1" si="11"/>
        <v/>
      </c>
    </row>
    <row r="340" spans="1:3" x14ac:dyDescent="0.25">
      <c r="A340" s="113">
        <v>117</v>
      </c>
      <c r="B340" s="113">
        <f t="shared" ca="1" si="10"/>
        <v>0.99140443243913934</v>
      </c>
      <c r="C340" t="str">
        <f t="shared" ca="1" si="11"/>
        <v/>
      </c>
    </row>
    <row r="341" spans="1:3" x14ac:dyDescent="0.25">
      <c r="A341" s="113">
        <v>119</v>
      </c>
      <c r="B341" s="113">
        <f t="shared" ca="1" si="10"/>
        <v>0.66675957609233527</v>
      </c>
      <c r="C341" t="str">
        <f t="shared" ca="1" si="11"/>
        <v/>
      </c>
    </row>
    <row r="342" spans="1:3" x14ac:dyDescent="0.25">
      <c r="A342" s="113">
        <v>111</v>
      </c>
      <c r="B342" s="113">
        <f t="shared" ca="1" si="10"/>
        <v>0.97141686828650309</v>
      </c>
      <c r="C342" t="str">
        <f t="shared" ca="1" si="11"/>
        <v/>
      </c>
    </row>
    <row r="343" spans="1:3" x14ac:dyDescent="0.25">
      <c r="A343" s="113">
        <v>151</v>
      </c>
      <c r="B343" s="113">
        <f t="shared" ca="1" si="10"/>
        <v>0.68379559751191687</v>
      </c>
      <c r="C343" t="str">
        <f t="shared" ca="1" si="11"/>
        <v/>
      </c>
    </row>
    <row r="344" spans="1:3" x14ac:dyDescent="0.25">
      <c r="A344" s="113">
        <v>135</v>
      </c>
      <c r="B344" s="113">
        <f t="shared" ca="1" si="10"/>
        <v>0.61202923021557509</v>
      </c>
      <c r="C344" t="str">
        <f t="shared" ca="1" si="11"/>
        <v/>
      </c>
    </row>
    <row r="345" spans="1:3" x14ac:dyDescent="0.25">
      <c r="A345" s="113">
        <v>103</v>
      </c>
      <c r="B345" s="113">
        <f t="shared" ca="1" si="10"/>
        <v>0.161991008683536</v>
      </c>
      <c r="C345" t="str">
        <f t="shared" ca="1" si="11"/>
        <v/>
      </c>
    </row>
    <row r="346" spans="1:3" x14ac:dyDescent="0.25">
      <c r="A346" s="113">
        <v>82</v>
      </c>
      <c r="B346" s="113">
        <f t="shared" ca="1" si="10"/>
        <v>0.35562807556347686</v>
      </c>
      <c r="C346" t="str">
        <f t="shared" ca="1" si="11"/>
        <v/>
      </c>
    </row>
    <row r="347" spans="1:3" x14ac:dyDescent="0.25">
      <c r="A347" s="113">
        <v>99</v>
      </c>
      <c r="B347" s="113">
        <f t="shared" ca="1" si="10"/>
        <v>0.93307693013973714</v>
      </c>
      <c r="C347" t="str">
        <f t="shared" ca="1" si="11"/>
        <v/>
      </c>
    </row>
    <row r="348" spans="1:3" x14ac:dyDescent="0.25">
      <c r="A348" s="113">
        <v>106</v>
      </c>
      <c r="B348" s="113">
        <f t="shared" ca="1" si="10"/>
        <v>8.6237902092290764E-2</v>
      </c>
      <c r="C348" t="str">
        <f t="shared" ca="1" si="11"/>
        <v/>
      </c>
    </row>
    <row r="349" spans="1:3" x14ac:dyDescent="0.25">
      <c r="A349" s="113">
        <v>127</v>
      </c>
      <c r="B349" s="113">
        <f t="shared" ca="1" si="10"/>
        <v>0.55145223815994815</v>
      </c>
      <c r="C349" t="str">
        <f t="shared" ca="1" si="11"/>
        <v/>
      </c>
    </row>
    <row r="350" spans="1:3" x14ac:dyDescent="0.25">
      <c r="A350" s="113">
        <v>109</v>
      </c>
      <c r="B350" s="113">
        <f t="shared" ca="1" si="10"/>
        <v>0.38764142242763511</v>
      </c>
      <c r="C350" t="str">
        <f t="shared" ca="1" si="11"/>
        <v/>
      </c>
    </row>
    <row r="351" spans="1:3" x14ac:dyDescent="0.25">
      <c r="A351" s="113">
        <v>133</v>
      </c>
      <c r="B351" s="113">
        <f t="shared" ca="1" si="10"/>
        <v>0.76458268917507755</v>
      </c>
      <c r="C351" t="str">
        <f t="shared" ca="1" si="11"/>
        <v/>
      </c>
    </row>
    <row r="352" spans="1:3" x14ac:dyDescent="0.25">
      <c r="A352" s="113">
        <v>125</v>
      </c>
      <c r="B352" s="113">
        <f t="shared" ca="1" si="10"/>
        <v>0.98134740294858447</v>
      </c>
      <c r="C352" t="str">
        <f t="shared" ca="1" si="11"/>
        <v/>
      </c>
    </row>
    <row r="353" spans="1:3" x14ac:dyDescent="0.25">
      <c r="A353" s="113">
        <v>112</v>
      </c>
      <c r="B353" s="113">
        <f t="shared" ca="1" si="10"/>
        <v>0.51370261393861016</v>
      </c>
      <c r="C353" t="str">
        <f t="shared" ca="1" si="11"/>
        <v/>
      </c>
    </row>
    <row r="354" spans="1:3" x14ac:dyDescent="0.25">
      <c r="A354" s="113">
        <v>140</v>
      </c>
      <c r="B354" s="113">
        <f t="shared" ca="1" si="10"/>
        <v>0.59071294569218769</v>
      </c>
      <c r="C354" t="str">
        <f t="shared" ca="1" si="11"/>
        <v/>
      </c>
    </row>
    <row r="355" spans="1:3" x14ac:dyDescent="0.25">
      <c r="A355" s="113">
        <v>91</v>
      </c>
      <c r="B355" s="113">
        <f t="shared" ca="1" si="10"/>
        <v>0.46230617852581213</v>
      </c>
      <c r="C355" t="str">
        <f t="shared" ca="1" si="11"/>
        <v/>
      </c>
    </row>
    <row r="356" spans="1:3" x14ac:dyDescent="0.25">
      <c r="A356" s="113">
        <v>125</v>
      </c>
      <c r="B356" s="113">
        <f t="shared" ca="1" si="10"/>
        <v>0.75305647714969803</v>
      </c>
      <c r="C356" t="str">
        <f t="shared" ca="1" si="11"/>
        <v/>
      </c>
    </row>
    <row r="357" spans="1:3" x14ac:dyDescent="0.25">
      <c r="A357" s="113">
        <v>112</v>
      </c>
      <c r="B357" s="113">
        <f t="shared" ca="1" si="10"/>
        <v>0.16887247553100926</v>
      </c>
      <c r="C357" t="str">
        <f t="shared" ca="1" si="11"/>
        <v/>
      </c>
    </row>
    <row r="358" spans="1:3" x14ac:dyDescent="0.25">
      <c r="A358" s="113">
        <v>148</v>
      </c>
      <c r="B358" s="113">
        <f t="shared" ca="1" si="10"/>
        <v>0.44664543508867005</v>
      </c>
      <c r="C358" t="str">
        <f t="shared" ca="1" si="11"/>
        <v/>
      </c>
    </row>
    <row r="359" spans="1:3" x14ac:dyDescent="0.25">
      <c r="A359" s="113">
        <v>125</v>
      </c>
      <c r="B359" s="113">
        <f t="shared" ca="1" si="10"/>
        <v>0.47107197964683878</v>
      </c>
      <c r="C359" t="str">
        <f t="shared" ca="1" si="11"/>
        <v/>
      </c>
    </row>
    <row r="360" spans="1:3" x14ac:dyDescent="0.25">
      <c r="A360" s="113">
        <v>124</v>
      </c>
      <c r="B360" s="113">
        <f t="shared" ca="1" si="10"/>
        <v>0.70295537512622275</v>
      </c>
      <c r="C360" t="str">
        <f t="shared" ca="1" si="11"/>
        <v/>
      </c>
    </row>
    <row r="361" spans="1:3" x14ac:dyDescent="0.25">
      <c r="A361" s="113">
        <v>95</v>
      </c>
      <c r="B361" s="113">
        <f t="shared" ca="1" si="10"/>
        <v>0.27714154862366158</v>
      </c>
      <c r="C361" t="str">
        <f t="shared" ca="1" si="11"/>
        <v/>
      </c>
    </row>
    <row r="362" spans="1:3" x14ac:dyDescent="0.25">
      <c r="A362" s="113">
        <v>106</v>
      </c>
      <c r="B362" s="113">
        <f t="shared" ca="1" si="10"/>
        <v>0.82445194780159181</v>
      </c>
      <c r="C362" t="str">
        <f t="shared" ca="1" si="11"/>
        <v/>
      </c>
    </row>
    <row r="363" spans="1:3" x14ac:dyDescent="0.25">
      <c r="A363" s="113">
        <v>109</v>
      </c>
      <c r="B363" s="113">
        <f t="shared" ca="1" si="10"/>
        <v>0.41580688506500318</v>
      </c>
      <c r="C363" t="str">
        <f t="shared" ca="1" si="11"/>
        <v/>
      </c>
    </row>
    <row r="364" spans="1:3" x14ac:dyDescent="0.25">
      <c r="A364" s="113">
        <v>82</v>
      </c>
      <c r="B364" s="113">
        <f t="shared" ca="1" si="10"/>
        <v>0.9831949054655067</v>
      </c>
      <c r="C364" t="str">
        <f t="shared" ca="1" si="11"/>
        <v/>
      </c>
    </row>
    <row r="365" spans="1:3" x14ac:dyDescent="0.25">
      <c r="A365" s="113">
        <v>91</v>
      </c>
      <c r="B365" s="113">
        <f t="shared" ca="1" si="10"/>
        <v>0.52234105112975093</v>
      </c>
      <c r="C365" t="str">
        <f t="shared" ca="1" si="11"/>
        <v/>
      </c>
    </row>
    <row r="366" spans="1:3" x14ac:dyDescent="0.25">
      <c r="A366" s="113">
        <v>165</v>
      </c>
      <c r="B366" s="113">
        <f t="shared" ca="1" si="10"/>
        <v>0.25560080119105255</v>
      </c>
      <c r="C366" t="str">
        <f t="shared" ca="1" si="11"/>
        <v/>
      </c>
    </row>
    <row r="367" spans="1:3" x14ac:dyDescent="0.25">
      <c r="A367" s="113">
        <v>89</v>
      </c>
      <c r="B367" s="113">
        <f t="shared" ca="1" si="10"/>
        <v>0.14026490691392413</v>
      </c>
      <c r="C367" t="str">
        <f t="shared" ca="1" si="11"/>
        <v/>
      </c>
    </row>
    <row r="368" spans="1:3" x14ac:dyDescent="0.25">
      <c r="A368" s="113">
        <v>96</v>
      </c>
      <c r="B368" s="113">
        <f t="shared" ca="1" si="10"/>
        <v>0.3137436296846603</v>
      </c>
      <c r="C368" t="str">
        <f t="shared" ca="1" si="11"/>
        <v/>
      </c>
    </row>
    <row r="369" spans="1:3" x14ac:dyDescent="0.25">
      <c r="A369" s="113">
        <v>109</v>
      </c>
      <c r="B369" s="113">
        <f t="shared" ca="1" si="10"/>
        <v>1.9257979943933856E-2</v>
      </c>
      <c r="C369">
        <f t="shared" ca="1" si="11"/>
        <v>109</v>
      </c>
    </row>
    <row r="370" spans="1:3" x14ac:dyDescent="0.25">
      <c r="A370" s="113">
        <v>104</v>
      </c>
      <c r="B370" s="113">
        <f t="shared" ca="1" si="10"/>
        <v>0.41870715824251548</v>
      </c>
      <c r="C370" t="str">
        <f t="shared" ca="1" si="11"/>
        <v/>
      </c>
    </row>
    <row r="371" spans="1:3" x14ac:dyDescent="0.25">
      <c r="A371" s="113">
        <v>96</v>
      </c>
      <c r="B371" s="113">
        <f t="shared" ca="1" si="10"/>
        <v>0.31152739165358201</v>
      </c>
      <c r="C371" t="str">
        <f t="shared" ca="1" si="11"/>
        <v/>
      </c>
    </row>
    <row r="372" spans="1:3" x14ac:dyDescent="0.25">
      <c r="A372" s="113">
        <v>120</v>
      </c>
      <c r="B372" s="113">
        <f t="shared" ca="1" si="10"/>
        <v>0.21917602906210043</v>
      </c>
      <c r="C372" t="str">
        <f t="shared" ca="1" si="11"/>
        <v/>
      </c>
    </row>
    <row r="373" spans="1:3" x14ac:dyDescent="0.25">
      <c r="A373" s="113">
        <v>102</v>
      </c>
      <c r="B373" s="113">
        <f t="shared" ca="1" si="10"/>
        <v>0.87364593792619427</v>
      </c>
      <c r="C373" t="str">
        <f t="shared" ca="1" si="11"/>
        <v/>
      </c>
    </row>
    <row r="374" spans="1:3" x14ac:dyDescent="0.25">
      <c r="A374" s="113">
        <v>111</v>
      </c>
      <c r="B374" s="113">
        <f t="shared" ca="1" si="10"/>
        <v>0.2262106010174868</v>
      </c>
      <c r="C374" t="str">
        <f t="shared" ca="1" si="11"/>
        <v/>
      </c>
    </row>
    <row r="375" spans="1:3" x14ac:dyDescent="0.25">
      <c r="A375" s="113">
        <v>129</v>
      </c>
      <c r="B375" s="113">
        <f t="shared" ca="1" si="10"/>
        <v>0.24886582212816033</v>
      </c>
      <c r="C375" t="str">
        <f t="shared" ca="1" si="11"/>
        <v/>
      </c>
    </row>
    <row r="376" spans="1:3" x14ac:dyDescent="0.25">
      <c r="A376" s="113">
        <v>118</v>
      </c>
      <c r="B376" s="113">
        <f t="shared" ca="1" si="10"/>
        <v>0.47557323841642563</v>
      </c>
      <c r="C376" t="str">
        <f t="shared" ca="1" si="11"/>
        <v/>
      </c>
    </row>
    <row r="377" spans="1:3" x14ac:dyDescent="0.25">
      <c r="A377" s="113">
        <v>99</v>
      </c>
      <c r="B377" s="113">
        <f t="shared" ca="1" si="10"/>
        <v>0.73231809749386501</v>
      </c>
      <c r="C377" t="str">
        <f t="shared" ca="1" si="11"/>
        <v/>
      </c>
    </row>
    <row r="378" spans="1:3" x14ac:dyDescent="0.25">
      <c r="A378" s="113">
        <v>107</v>
      </c>
      <c r="B378" s="113">
        <f t="shared" ca="1" si="10"/>
        <v>0.77449316070576191</v>
      </c>
      <c r="C378" t="str">
        <f t="shared" ca="1" si="11"/>
        <v/>
      </c>
    </row>
    <row r="379" spans="1:3" x14ac:dyDescent="0.25">
      <c r="A379" s="113">
        <v>86</v>
      </c>
      <c r="B379" s="113">
        <f t="shared" ca="1" si="10"/>
        <v>0.39309000652143389</v>
      </c>
      <c r="C379" t="str">
        <f t="shared" ca="1" si="11"/>
        <v/>
      </c>
    </row>
    <row r="380" spans="1:3" x14ac:dyDescent="0.25">
      <c r="A380" s="113">
        <v>95</v>
      </c>
      <c r="B380" s="113">
        <f t="shared" ca="1" si="10"/>
        <v>0.3361116728573188</v>
      </c>
      <c r="C380" t="str">
        <f t="shared" ca="1" si="11"/>
        <v/>
      </c>
    </row>
    <row r="381" spans="1:3" x14ac:dyDescent="0.25">
      <c r="A381" s="113">
        <v>136</v>
      </c>
      <c r="B381" s="113">
        <f t="shared" ca="1" si="10"/>
        <v>0.30661901162562266</v>
      </c>
      <c r="C381" t="str">
        <f t="shared" ca="1" si="11"/>
        <v/>
      </c>
    </row>
    <row r="382" spans="1:3" x14ac:dyDescent="0.25">
      <c r="A382" s="113">
        <v>145</v>
      </c>
      <c r="B382" s="113">
        <f t="shared" ca="1" si="10"/>
        <v>0.92272004625661874</v>
      </c>
      <c r="C382" t="str">
        <f t="shared" ca="1" si="11"/>
        <v/>
      </c>
    </row>
    <row r="383" spans="1:3" x14ac:dyDescent="0.25">
      <c r="A383" s="113">
        <v>119</v>
      </c>
      <c r="B383" s="113">
        <f t="shared" ca="1" si="10"/>
        <v>0.90148915887588965</v>
      </c>
      <c r="C383" t="str">
        <f t="shared" ca="1" si="11"/>
        <v/>
      </c>
    </row>
    <row r="384" spans="1:3" x14ac:dyDescent="0.25">
      <c r="A384" s="113">
        <v>102</v>
      </c>
      <c r="B384" s="113">
        <f t="shared" ca="1" si="10"/>
        <v>0.8126737651182826</v>
      </c>
      <c r="C384" t="str">
        <f t="shared" ca="1" si="11"/>
        <v/>
      </c>
    </row>
    <row r="385" spans="1:3" x14ac:dyDescent="0.25">
      <c r="A385" s="113">
        <v>103</v>
      </c>
      <c r="B385" s="113">
        <f t="shared" ca="1" si="10"/>
        <v>0.42491984315577902</v>
      </c>
      <c r="C385" t="str">
        <f t="shared" ca="1" si="11"/>
        <v/>
      </c>
    </row>
    <row r="386" spans="1:3" x14ac:dyDescent="0.25">
      <c r="A386" s="113">
        <v>95</v>
      </c>
      <c r="B386" s="113">
        <f t="shared" ca="1" si="10"/>
        <v>0.6014410448016807</v>
      </c>
      <c r="C386" t="str">
        <f t="shared" ca="1" si="11"/>
        <v/>
      </c>
    </row>
    <row r="387" spans="1:3" x14ac:dyDescent="0.25">
      <c r="A387" s="113">
        <v>116</v>
      </c>
      <c r="B387" s="113">
        <f t="shared" ca="1" si="10"/>
        <v>0.85954180589999396</v>
      </c>
      <c r="C387" t="str">
        <f t="shared" ca="1" si="11"/>
        <v/>
      </c>
    </row>
    <row r="388" spans="1:3" x14ac:dyDescent="0.25">
      <c r="A388" s="113">
        <v>131</v>
      </c>
      <c r="B388" s="113">
        <f t="shared" ref="B388:B451" ca="1" si="12">RAND()</f>
        <v>0.10674496678398471</v>
      </c>
      <c r="C388" t="str">
        <f t="shared" ca="1" si="11"/>
        <v/>
      </c>
    </row>
    <row r="389" spans="1:3" x14ac:dyDescent="0.25">
      <c r="A389" s="113">
        <v>127</v>
      </c>
      <c r="B389" s="113">
        <f t="shared" ca="1" si="12"/>
        <v>2.2133292237444868E-2</v>
      </c>
      <c r="C389">
        <f t="shared" ref="C389:C452" ca="1" si="13">IF(B389&lt;=PERCENTILE($B$4:$B$503,$D$3/$D$2),A389,"")</f>
        <v>127</v>
      </c>
    </row>
    <row r="390" spans="1:3" x14ac:dyDescent="0.25">
      <c r="A390" s="113">
        <v>127</v>
      </c>
      <c r="B390" s="113">
        <f t="shared" ca="1" si="12"/>
        <v>0.53604656434500297</v>
      </c>
      <c r="C390" t="str">
        <f t="shared" ca="1" si="13"/>
        <v/>
      </c>
    </row>
    <row r="391" spans="1:3" x14ac:dyDescent="0.25">
      <c r="A391" s="113">
        <v>135</v>
      </c>
      <c r="B391" s="113">
        <f t="shared" ca="1" si="12"/>
        <v>0.39124052674994092</v>
      </c>
      <c r="C391" t="str">
        <f t="shared" ca="1" si="13"/>
        <v/>
      </c>
    </row>
    <row r="392" spans="1:3" x14ac:dyDescent="0.25">
      <c r="A392" s="113">
        <v>147</v>
      </c>
      <c r="B392" s="113">
        <f t="shared" ca="1" si="12"/>
        <v>4.4568259313839564E-2</v>
      </c>
      <c r="C392">
        <f t="shared" ca="1" si="13"/>
        <v>147</v>
      </c>
    </row>
    <row r="393" spans="1:3" x14ac:dyDescent="0.25">
      <c r="A393" s="113">
        <v>141</v>
      </c>
      <c r="B393" s="113">
        <f t="shared" ca="1" si="12"/>
        <v>0.66269909854440512</v>
      </c>
      <c r="C393" t="str">
        <f t="shared" ca="1" si="13"/>
        <v/>
      </c>
    </row>
    <row r="394" spans="1:3" x14ac:dyDescent="0.25">
      <c r="A394" s="113">
        <v>80</v>
      </c>
      <c r="B394" s="113">
        <f t="shared" ca="1" si="12"/>
        <v>0.94522628497998207</v>
      </c>
      <c r="C394" t="str">
        <f t="shared" ca="1" si="13"/>
        <v/>
      </c>
    </row>
    <row r="395" spans="1:3" x14ac:dyDescent="0.25">
      <c r="A395" s="113">
        <v>113</v>
      </c>
      <c r="B395" s="113">
        <f t="shared" ca="1" si="12"/>
        <v>0.71902481387689055</v>
      </c>
      <c r="C395" t="str">
        <f t="shared" ca="1" si="13"/>
        <v/>
      </c>
    </row>
    <row r="396" spans="1:3" x14ac:dyDescent="0.25">
      <c r="A396" s="113">
        <v>129</v>
      </c>
      <c r="B396" s="113">
        <f t="shared" ca="1" si="12"/>
        <v>1.3692341504710104E-2</v>
      </c>
      <c r="C396">
        <f t="shared" ca="1" si="13"/>
        <v>129</v>
      </c>
    </row>
    <row r="397" spans="1:3" x14ac:dyDescent="0.25">
      <c r="A397" s="113">
        <v>114</v>
      </c>
      <c r="B397" s="113">
        <f t="shared" ca="1" si="12"/>
        <v>0.90839125715896074</v>
      </c>
      <c r="C397" t="str">
        <f t="shared" ca="1" si="13"/>
        <v/>
      </c>
    </row>
    <row r="398" spans="1:3" x14ac:dyDescent="0.25">
      <c r="A398" s="113">
        <v>123</v>
      </c>
      <c r="B398" s="113">
        <f t="shared" ca="1" si="12"/>
        <v>0.95238505141192586</v>
      </c>
      <c r="C398" t="str">
        <f t="shared" ca="1" si="13"/>
        <v/>
      </c>
    </row>
    <row r="399" spans="1:3" x14ac:dyDescent="0.25">
      <c r="A399" s="113">
        <v>114</v>
      </c>
      <c r="B399" s="113">
        <f t="shared" ca="1" si="12"/>
        <v>0.28556568799211002</v>
      </c>
      <c r="C399" t="str">
        <f t="shared" ca="1" si="13"/>
        <v/>
      </c>
    </row>
    <row r="400" spans="1:3" x14ac:dyDescent="0.25">
      <c r="A400" s="113">
        <v>121</v>
      </c>
      <c r="B400" s="113">
        <f t="shared" ca="1" si="12"/>
        <v>0.18133601696161472</v>
      </c>
      <c r="C400" t="str">
        <f t="shared" ca="1" si="13"/>
        <v/>
      </c>
    </row>
    <row r="401" spans="1:3" x14ac:dyDescent="0.25">
      <c r="A401" s="113">
        <v>124</v>
      </c>
      <c r="B401" s="113">
        <f t="shared" ca="1" si="12"/>
        <v>0.99838311151284254</v>
      </c>
      <c r="C401" t="str">
        <f t="shared" ca="1" si="13"/>
        <v/>
      </c>
    </row>
    <row r="402" spans="1:3" x14ac:dyDescent="0.25">
      <c r="A402" s="113">
        <v>117</v>
      </c>
      <c r="B402" s="113">
        <f t="shared" ca="1" si="12"/>
        <v>0.58303273163020053</v>
      </c>
      <c r="C402" t="str">
        <f t="shared" ca="1" si="13"/>
        <v/>
      </c>
    </row>
    <row r="403" spans="1:3" x14ac:dyDescent="0.25">
      <c r="A403" s="113">
        <v>169</v>
      </c>
      <c r="B403" s="113">
        <f t="shared" ca="1" si="12"/>
        <v>0.3135495815991356</v>
      </c>
      <c r="C403" t="str">
        <f t="shared" ca="1" si="13"/>
        <v/>
      </c>
    </row>
    <row r="404" spans="1:3" x14ac:dyDescent="0.25">
      <c r="A404" s="113">
        <v>90</v>
      </c>
      <c r="B404" s="113">
        <f t="shared" ca="1" si="12"/>
        <v>0.7806183658031397</v>
      </c>
      <c r="C404" t="str">
        <f t="shared" ca="1" si="13"/>
        <v/>
      </c>
    </row>
    <row r="405" spans="1:3" x14ac:dyDescent="0.25">
      <c r="A405" s="113">
        <v>129</v>
      </c>
      <c r="B405" s="113">
        <f t="shared" ca="1" si="12"/>
        <v>0.51374150071022884</v>
      </c>
      <c r="C405" t="str">
        <f t="shared" ca="1" si="13"/>
        <v/>
      </c>
    </row>
    <row r="406" spans="1:3" x14ac:dyDescent="0.25">
      <c r="A406" s="113">
        <v>120</v>
      </c>
      <c r="B406" s="113">
        <f t="shared" ca="1" si="12"/>
        <v>3.9721561042076692E-2</v>
      </c>
      <c r="C406">
        <f t="shared" ca="1" si="13"/>
        <v>120</v>
      </c>
    </row>
    <row r="407" spans="1:3" x14ac:dyDescent="0.25">
      <c r="A407" s="113">
        <v>140</v>
      </c>
      <c r="B407" s="113">
        <f t="shared" ca="1" si="12"/>
        <v>0.32371933371697859</v>
      </c>
      <c r="C407" t="str">
        <f t="shared" ca="1" si="13"/>
        <v/>
      </c>
    </row>
    <row r="408" spans="1:3" x14ac:dyDescent="0.25">
      <c r="A408" s="113">
        <v>126</v>
      </c>
      <c r="B408" s="113">
        <f t="shared" ca="1" si="12"/>
        <v>0.45668124211089234</v>
      </c>
      <c r="C408" t="str">
        <f t="shared" ca="1" si="13"/>
        <v/>
      </c>
    </row>
    <row r="409" spans="1:3" x14ac:dyDescent="0.25">
      <c r="A409" s="113">
        <v>96</v>
      </c>
      <c r="B409" s="113">
        <f t="shared" ca="1" si="12"/>
        <v>0.92969051101779743</v>
      </c>
      <c r="C409" t="str">
        <f t="shared" ca="1" si="13"/>
        <v/>
      </c>
    </row>
    <row r="410" spans="1:3" x14ac:dyDescent="0.25">
      <c r="A410" s="113">
        <v>134</v>
      </c>
      <c r="B410" s="113">
        <f t="shared" ca="1" si="12"/>
        <v>0.49559827851287919</v>
      </c>
      <c r="C410" t="str">
        <f t="shared" ca="1" si="13"/>
        <v/>
      </c>
    </row>
    <row r="411" spans="1:3" x14ac:dyDescent="0.25">
      <c r="A411" s="113">
        <v>122</v>
      </c>
      <c r="B411" s="113">
        <f t="shared" ca="1" si="12"/>
        <v>0.36656852557170749</v>
      </c>
      <c r="C411" t="str">
        <f t="shared" ca="1" si="13"/>
        <v/>
      </c>
    </row>
    <row r="412" spans="1:3" x14ac:dyDescent="0.25">
      <c r="A412" s="113">
        <v>127</v>
      </c>
      <c r="B412" s="113">
        <f t="shared" ca="1" si="12"/>
        <v>0.93323723176080875</v>
      </c>
      <c r="C412" t="str">
        <f t="shared" ca="1" si="13"/>
        <v/>
      </c>
    </row>
    <row r="413" spans="1:3" x14ac:dyDescent="0.25">
      <c r="A413" s="113">
        <v>87</v>
      </c>
      <c r="B413" s="113">
        <f t="shared" ca="1" si="12"/>
        <v>0.56556516615796326</v>
      </c>
      <c r="C413" t="str">
        <f t="shared" ca="1" si="13"/>
        <v/>
      </c>
    </row>
    <row r="414" spans="1:3" x14ac:dyDescent="0.25">
      <c r="A414" s="113">
        <v>103</v>
      </c>
      <c r="B414" s="113">
        <f t="shared" ca="1" si="12"/>
        <v>0.87587464879130306</v>
      </c>
      <c r="C414" t="str">
        <f t="shared" ca="1" si="13"/>
        <v/>
      </c>
    </row>
    <row r="415" spans="1:3" x14ac:dyDescent="0.25">
      <c r="A415" s="113">
        <v>115</v>
      </c>
      <c r="B415" s="113">
        <f t="shared" ca="1" si="12"/>
        <v>0.49343577456749443</v>
      </c>
      <c r="C415" t="str">
        <f t="shared" ca="1" si="13"/>
        <v/>
      </c>
    </row>
    <row r="416" spans="1:3" x14ac:dyDescent="0.25">
      <c r="A416" s="113">
        <v>143</v>
      </c>
      <c r="B416" s="113">
        <f t="shared" ca="1" si="12"/>
        <v>1.1709420109398683E-2</v>
      </c>
      <c r="C416">
        <f t="shared" ca="1" si="13"/>
        <v>143</v>
      </c>
    </row>
    <row r="417" spans="1:3" x14ac:dyDescent="0.25">
      <c r="A417" s="113">
        <v>145</v>
      </c>
      <c r="B417" s="113">
        <f t="shared" ca="1" si="12"/>
        <v>0.49922968980921467</v>
      </c>
      <c r="C417" t="str">
        <f t="shared" ca="1" si="13"/>
        <v/>
      </c>
    </row>
    <row r="418" spans="1:3" x14ac:dyDescent="0.25">
      <c r="A418" s="113">
        <v>138</v>
      </c>
      <c r="B418" s="113">
        <f t="shared" ca="1" si="12"/>
        <v>0.55767282336743906</v>
      </c>
      <c r="C418" t="str">
        <f t="shared" ca="1" si="13"/>
        <v/>
      </c>
    </row>
    <row r="419" spans="1:3" x14ac:dyDescent="0.25">
      <c r="A419" s="113">
        <v>133</v>
      </c>
      <c r="B419" s="113">
        <f t="shared" ca="1" si="12"/>
        <v>0.73796289964826534</v>
      </c>
      <c r="C419" t="str">
        <f t="shared" ca="1" si="13"/>
        <v/>
      </c>
    </row>
    <row r="420" spans="1:3" x14ac:dyDescent="0.25">
      <c r="A420" s="113">
        <v>117</v>
      </c>
      <c r="B420" s="113">
        <f t="shared" ca="1" si="12"/>
        <v>3.0959772402190389E-3</v>
      </c>
      <c r="C420">
        <f t="shared" ca="1" si="13"/>
        <v>117</v>
      </c>
    </row>
    <row r="421" spans="1:3" x14ac:dyDescent="0.25">
      <c r="A421" s="113">
        <v>118</v>
      </c>
      <c r="B421" s="113">
        <f t="shared" ca="1" si="12"/>
        <v>0.20998018107983107</v>
      </c>
      <c r="C421" t="str">
        <f t="shared" ca="1" si="13"/>
        <v/>
      </c>
    </row>
    <row r="422" spans="1:3" x14ac:dyDescent="0.25">
      <c r="A422" s="113">
        <v>159</v>
      </c>
      <c r="B422" s="113">
        <f t="shared" ca="1" si="12"/>
        <v>0.74603174638054004</v>
      </c>
      <c r="C422" t="str">
        <f t="shared" ca="1" si="13"/>
        <v/>
      </c>
    </row>
    <row r="423" spans="1:3" x14ac:dyDescent="0.25">
      <c r="A423" s="113">
        <v>133</v>
      </c>
      <c r="B423" s="113">
        <f t="shared" ca="1" si="12"/>
        <v>0.42968046497239709</v>
      </c>
      <c r="C423" t="str">
        <f t="shared" ca="1" si="13"/>
        <v/>
      </c>
    </row>
    <row r="424" spans="1:3" x14ac:dyDescent="0.25">
      <c r="A424" s="113">
        <v>120</v>
      </c>
      <c r="B424" s="113">
        <f t="shared" ca="1" si="12"/>
        <v>0.47279478285908916</v>
      </c>
      <c r="C424" t="str">
        <f t="shared" ca="1" si="13"/>
        <v/>
      </c>
    </row>
    <row r="425" spans="1:3" x14ac:dyDescent="0.25">
      <c r="A425" s="113">
        <v>100</v>
      </c>
      <c r="B425" s="113">
        <f t="shared" ca="1" si="12"/>
        <v>0.70670607758176818</v>
      </c>
      <c r="C425" t="str">
        <f t="shared" ca="1" si="13"/>
        <v/>
      </c>
    </row>
    <row r="426" spans="1:3" x14ac:dyDescent="0.25">
      <c r="A426" s="113">
        <v>124</v>
      </c>
      <c r="B426" s="113">
        <f t="shared" ca="1" si="12"/>
        <v>0.85469735065252694</v>
      </c>
      <c r="C426" t="str">
        <f t="shared" ca="1" si="13"/>
        <v/>
      </c>
    </row>
    <row r="427" spans="1:3" x14ac:dyDescent="0.25">
      <c r="A427" s="113">
        <v>99</v>
      </c>
      <c r="B427" s="113">
        <f t="shared" ca="1" si="12"/>
        <v>0.27447169967747465</v>
      </c>
      <c r="C427" t="str">
        <f t="shared" ca="1" si="13"/>
        <v/>
      </c>
    </row>
    <row r="428" spans="1:3" x14ac:dyDescent="0.25">
      <c r="A428" s="113">
        <v>134</v>
      </c>
      <c r="B428" s="113">
        <f t="shared" ca="1" si="12"/>
        <v>0.97292046511049424</v>
      </c>
      <c r="C428" t="str">
        <f t="shared" ca="1" si="13"/>
        <v/>
      </c>
    </row>
    <row r="429" spans="1:3" x14ac:dyDescent="0.25">
      <c r="A429" s="113">
        <v>148</v>
      </c>
      <c r="B429" s="113">
        <f t="shared" ca="1" si="12"/>
        <v>0.82269222610828974</v>
      </c>
      <c r="C429" t="str">
        <f t="shared" ca="1" si="13"/>
        <v/>
      </c>
    </row>
    <row r="430" spans="1:3" x14ac:dyDescent="0.25">
      <c r="A430" s="113">
        <v>140</v>
      </c>
      <c r="B430" s="113">
        <f t="shared" ca="1" si="12"/>
        <v>0.30983538419457979</v>
      </c>
      <c r="C430" t="str">
        <f t="shared" ca="1" si="13"/>
        <v/>
      </c>
    </row>
    <row r="431" spans="1:3" x14ac:dyDescent="0.25">
      <c r="A431" s="113">
        <v>132</v>
      </c>
      <c r="B431" s="113">
        <f t="shared" ca="1" si="12"/>
        <v>0.69785156854829533</v>
      </c>
      <c r="C431" t="str">
        <f t="shared" ca="1" si="13"/>
        <v/>
      </c>
    </row>
    <row r="432" spans="1:3" x14ac:dyDescent="0.25">
      <c r="A432" s="113">
        <v>134</v>
      </c>
      <c r="B432" s="113">
        <f t="shared" ca="1" si="12"/>
        <v>6.8988846166028295E-2</v>
      </c>
      <c r="C432" t="str">
        <f t="shared" ca="1" si="13"/>
        <v/>
      </c>
    </row>
    <row r="433" spans="1:3" x14ac:dyDescent="0.25">
      <c r="A433" s="113">
        <v>187</v>
      </c>
      <c r="B433" s="113">
        <f t="shared" ca="1" si="12"/>
        <v>0.4183595820374838</v>
      </c>
      <c r="C433" t="str">
        <f t="shared" ca="1" si="13"/>
        <v/>
      </c>
    </row>
    <row r="434" spans="1:3" x14ac:dyDescent="0.25">
      <c r="A434" s="113">
        <v>124</v>
      </c>
      <c r="B434" s="113">
        <f t="shared" ca="1" si="12"/>
        <v>3.1732929791813635E-2</v>
      </c>
      <c r="C434">
        <f t="shared" ca="1" si="13"/>
        <v>124</v>
      </c>
    </row>
    <row r="435" spans="1:3" x14ac:dyDescent="0.25">
      <c r="A435" s="113">
        <v>100</v>
      </c>
      <c r="B435" s="113">
        <f t="shared" ca="1" si="12"/>
        <v>0.95950607268924148</v>
      </c>
      <c r="C435" t="str">
        <f t="shared" ca="1" si="13"/>
        <v/>
      </c>
    </row>
    <row r="436" spans="1:3" x14ac:dyDescent="0.25">
      <c r="A436" s="113">
        <v>110</v>
      </c>
      <c r="B436" s="113">
        <f t="shared" ca="1" si="12"/>
        <v>0.74282392879120274</v>
      </c>
      <c r="C436" t="str">
        <f t="shared" ca="1" si="13"/>
        <v/>
      </c>
    </row>
    <row r="437" spans="1:3" x14ac:dyDescent="0.25">
      <c r="A437" s="113">
        <v>112</v>
      </c>
      <c r="B437" s="113">
        <f t="shared" ca="1" si="12"/>
        <v>0.78769882014118686</v>
      </c>
      <c r="C437" t="str">
        <f t="shared" ca="1" si="13"/>
        <v/>
      </c>
    </row>
    <row r="438" spans="1:3" x14ac:dyDescent="0.25">
      <c r="A438" s="113">
        <v>106</v>
      </c>
      <c r="B438" s="113">
        <f t="shared" ca="1" si="12"/>
        <v>0.2426215395514516</v>
      </c>
      <c r="C438" t="str">
        <f t="shared" ca="1" si="13"/>
        <v/>
      </c>
    </row>
    <row r="439" spans="1:3" x14ac:dyDescent="0.25">
      <c r="A439" s="113">
        <v>106</v>
      </c>
      <c r="B439" s="113">
        <f t="shared" ca="1" si="12"/>
        <v>0.39759862688149739</v>
      </c>
      <c r="C439" t="str">
        <f t="shared" ca="1" si="13"/>
        <v/>
      </c>
    </row>
    <row r="440" spans="1:3" x14ac:dyDescent="0.25">
      <c r="A440" s="113">
        <v>63</v>
      </c>
      <c r="B440" s="113">
        <f t="shared" ca="1" si="12"/>
        <v>0.99645235780581309</v>
      </c>
      <c r="C440" t="str">
        <f t="shared" ca="1" si="13"/>
        <v/>
      </c>
    </row>
    <row r="441" spans="1:3" x14ac:dyDescent="0.25">
      <c r="A441" s="113">
        <v>110</v>
      </c>
      <c r="B441" s="113">
        <f t="shared" ca="1" si="12"/>
        <v>0.25199795811499326</v>
      </c>
      <c r="C441" t="str">
        <f t="shared" ca="1" si="13"/>
        <v/>
      </c>
    </row>
    <row r="442" spans="1:3" x14ac:dyDescent="0.25">
      <c r="A442" s="113">
        <v>130</v>
      </c>
      <c r="B442" s="113">
        <f t="shared" ca="1" si="12"/>
        <v>0.47877181391865786</v>
      </c>
      <c r="C442" t="str">
        <f t="shared" ca="1" si="13"/>
        <v/>
      </c>
    </row>
    <row r="443" spans="1:3" x14ac:dyDescent="0.25">
      <c r="A443" s="113">
        <v>159</v>
      </c>
      <c r="B443" s="113">
        <f t="shared" ca="1" si="12"/>
        <v>0.21880624089860068</v>
      </c>
      <c r="C443" t="str">
        <f t="shared" ca="1" si="13"/>
        <v/>
      </c>
    </row>
    <row r="444" spans="1:3" x14ac:dyDescent="0.25">
      <c r="A444" s="113">
        <v>110</v>
      </c>
      <c r="B444" s="113">
        <f t="shared" ca="1" si="12"/>
        <v>0.74493914075858403</v>
      </c>
      <c r="C444" t="str">
        <f t="shared" ca="1" si="13"/>
        <v/>
      </c>
    </row>
    <row r="445" spans="1:3" x14ac:dyDescent="0.25">
      <c r="A445" s="113">
        <v>89</v>
      </c>
      <c r="B445" s="113">
        <f t="shared" ca="1" si="12"/>
        <v>0.53006950591328283</v>
      </c>
      <c r="C445" t="str">
        <f t="shared" ca="1" si="13"/>
        <v/>
      </c>
    </row>
    <row r="446" spans="1:3" x14ac:dyDescent="0.25">
      <c r="A446" s="113">
        <v>91</v>
      </c>
      <c r="B446" s="113">
        <f t="shared" ca="1" si="12"/>
        <v>0.74938229213193741</v>
      </c>
      <c r="C446" t="str">
        <f t="shared" ca="1" si="13"/>
        <v/>
      </c>
    </row>
    <row r="447" spans="1:3" x14ac:dyDescent="0.25">
      <c r="A447" s="113">
        <v>139</v>
      </c>
      <c r="B447" s="113">
        <f t="shared" ca="1" si="12"/>
        <v>0.94150143202652181</v>
      </c>
      <c r="C447" t="str">
        <f t="shared" ca="1" si="13"/>
        <v/>
      </c>
    </row>
    <row r="448" spans="1:3" x14ac:dyDescent="0.25">
      <c r="A448" s="113">
        <v>102</v>
      </c>
      <c r="B448" s="113">
        <f t="shared" ca="1" si="12"/>
        <v>0.68785870722248754</v>
      </c>
      <c r="C448" t="str">
        <f t="shared" ca="1" si="13"/>
        <v/>
      </c>
    </row>
    <row r="449" spans="1:3" x14ac:dyDescent="0.25">
      <c r="A449" s="113">
        <v>112</v>
      </c>
      <c r="B449" s="113">
        <f t="shared" ca="1" si="12"/>
        <v>0.3522769752413889</v>
      </c>
      <c r="C449" t="str">
        <f t="shared" ca="1" si="13"/>
        <v/>
      </c>
    </row>
    <row r="450" spans="1:3" x14ac:dyDescent="0.25">
      <c r="A450" s="113">
        <v>92</v>
      </c>
      <c r="B450" s="113">
        <f t="shared" ca="1" si="12"/>
        <v>0.93982197395583944</v>
      </c>
      <c r="C450" t="str">
        <f t="shared" ca="1" si="13"/>
        <v/>
      </c>
    </row>
    <row r="451" spans="1:3" x14ac:dyDescent="0.25">
      <c r="A451" s="113">
        <v>93</v>
      </c>
      <c r="B451" s="113">
        <f t="shared" ca="1" si="12"/>
        <v>6.6686216429854062E-2</v>
      </c>
      <c r="C451">
        <f t="shared" ca="1" si="13"/>
        <v>93</v>
      </c>
    </row>
    <row r="452" spans="1:3" x14ac:dyDescent="0.25">
      <c r="A452" s="113">
        <v>125</v>
      </c>
      <c r="B452" s="113">
        <f t="shared" ref="B452:B503" ca="1" si="14">RAND()</f>
        <v>0.83329829614751638</v>
      </c>
      <c r="C452" t="str">
        <f t="shared" ca="1" si="13"/>
        <v/>
      </c>
    </row>
    <row r="453" spans="1:3" x14ac:dyDescent="0.25">
      <c r="A453" s="113">
        <v>100</v>
      </c>
      <c r="B453" s="113">
        <f t="shared" ca="1" si="14"/>
        <v>0.19162606791621506</v>
      </c>
      <c r="C453" t="str">
        <f t="shared" ref="C453:C503" ca="1" si="15">IF(B453&lt;=PERCENTILE($B$4:$B$503,$D$3/$D$2),A453,"")</f>
        <v/>
      </c>
    </row>
    <row r="454" spans="1:3" x14ac:dyDescent="0.25">
      <c r="A454" s="113">
        <v>105</v>
      </c>
      <c r="B454" s="113">
        <f t="shared" ca="1" si="14"/>
        <v>0.16531478635876196</v>
      </c>
      <c r="C454" t="str">
        <f t="shared" ca="1" si="15"/>
        <v/>
      </c>
    </row>
    <row r="455" spans="1:3" x14ac:dyDescent="0.25">
      <c r="A455" s="113">
        <v>127</v>
      </c>
      <c r="B455" s="113">
        <f t="shared" ca="1" si="14"/>
        <v>0.29785031282601448</v>
      </c>
      <c r="C455" t="str">
        <f t="shared" ca="1" si="15"/>
        <v/>
      </c>
    </row>
    <row r="456" spans="1:3" x14ac:dyDescent="0.25">
      <c r="A456" s="113">
        <v>121</v>
      </c>
      <c r="B456" s="113">
        <f t="shared" ca="1" si="14"/>
        <v>0.12407642705686872</v>
      </c>
      <c r="C456" t="str">
        <f t="shared" ca="1" si="15"/>
        <v/>
      </c>
    </row>
    <row r="457" spans="1:3" x14ac:dyDescent="0.25">
      <c r="A457" s="113">
        <v>127</v>
      </c>
      <c r="B457" s="113">
        <f t="shared" ca="1" si="14"/>
        <v>0.54688061534563037</v>
      </c>
      <c r="C457" t="str">
        <f t="shared" ca="1" si="15"/>
        <v/>
      </c>
    </row>
    <row r="458" spans="1:3" x14ac:dyDescent="0.25">
      <c r="A458" s="113">
        <v>148</v>
      </c>
      <c r="B458" s="113">
        <f t="shared" ca="1" si="14"/>
        <v>8.2760706002556139E-2</v>
      </c>
      <c r="C458" t="str">
        <f t="shared" ca="1" si="15"/>
        <v/>
      </c>
    </row>
    <row r="459" spans="1:3" x14ac:dyDescent="0.25">
      <c r="A459" s="113">
        <v>131</v>
      </c>
      <c r="B459" s="113">
        <f t="shared" ca="1" si="14"/>
        <v>0.14979888928431251</v>
      </c>
      <c r="C459" t="str">
        <f t="shared" ca="1" si="15"/>
        <v/>
      </c>
    </row>
    <row r="460" spans="1:3" x14ac:dyDescent="0.25">
      <c r="A460" s="113">
        <v>106</v>
      </c>
      <c r="B460" s="113">
        <f t="shared" ca="1" si="14"/>
        <v>0.81474091693294481</v>
      </c>
      <c r="C460" t="str">
        <f t="shared" ca="1" si="15"/>
        <v/>
      </c>
    </row>
    <row r="461" spans="1:3" x14ac:dyDescent="0.25">
      <c r="A461" s="113">
        <v>122</v>
      </c>
      <c r="B461" s="113">
        <f t="shared" ca="1" si="14"/>
        <v>0.40974373613525028</v>
      </c>
      <c r="C461" t="str">
        <f t="shared" ca="1" si="15"/>
        <v/>
      </c>
    </row>
    <row r="462" spans="1:3" x14ac:dyDescent="0.25">
      <c r="A462" s="113">
        <v>82</v>
      </c>
      <c r="B462" s="113">
        <f t="shared" ca="1" si="14"/>
        <v>0.53634465071512516</v>
      </c>
      <c r="C462" t="str">
        <f t="shared" ca="1" si="15"/>
        <v/>
      </c>
    </row>
    <row r="463" spans="1:3" x14ac:dyDescent="0.25">
      <c r="A463" s="113">
        <v>120</v>
      </c>
      <c r="B463" s="113">
        <f t="shared" ca="1" si="14"/>
        <v>0.55800130667697079</v>
      </c>
      <c r="C463" t="str">
        <f t="shared" ca="1" si="15"/>
        <v/>
      </c>
    </row>
    <row r="464" spans="1:3" x14ac:dyDescent="0.25">
      <c r="A464" s="113">
        <v>120</v>
      </c>
      <c r="B464" s="113">
        <f t="shared" ca="1" si="14"/>
        <v>0.35094387504217361</v>
      </c>
      <c r="C464" t="str">
        <f t="shared" ca="1" si="15"/>
        <v/>
      </c>
    </row>
    <row r="465" spans="1:3" x14ac:dyDescent="0.25">
      <c r="A465" s="113">
        <v>121</v>
      </c>
      <c r="B465" s="113">
        <f t="shared" ca="1" si="14"/>
        <v>0.89650397961754291</v>
      </c>
      <c r="C465" t="str">
        <f t="shared" ca="1" si="15"/>
        <v/>
      </c>
    </row>
    <row r="466" spans="1:3" x14ac:dyDescent="0.25">
      <c r="A466" s="113">
        <v>97</v>
      </c>
      <c r="B466" s="113">
        <f t="shared" ca="1" si="14"/>
        <v>0.60376330873998985</v>
      </c>
      <c r="C466" t="str">
        <f t="shared" ca="1" si="15"/>
        <v/>
      </c>
    </row>
    <row r="467" spans="1:3" x14ac:dyDescent="0.25">
      <c r="A467" s="113">
        <v>100</v>
      </c>
      <c r="B467" s="113">
        <f t="shared" ca="1" si="14"/>
        <v>0.98151058329541874</v>
      </c>
      <c r="C467" t="str">
        <f t="shared" ca="1" si="15"/>
        <v/>
      </c>
    </row>
    <row r="468" spans="1:3" x14ac:dyDescent="0.25">
      <c r="A468" s="113">
        <v>131</v>
      </c>
      <c r="B468" s="113">
        <f t="shared" ca="1" si="14"/>
        <v>0.52817083181968782</v>
      </c>
      <c r="C468" t="str">
        <f t="shared" ca="1" si="15"/>
        <v/>
      </c>
    </row>
    <row r="469" spans="1:3" x14ac:dyDescent="0.25">
      <c r="A469" s="113">
        <v>100</v>
      </c>
      <c r="B469" s="113">
        <f t="shared" ca="1" si="14"/>
        <v>0.88587135429644193</v>
      </c>
      <c r="C469" t="str">
        <f t="shared" ca="1" si="15"/>
        <v/>
      </c>
    </row>
    <row r="470" spans="1:3" x14ac:dyDescent="0.25">
      <c r="A470" s="113">
        <v>68</v>
      </c>
      <c r="B470" s="113">
        <f t="shared" ca="1" si="14"/>
        <v>0.95030999138345029</v>
      </c>
      <c r="C470" t="str">
        <f t="shared" ca="1" si="15"/>
        <v/>
      </c>
    </row>
    <row r="471" spans="1:3" x14ac:dyDescent="0.25">
      <c r="A471" s="113">
        <v>138</v>
      </c>
      <c r="B471" s="113">
        <f t="shared" ca="1" si="14"/>
        <v>0.80501526412210034</v>
      </c>
      <c r="C471" t="str">
        <f t="shared" ca="1" si="15"/>
        <v/>
      </c>
    </row>
    <row r="472" spans="1:3" x14ac:dyDescent="0.25">
      <c r="A472" s="113">
        <v>93</v>
      </c>
      <c r="B472" s="113">
        <f t="shared" ca="1" si="14"/>
        <v>0.18935221157849313</v>
      </c>
      <c r="C472" t="str">
        <f t="shared" ca="1" si="15"/>
        <v/>
      </c>
    </row>
    <row r="473" spans="1:3" x14ac:dyDescent="0.25">
      <c r="A473" s="113">
        <v>127</v>
      </c>
      <c r="B473" s="113">
        <f t="shared" ca="1" si="14"/>
        <v>0.26619745884026003</v>
      </c>
      <c r="C473" t="str">
        <f t="shared" ca="1" si="15"/>
        <v/>
      </c>
    </row>
    <row r="474" spans="1:3" x14ac:dyDescent="0.25">
      <c r="A474" s="113">
        <v>130</v>
      </c>
      <c r="B474" s="113">
        <f t="shared" ca="1" si="14"/>
        <v>0.64264922779589007</v>
      </c>
      <c r="C474" t="str">
        <f t="shared" ca="1" si="15"/>
        <v/>
      </c>
    </row>
    <row r="475" spans="1:3" x14ac:dyDescent="0.25">
      <c r="A475" s="113">
        <v>134</v>
      </c>
      <c r="B475" s="113">
        <f t="shared" ca="1" si="14"/>
        <v>0.85699374202149892</v>
      </c>
      <c r="C475" t="str">
        <f t="shared" ca="1" si="15"/>
        <v/>
      </c>
    </row>
    <row r="476" spans="1:3" x14ac:dyDescent="0.25">
      <c r="A476" s="113">
        <v>152</v>
      </c>
      <c r="B476" s="113">
        <f t="shared" ca="1" si="14"/>
        <v>0.93872423452844012</v>
      </c>
      <c r="C476" t="str">
        <f t="shared" ca="1" si="15"/>
        <v/>
      </c>
    </row>
    <row r="477" spans="1:3" x14ac:dyDescent="0.25">
      <c r="A477" s="113">
        <v>125</v>
      </c>
      <c r="B477" s="113">
        <f t="shared" ca="1" si="14"/>
        <v>0.54106582135889503</v>
      </c>
      <c r="C477" t="str">
        <f t="shared" ca="1" si="15"/>
        <v/>
      </c>
    </row>
    <row r="478" spans="1:3" x14ac:dyDescent="0.25">
      <c r="A478" s="113">
        <v>127</v>
      </c>
      <c r="B478" s="113">
        <f t="shared" ca="1" si="14"/>
        <v>0.95616149591824673</v>
      </c>
      <c r="C478" t="str">
        <f t="shared" ca="1" si="15"/>
        <v/>
      </c>
    </row>
    <row r="479" spans="1:3" x14ac:dyDescent="0.25">
      <c r="A479" s="113">
        <v>111</v>
      </c>
      <c r="B479" s="113">
        <f t="shared" ca="1" si="14"/>
        <v>0.21623599632267265</v>
      </c>
      <c r="C479" t="str">
        <f t="shared" ca="1" si="15"/>
        <v/>
      </c>
    </row>
    <row r="480" spans="1:3" x14ac:dyDescent="0.25">
      <c r="A480" s="113">
        <v>132</v>
      </c>
      <c r="B480" s="113">
        <f t="shared" ca="1" si="14"/>
        <v>0.60162606819450504</v>
      </c>
      <c r="C480" t="str">
        <f t="shared" ca="1" si="15"/>
        <v/>
      </c>
    </row>
    <row r="481" spans="1:3" x14ac:dyDescent="0.25">
      <c r="A481" s="113">
        <v>150</v>
      </c>
      <c r="B481" s="113">
        <f t="shared" ca="1" si="14"/>
        <v>0.47621674266269631</v>
      </c>
      <c r="C481" t="str">
        <f t="shared" ca="1" si="15"/>
        <v/>
      </c>
    </row>
    <row r="482" spans="1:3" x14ac:dyDescent="0.25">
      <c r="A482" s="113">
        <v>111</v>
      </c>
      <c r="B482" s="113">
        <f t="shared" ca="1" si="14"/>
        <v>0.61918388217540943</v>
      </c>
      <c r="C482" t="str">
        <f t="shared" ca="1" si="15"/>
        <v/>
      </c>
    </row>
    <row r="483" spans="1:3" x14ac:dyDescent="0.25">
      <c r="A483" s="113">
        <v>106</v>
      </c>
      <c r="B483" s="113">
        <f t="shared" ca="1" si="14"/>
        <v>5.1305018062008156E-2</v>
      </c>
      <c r="C483">
        <f t="shared" ca="1" si="15"/>
        <v>106</v>
      </c>
    </row>
    <row r="484" spans="1:3" x14ac:dyDescent="0.25">
      <c r="A484" s="113">
        <v>145</v>
      </c>
      <c r="B484" s="113">
        <f t="shared" ca="1" si="14"/>
        <v>0.61560016534372819</v>
      </c>
      <c r="C484" t="str">
        <f t="shared" ca="1" si="15"/>
        <v/>
      </c>
    </row>
    <row r="485" spans="1:3" x14ac:dyDescent="0.25">
      <c r="A485" s="113">
        <v>92</v>
      </c>
      <c r="B485" s="113">
        <f t="shared" ca="1" si="14"/>
        <v>0.36983687804517207</v>
      </c>
      <c r="C485" t="str">
        <f t="shared" ca="1" si="15"/>
        <v/>
      </c>
    </row>
    <row r="486" spans="1:3" x14ac:dyDescent="0.25">
      <c r="A486" s="113">
        <v>129</v>
      </c>
      <c r="B486" s="113">
        <f t="shared" ca="1" si="14"/>
        <v>0.14583682965555733</v>
      </c>
      <c r="C486" t="str">
        <f t="shared" ca="1" si="15"/>
        <v/>
      </c>
    </row>
    <row r="487" spans="1:3" x14ac:dyDescent="0.25">
      <c r="A487" s="113">
        <v>119</v>
      </c>
      <c r="B487" s="113">
        <f t="shared" ca="1" si="14"/>
        <v>0.51720280711467126</v>
      </c>
      <c r="C487" t="str">
        <f t="shared" ca="1" si="15"/>
        <v/>
      </c>
    </row>
    <row r="488" spans="1:3" x14ac:dyDescent="0.25">
      <c r="A488" s="113">
        <v>123</v>
      </c>
      <c r="B488" s="113">
        <f t="shared" ca="1" si="14"/>
        <v>0.18760906530103871</v>
      </c>
      <c r="C488" t="str">
        <f t="shared" ca="1" si="15"/>
        <v/>
      </c>
    </row>
    <row r="489" spans="1:3" x14ac:dyDescent="0.25">
      <c r="A489" s="113">
        <v>123</v>
      </c>
      <c r="B489" s="113">
        <f t="shared" ca="1" si="14"/>
        <v>0.51341296271628245</v>
      </c>
      <c r="C489" t="str">
        <f t="shared" ca="1" si="15"/>
        <v/>
      </c>
    </row>
    <row r="490" spans="1:3" x14ac:dyDescent="0.25">
      <c r="A490" s="113">
        <v>78</v>
      </c>
      <c r="B490" s="113">
        <f t="shared" ca="1" si="14"/>
        <v>0.28079407946156554</v>
      </c>
      <c r="C490" t="str">
        <f t="shared" ca="1" si="15"/>
        <v/>
      </c>
    </row>
    <row r="491" spans="1:3" x14ac:dyDescent="0.25">
      <c r="A491" s="113">
        <v>121</v>
      </c>
      <c r="B491" s="113">
        <f t="shared" ca="1" si="14"/>
        <v>0.51439149401372719</v>
      </c>
      <c r="C491" t="str">
        <f t="shared" ca="1" si="15"/>
        <v/>
      </c>
    </row>
    <row r="492" spans="1:3" x14ac:dyDescent="0.25">
      <c r="A492" s="113">
        <v>120</v>
      </c>
      <c r="B492" s="113">
        <f t="shared" ca="1" si="14"/>
        <v>0.76531629453945538</v>
      </c>
      <c r="C492" t="str">
        <f t="shared" ca="1" si="15"/>
        <v/>
      </c>
    </row>
    <row r="493" spans="1:3" x14ac:dyDescent="0.25">
      <c r="A493" s="113">
        <v>129</v>
      </c>
      <c r="B493" s="113">
        <f t="shared" ca="1" si="14"/>
        <v>0.62421901267879865</v>
      </c>
      <c r="C493" t="str">
        <f t="shared" ca="1" si="15"/>
        <v/>
      </c>
    </row>
    <row r="494" spans="1:3" x14ac:dyDescent="0.25">
      <c r="A494" s="113">
        <v>123</v>
      </c>
      <c r="B494" s="113">
        <f t="shared" ca="1" si="14"/>
        <v>0.38174921656250049</v>
      </c>
      <c r="C494" t="str">
        <f t="shared" ca="1" si="15"/>
        <v/>
      </c>
    </row>
    <row r="495" spans="1:3" x14ac:dyDescent="0.25">
      <c r="A495" s="113">
        <v>88</v>
      </c>
      <c r="B495" s="113">
        <f t="shared" ca="1" si="14"/>
        <v>0.19045340362527119</v>
      </c>
      <c r="C495" t="str">
        <f t="shared" ca="1" si="15"/>
        <v/>
      </c>
    </row>
    <row r="496" spans="1:3" x14ac:dyDescent="0.25">
      <c r="A496" s="113">
        <v>124</v>
      </c>
      <c r="B496" s="113">
        <f t="shared" ca="1" si="14"/>
        <v>0.32422561553224893</v>
      </c>
      <c r="C496" t="str">
        <f t="shared" ca="1" si="15"/>
        <v/>
      </c>
    </row>
    <row r="497" spans="1:3" x14ac:dyDescent="0.25">
      <c r="A497" s="113">
        <v>74</v>
      </c>
      <c r="B497" s="113">
        <f t="shared" ca="1" si="14"/>
        <v>0.51786829015612168</v>
      </c>
      <c r="C497" t="str">
        <f t="shared" ca="1" si="15"/>
        <v/>
      </c>
    </row>
    <row r="498" spans="1:3" x14ac:dyDescent="0.25">
      <c r="A498" s="113">
        <v>66</v>
      </c>
      <c r="B498" s="113">
        <f t="shared" ca="1" si="14"/>
        <v>0.95032700031392503</v>
      </c>
      <c r="C498" t="str">
        <f t="shared" ca="1" si="15"/>
        <v/>
      </c>
    </row>
    <row r="499" spans="1:3" x14ac:dyDescent="0.25">
      <c r="A499" s="113">
        <v>92</v>
      </c>
      <c r="B499" s="113">
        <f t="shared" ca="1" si="14"/>
        <v>0.31309397553801932</v>
      </c>
      <c r="C499" t="str">
        <f t="shared" ca="1" si="15"/>
        <v/>
      </c>
    </row>
    <row r="500" spans="1:3" x14ac:dyDescent="0.25">
      <c r="A500" s="113">
        <v>97</v>
      </c>
      <c r="B500" s="113">
        <f t="shared" ca="1" si="14"/>
        <v>0.48909914268335142</v>
      </c>
      <c r="C500" t="str">
        <f t="shared" ca="1" si="15"/>
        <v/>
      </c>
    </row>
    <row r="501" spans="1:3" x14ac:dyDescent="0.25">
      <c r="A501" s="113">
        <v>121</v>
      </c>
      <c r="B501" s="113">
        <f t="shared" ca="1" si="14"/>
        <v>0.11462817581910067</v>
      </c>
      <c r="C501" t="str">
        <f t="shared" ca="1" si="15"/>
        <v/>
      </c>
    </row>
    <row r="502" spans="1:3" x14ac:dyDescent="0.25">
      <c r="A502" s="113">
        <v>67</v>
      </c>
      <c r="B502" s="113">
        <f t="shared" ca="1" si="14"/>
        <v>0.54729440771035864</v>
      </c>
      <c r="C502" t="str">
        <f t="shared" ca="1" si="15"/>
        <v/>
      </c>
    </row>
    <row r="503" spans="1:3" x14ac:dyDescent="0.25">
      <c r="A503" s="113">
        <v>119</v>
      </c>
      <c r="B503" s="113">
        <f t="shared" ca="1" si="14"/>
        <v>0.49410636199964808</v>
      </c>
      <c r="C503" t="str">
        <f t="shared" ca="1" si="15"/>
        <v/>
      </c>
    </row>
  </sheetData>
  <pageMargins left="0.78740157499999996" right="0.78740157499999996" top="0.984251969" bottom="0.984251969" header="0.4921259845" footer="0.492125984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0"/>
  <sheetViews>
    <sheetView workbookViewId="0"/>
  </sheetViews>
  <sheetFormatPr defaultColWidth="11.453125" defaultRowHeight="12.5" x14ac:dyDescent="0.25"/>
  <sheetData>
    <row r="1" spans="1:16" ht="13" x14ac:dyDescent="0.3">
      <c r="A1" s="2" t="s">
        <v>291</v>
      </c>
    </row>
    <row r="2" spans="1:16" x14ac:dyDescent="0.25">
      <c r="C2" s="3" t="s">
        <v>292</v>
      </c>
      <c r="D2">
        <v>1</v>
      </c>
      <c r="E2">
        <v>2</v>
      </c>
      <c r="F2" s="3" t="s">
        <v>293</v>
      </c>
    </row>
    <row r="3" spans="1:16" x14ac:dyDescent="0.25">
      <c r="C3" s="3" t="s">
        <v>294</v>
      </c>
      <c r="D3" s="13">
        <f>SUMIF($B$11:$B$210,D2,$A$11:$A$210)/COUNTIF($B$11:$B$210,D2)</f>
        <v>71.82352941176471</v>
      </c>
      <c r="E3" s="13">
        <f>SUMIF($B$11:$B$210,E2,$A$11:$A$210)/COUNTIF($B$11:$B$210,E2)</f>
        <v>123.09375</v>
      </c>
      <c r="F3">
        <f>D3*D5+E3*E5</f>
        <v>88.23</v>
      </c>
    </row>
    <row r="4" spans="1:16" x14ac:dyDescent="0.25">
      <c r="C4" s="3" t="s">
        <v>295</v>
      </c>
      <c r="D4" s="13">
        <f>COUNTIF($B$11:$B$210,D2)</f>
        <v>136</v>
      </c>
      <c r="E4" s="13">
        <f>COUNTIF($B$11:$B$210,E2)</f>
        <v>64</v>
      </c>
      <c r="F4" s="13">
        <f>D4+E4</f>
        <v>200</v>
      </c>
    </row>
    <row r="5" spans="1:16" ht="13" x14ac:dyDescent="0.3">
      <c r="A5" s="2"/>
      <c r="C5" s="3" t="s">
        <v>296</v>
      </c>
      <c r="D5" s="14">
        <f>COUNTIF($B$11:$B$210,D2)/COUNT($B$11:$B$210)</f>
        <v>0.68</v>
      </c>
      <c r="E5" s="14">
        <f>COUNTIF($B$11:$B$210,E2)/COUNT($B$11:$B$210)</f>
        <v>0.32</v>
      </c>
    </row>
    <row r="6" spans="1:16" ht="13" x14ac:dyDescent="0.3">
      <c r="A6" s="2"/>
      <c r="C6" s="3" t="s">
        <v>297</v>
      </c>
      <c r="D6">
        <v>0.68</v>
      </c>
      <c r="E6">
        <v>0.32</v>
      </c>
    </row>
    <row r="7" spans="1:16" x14ac:dyDescent="0.25">
      <c r="B7" s="3" t="s">
        <v>298</v>
      </c>
      <c r="C7" s="18">
        <v>50</v>
      </c>
      <c r="D7">
        <f>$C$7*D6</f>
        <v>34</v>
      </c>
      <c r="E7">
        <f>$C$7*E6</f>
        <v>16</v>
      </c>
    </row>
    <row r="8" spans="1:16" ht="13" thickBot="1" x14ac:dyDescent="0.3">
      <c r="B8" s="3"/>
      <c r="C8" s="18"/>
      <c r="D8" s="18"/>
    </row>
    <row r="9" spans="1:16" ht="13" thickBot="1" x14ac:dyDescent="0.3">
      <c r="A9" s="150" t="s">
        <v>299</v>
      </c>
      <c r="B9" s="150"/>
      <c r="C9" s="145" t="s">
        <v>300</v>
      </c>
      <c r="D9" s="145"/>
      <c r="E9" s="145"/>
      <c r="H9" s="3" t="s">
        <v>301</v>
      </c>
      <c r="I9" s="151" t="s">
        <v>302</v>
      </c>
      <c r="J9" s="152"/>
      <c r="M9" s="145" t="s">
        <v>303</v>
      </c>
      <c r="N9" s="145"/>
      <c r="O9" s="145"/>
      <c r="P9" t="s">
        <v>304</v>
      </c>
    </row>
    <row r="10" spans="1:16" ht="13" thickBot="1" x14ac:dyDescent="0.3">
      <c r="A10" s="3" t="s">
        <v>285</v>
      </c>
      <c r="B10" s="3" t="s">
        <v>292</v>
      </c>
      <c r="C10" s="78" t="s">
        <v>301</v>
      </c>
      <c r="D10" s="3" t="s">
        <v>305</v>
      </c>
      <c r="E10" s="3" t="s">
        <v>306</v>
      </c>
      <c r="I10" s="119" t="s">
        <v>305</v>
      </c>
      <c r="J10" s="120" t="s">
        <v>307</v>
      </c>
      <c r="M10" s="145" t="s">
        <v>308</v>
      </c>
      <c r="N10" s="145"/>
      <c r="O10" s="145"/>
      <c r="P10" t="s">
        <v>309</v>
      </c>
    </row>
    <row r="11" spans="1:16" x14ac:dyDescent="0.25">
      <c r="A11">
        <v>127</v>
      </c>
      <c r="B11">
        <v>1</v>
      </c>
      <c r="C11" t="str">
        <f t="shared" ref="C11:C74" ca="1" si="0">IF(M11&lt;=PERCENTILE($M$11:$M$210,$C$7/COUNT($B$11:$B$210)),A11,"")</f>
        <v/>
      </c>
      <c r="D11" t="str">
        <f t="shared" ref="D11:D74" ca="1" si="1">IF(N11&lt;=PERCENTILE($N$11:$N$210,$D$7/$D$4),A11,"")</f>
        <v/>
      </c>
      <c r="E11" t="str">
        <f t="shared" ref="E11:E74" ca="1" si="2">IF(O11&lt;=PERCENTILE($O$11:$O$210,$E$7/$E$4),A11,"")</f>
        <v/>
      </c>
      <c r="G11" t="s">
        <v>116</v>
      </c>
      <c r="H11" s="13">
        <f ca="1">AVERAGE(C11:C210)</f>
        <v>80.64</v>
      </c>
      <c r="I11" s="121">
        <f ca="1">AVERAGE(D11:D210)</f>
        <v>70.088235294117652</v>
      </c>
      <c r="J11" s="122">
        <f ca="1">AVERAGE(E11:E210)</f>
        <v>130.9375</v>
      </c>
      <c r="M11">
        <f t="shared" ref="M11:M74" ca="1" si="3">RAND()</f>
        <v>0.41475219581185963</v>
      </c>
      <c r="N11">
        <f t="shared" ref="N11:N74" ca="1" si="4">IF(B11=$D$2,RAND(),"")</f>
        <v>0.46412953785141164</v>
      </c>
      <c r="O11" t="str">
        <f t="shared" ref="O11:O74" ca="1" si="5">IF(B11=$E$2,RAND(),"")</f>
        <v/>
      </c>
      <c r="P11" t="str">
        <f t="shared" ref="P11:P74" ca="1" si="6">IF(AND(C11&lt;&gt;"",B11=1),B11,"")</f>
        <v/>
      </c>
    </row>
    <row r="12" spans="1:16" x14ac:dyDescent="0.25">
      <c r="A12">
        <v>252</v>
      </c>
      <c r="B12">
        <v>2</v>
      </c>
      <c r="C12" t="str">
        <f t="shared" ca="1" si="0"/>
        <v/>
      </c>
      <c r="D12" t="str">
        <f t="shared" ca="1" si="1"/>
        <v/>
      </c>
      <c r="E12" t="str">
        <f t="shared" ca="1" si="2"/>
        <v/>
      </c>
      <c r="G12" t="s">
        <v>223</v>
      </c>
      <c r="H12" s="13">
        <f ca="1">VAR(C11:C210)</f>
        <v>1140.4800000000005</v>
      </c>
      <c r="I12" s="123">
        <f ca="1">VAR(D11:D210)</f>
        <v>364.08288770053485</v>
      </c>
      <c r="J12" s="124">
        <f ca="1">VAR(E11:E210)</f>
        <v>2724.8625000000002</v>
      </c>
      <c r="M12">
        <f t="shared" ca="1" si="3"/>
        <v>0.59573484040291713</v>
      </c>
      <c r="N12" t="str">
        <f t="shared" ca="1" si="4"/>
        <v/>
      </c>
      <c r="O12">
        <f t="shared" ca="1" si="5"/>
        <v>0.77491587582304344</v>
      </c>
      <c r="P12" t="str">
        <f t="shared" ca="1" si="6"/>
        <v/>
      </c>
    </row>
    <row r="13" spans="1:16" x14ac:dyDescent="0.25">
      <c r="A13">
        <v>65</v>
      </c>
      <c r="B13">
        <v>1</v>
      </c>
      <c r="C13" t="str">
        <f t="shared" ca="1" si="0"/>
        <v/>
      </c>
      <c r="D13" t="str">
        <f t="shared" ca="1" si="1"/>
        <v/>
      </c>
      <c r="E13" t="str">
        <f t="shared" ca="1" si="2"/>
        <v/>
      </c>
      <c r="G13" t="s">
        <v>185</v>
      </c>
      <c r="H13" s="13">
        <f ca="1">STDEV(C11:C210)</f>
        <v>33.770993470728698</v>
      </c>
      <c r="I13" s="123">
        <f t="array" aca="1" ref="I13" ca="1">SQRT(I12)</f>
        <v>19.080956152680997</v>
      </c>
      <c r="J13" s="124">
        <f t="array" aca="1" ref="J13" ca="1">SQRT(J12)</f>
        <v>52.200215516796483</v>
      </c>
      <c r="M13">
        <f t="shared" ca="1" si="3"/>
        <v>0.68173378003072505</v>
      </c>
      <c r="N13">
        <f t="shared" ca="1" si="4"/>
        <v>0.78877345501468388</v>
      </c>
      <c r="O13" t="str">
        <f t="shared" ca="1" si="5"/>
        <v/>
      </c>
      <c r="P13" t="str">
        <f t="shared" ca="1" si="6"/>
        <v/>
      </c>
    </row>
    <row r="14" spans="1:16" x14ac:dyDescent="0.25">
      <c r="A14">
        <v>64</v>
      </c>
      <c r="B14">
        <v>1</v>
      </c>
      <c r="C14">
        <f t="shared" ca="1" si="0"/>
        <v>64</v>
      </c>
      <c r="D14" t="str">
        <f t="shared" ca="1" si="1"/>
        <v/>
      </c>
      <c r="E14" t="str">
        <f t="shared" ca="1" si="2"/>
        <v/>
      </c>
      <c r="G14" t="s">
        <v>289</v>
      </c>
      <c r="H14">
        <f ca="1">COUNT(C11:C210)</f>
        <v>50</v>
      </c>
      <c r="I14" s="125">
        <f ca="1">COUNT(D11:D210)</f>
        <v>34</v>
      </c>
      <c r="J14" s="126">
        <f ca="1">COUNT(E11:E210)</f>
        <v>16</v>
      </c>
      <c r="M14">
        <f t="shared" ca="1" si="3"/>
        <v>0.25321705567416086</v>
      </c>
      <c r="N14">
        <f t="shared" ca="1" si="4"/>
        <v>0.31768392405018087</v>
      </c>
      <c r="O14" t="str">
        <f t="shared" ca="1" si="5"/>
        <v/>
      </c>
      <c r="P14">
        <f t="shared" ca="1" si="6"/>
        <v>1</v>
      </c>
    </row>
    <row r="15" spans="1:16" x14ac:dyDescent="0.25">
      <c r="A15">
        <v>129</v>
      </c>
      <c r="B15">
        <v>2</v>
      </c>
      <c r="C15" t="str">
        <f t="shared" ca="1" si="0"/>
        <v/>
      </c>
      <c r="D15" t="str">
        <f t="shared" ca="1" si="1"/>
        <v/>
      </c>
      <c r="E15" t="str">
        <f t="shared" ca="1" si="2"/>
        <v/>
      </c>
      <c r="G15" t="s">
        <v>281</v>
      </c>
      <c r="H15" s="42">
        <f ca="1">H13/SQRT(H14)*SQRT((F4-C7)/(F4-1))</f>
        <v>4.1464642563448848</v>
      </c>
      <c r="I15" s="127">
        <f ca="1">I13/SQRT(I14)*SQRT((D4-D7)/(D4-1))</f>
        <v>2.8444210022058374</v>
      </c>
      <c r="J15" s="128">
        <f ca="1">J13/SQRT(J14)*SQRT((E4-E7)/(E4-1))</f>
        <v>11.39102089993944</v>
      </c>
      <c r="M15">
        <f t="shared" ca="1" si="3"/>
        <v>0.6191208102089546</v>
      </c>
      <c r="N15" t="str">
        <f t="shared" ca="1" si="4"/>
        <v/>
      </c>
      <c r="O15">
        <f t="shared" ca="1" si="5"/>
        <v>0.92527606338306889</v>
      </c>
      <c r="P15" t="str">
        <f t="shared" ca="1" si="6"/>
        <v/>
      </c>
    </row>
    <row r="16" spans="1:16" x14ac:dyDescent="0.25">
      <c r="A16">
        <v>126</v>
      </c>
      <c r="B16">
        <v>2</v>
      </c>
      <c r="C16" t="str">
        <f t="shared" ca="1" si="0"/>
        <v/>
      </c>
      <c r="D16" t="str">
        <f t="shared" ca="1" si="1"/>
        <v/>
      </c>
      <c r="E16">
        <f t="shared" ca="1" si="2"/>
        <v>126</v>
      </c>
      <c r="G16" t="s">
        <v>310</v>
      </c>
      <c r="H16">
        <f ca="1">SUM(P11:P210)/C7</f>
        <v>0.76</v>
      </c>
      <c r="I16" s="125">
        <f ca="1">I14/$C$7</f>
        <v>0.68</v>
      </c>
      <c r="J16" s="126">
        <f ca="1">J14/$C$7</f>
        <v>0.32</v>
      </c>
      <c r="M16">
        <f t="shared" ca="1" si="3"/>
        <v>0.52565286099923858</v>
      </c>
      <c r="N16" t="str">
        <f t="shared" ca="1" si="4"/>
        <v/>
      </c>
      <c r="O16">
        <f t="shared" ca="1" si="5"/>
        <v>0.16975761737853412</v>
      </c>
      <c r="P16" t="str">
        <f t="shared" ca="1" si="6"/>
        <v/>
      </c>
    </row>
    <row r="17" spans="1:16" ht="16" thickBot="1" x14ac:dyDescent="0.45">
      <c r="A17">
        <v>49</v>
      </c>
      <c r="B17">
        <v>1</v>
      </c>
      <c r="C17" t="str">
        <f t="shared" ca="1" si="0"/>
        <v/>
      </c>
      <c r="D17">
        <f t="shared" ca="1" si="1"/>
        <v>49</v>
      </c>
      <c r="E17" t="str">
        <f t="shared" ca="1" si="2"/>
        <v/>
      </c>
      <c r="H17" s="3" t="s">
        <v>311</v>
      </c>
      <c r="I17" s="129">
        <f ca="1">I16*I14</f>
        <v>23.12</v>
      </c>
      <c r="J17" s="130">
        <f ca="1">J16*J14</f>
        <v>5.12</v>
      </c>
      <c r="M17">
        <f t="shared" ca="1" si="3"/>
        <v>0.62713676989353784</v>
      </c>
      <c r="N17">
        <f t="shared" ca="1" si="4"/>
        <v>0.13285280019420698</v>
      </c>
      <c r="O17" t="str">
        <f t="shared" ca="1" si="5"/>
        <v/>
      </c>
      <c r="P17" t="str">
        <f t="shared" ca="1" si="6"/>
        <v/>
      </c>
    </row>
    <row r="18" spans="1:16" x14ac:dyDescent="0.25">
      <c r="A18">
        <v>160</v>
      </c>
      <c r="B18">
        <v>2</v>
      </c>
      <c r="C18" t="str">
        <f t="shared" ca="1" si="0"/>
        <v/>
      </c>
      <c r="D18" t="str">
        <f t="shared" ca="1" si="1"/>
        <v/>
      </c>
      <c r="E18">
        <f t="shared" ca="1" si="2"/>
        <v>160</v>
      </c>
      <c r="H18" s="3" t="s">
        <v>312</v>
      </c>
      <c r="I18" s="153">
        <f ca="1">I11*I16+J11*J16</f>
        <v>89.56</v>
      </c>
      <c r="J18" s="154"/>
      <c r="M18">
        <f t="shared" ca="1" si="3"/>
        <v>0.41523079442392175</v>
      </c>
      <c r="N18" t="str">
        <f t="shared" ca="1" si="4"/>
        <v/>
      </c>
      <c r="O18">
        <f t="shared" ca="1" si="5"/>
        <v>0.16734533521923634</v>
      </c>
      <c r="P18" t="str">
        <f t="shared" ca="1" si="6"/>
        <v/>
      </c>
    </row>
    <row r="19" spans="1:16" ht="13" thickBot="1" x14ac:dyDescent="0.3">
      <c r="A19">
        <v>107</v>
      </c>
      <c r="B19">
        <v>2</v>
      </c>
      <c r="C19">
        <f t="shared" ca="1" si="0"/>
        <v>107</v>
      </c>
      <c r="D19" t="str">
        <f t="shared" ca="1" si="1"/>
        <v/>
      </c>
      <c r="E19">
        <f t="shared" ca="1" si="2"/>
        <v>107</v>
      </c>
      <c r="H19" s="3" t="s">
        <v>313</v>
      </c>
      <c r="I19" s="146">
        <f ca="1">SQRT(I16^2*I15^2+J16^2*J15^2)</f>
        <v>4.1265121483914848</v>
      </c>
      <c r="J19" s="147"/>
      <c r="M19">
        <f t="shared" ca="1" si="3"/>
        <v>0.20715013012245265</v>
      </c>
      <c r="N19" t="str">
        <f t="shared" ca="1" si="4"/>
        <v/>
      </c>
      <c r="O19">
        <f t="shared" ca="1" si="5"/>
        <v>7.18000167496885E-2</v>
      </c>
      <c r="P19" t="str">
        <f t="shared" ca="1" si="6"/>
        <v/>
      </c>
    </row>
    <row r="20" spans="1:16" x14ac:dyDescent="0.25">
      <c r="A20">
        <v>81</v>
      </c>
      <c r="B20">
        <v>1</v>
      </c>
      <c r="C20" t="str">
        <f t="shared" ca="1" si="0"/>
        <v/>
      </c>
      <c r="D20" t="str">
        <f t="shared" ca="1" si="1"/>
        <v/>
      </c>
      <c r="E20" t="str">
        <f t="shared" ca="1" si="2"/>
        <v/>
      </c>
      <c r="G20" s="3" t="s">
        <v>314</v>
      </c>
      <c r="H20" s="42">
        <f ca="1">H$11+NORMSINV(0.025)*H$15</f>
        <v>72.513079394381364</v>
      </c>
      <c r="I20" s="148">
        <f ca="1">$I$18+NORMSINV(0.025)*I$19</f>
        <v>81.472184807385688</v>
      </c>
      <c r="J20" s="149"/>
      <c r="M20">
        <f t="shared" ca="1" si="3"/>
        <v>0.34510049273631638</v>
      </c>
      <c r="N20">
        <f t="shared" ca="1" si="4"/>
        <v>0.8751602212070726</v>
      </c>
      <c r="O20" t="str">
        <f t="shared" ca="1" si="5"/>
        <v/>
      </c>
      <c r="P20" t="str">
        <f t="shared" ca="1" si="6"/>
        <v/>
      </c>
    </row>
    <row r="21" spans="1:16" ht="13" thickBot="1" x14ac:dyDescent="0.3">
      <c r="A21">
        <v>120</v>
      </c>
      <c r="B21">
        <v>2</v>
      </c>
      <c r="C21" t="str">
        <f t="shared" ca="1" si="0"/>
        <v/>
      </c>
      <c r="D21" t="str">
        <f t="shared" ca="1" si="1"/>
        <v/>
      </c>
      <c r="E21" t="str">
        <f t="shared" ca="1" si="2"/>
        <v/>
      </c>
      <c r="G21" s="3" t="s">
        <v>315</v>
      </c>
      <c r="H21" s="42">
        <f ca="1">H$11+NORMSINV(0.975)*H$15</f>
        <v>88.766920605618637</v>
      </c>
      <c r="I21" s="146">
        <f ca="1">$I$18+NORMSINV(0.975)*I$19</f>
        <v>97.647815192614317</v>
      </c>
      <c r="J21" s="147"/>
      <c r="M21">
        <f t="shared" ca="1" si="3"/>
        <v>0.28430961112719577</v>
      </c>
      <c r="N21" t="str">
        <f t="shared" ca="1" si="4"/>
        <v/>
      </c>
      <c r="O21">
        <f t="shared" ca="1" si="5"/>
        <v>0.24198339559534576</v>
      </c>
      <c r="P21" t="str">
        <f t="shared" ca="1" si="6"/>
        <v/>
      </c>
    </row>
    <row r="22" spans="1:16" x14ac:dyDescent="0.25">
      <c r="A22">
        <v>76</v>
      </c>
      <c r="B22">
        <v>1</v>
      </c>
      <c r="C22">
        <f t="shared" ca="1" si="0"/>
        <v>76</v>
      </c>
      <c r="D22" t="str">
        <f t="shared" ca="1" si="1"/>
        <v/>
      </c>
      <c r="E22" t="str">
        <f t="shared" ca="1" si="2"/>
        <v/>
      </c>
      <c r="M22">
        <f t="shared" ca="1" si="3"/>
        <v>0.24533755641550303</v>
      </c>
      <c r="N22">
        <f t="shared" ca="1" si="4"/>
        <v>0.69355975721148877</v>
      </c>
      <c r="O22" t="str">
        <f t="shared" ca="1" si="5"/>
        <v/>
      </c>
      <c r="P22">
        <f t="shared" ca="1" si="6"/>
        <v>1</v>
      </c>
    </row>
    <row r="23" spans="1:16" x14ac:dyDescent="0.25">
      <c r="A23">
        <v>90</v>
      </c>
      <c r="B23">
        <v>1</v>
      </c>
      <c r="C23" t="str">
        <f t="shared" ca="1" si="0"/>
        <v/>
      </c>
      <c r="D23" t="str">
        <f t="shared" ca="1" si="1"/>
        <v/>
      </c>
      <c r="E23" t="str">
        <f t="shared" ca="1" si="2"/>
        <v/>
      </c>
      <c r="M23">
        <f t="shared" ca="1" si="3"/>
        <v>0.89101842132677966</v>
      </c>
      <c r="N23">
        <f t="shared" ca="1" si="4"/>
        <v>0.61011906018540385</v>
      </c>
      <c r="O23" t="str">
        <f t="shared" ca="1" si="5"/>
        <v/>
      </c>
      <c r="P23" t="str">
        <f t="shared" ca="1" si="6"/>
        <v/>
      </c>
    </row>
    <row r="24" spans="1:16" x14ac:dyDescent="0.25">
      <c r="A24">
        <v>146</v>
      </c>
      <c r="B24">
        <v>2</v>
      </c>
      <c r="C24" t="str">
        <f t="shared" ca="1" si="0"/>
        <v/>
      </c>
      <c r="D24" t="str">
        <f t="shared" ca="1" si="1"/>
        <v/>
      </c>
      <c r="E24">
        <f t="shared" ca="1" si="2"/>
        <v>146</v>
      </c>
      <c r="M24">
        <f t="shared" ca="1" si="3"/>
        <v>0.82013187892326656</v>
      </c>
      <c r="N24" t="str">
        <f t="shared" ca="1" si="4"/>
        <v/>
      </c>
      <c r="O24">
        <f t="shared" ca="1" si="5"/>
        <v>1.7051033687269235E-2</v>
      </c>
      <c r="P24" t="str">
        <f t="shared" ca="1" si="6"/>
        <v/>
      </c>
    </row>
    <row r="25" spans="1:16" x14ac:dyDescent="0.25">
      <c r="A25">
        <v>147</v>
      </c>
      <c r="B25">
        <v>2</v>
      </c>
      <c r="C25" t="str">
        <f t="shared" ca="1" si="0"/>
        <v/>
      </c>
      <c r="D25" t="str">
        <f t="shared" ca="1" si="1"/>
        <v/>
      </c>
      <c r="E25" t="str">
        <f t="shared" ca="1" si="2"/>
        <v/>
      </c>
      <c r="M25">
        <f t="shared" ca="1" si="3"/>
        <v>0.64512578625995554</v>
      </c>
      <c r="N25" t="str">
        <f t="shared" ca="1" si="4"/>
        <v/>
      </c>
      <c r="O25">
        <f t="shared" ca="1" si="5"/>
        <v>0.44191202873209778</v>
      </c>
      <c r="P25" t="str">
        <f t="shared" ca="1" si="6"/>
        <v/>
      </c>
    </row>
    <row r="26" spans="1:16" x14ac:dyDescent="0.25">
      <c r="A26">
        <v>118</v>
      </c>
      <c r="B26">
        <v>1</v>
      </c>
      <c r="C26" t="str">
        <f t="shared" ca="1" si="0"/>
        <v/>
      </c>
      <c r="D26">
        <f t="shared" ca="1" si="1"/>
        <v>118</v>
      </c>
      <c r="E26" t="str">
        <f t="shared" ca="1" si="2"/>
        <v/>
      </c>
      <c r="M26">
        <f t="shared" ca="1" si="3"/>
        <v>0.28063969561557223</v>
      </c>
      <c r="N26">
        <f t="shared" ca="1" si="4"/>
        <v>0.12484078064844495</v>
      </c>
      <c r="O26" t="str">
        <f t="shared" ca="1" si="5"/>
        <v/>
      </c>
      <c r="P26" t="str">
        <f t="shared" ca="1" si="6"/>
        <v/>
      </c>
    </row>
    <row r="27" spans="1:16" x14ac:dyDescent="0.25">
      <c r="A27">
        <v>105</v>
      </c>
      <c r="B27">
        <v>2</v>
      </c>
      <c r="C27">
        <f t="shared" ca="1" si="0"/>
        <v>105</v>
      </c>
      <c r="D27" t="str">
        <f t="shared" ca="1" si="1"/>
        <v/>
      </c>
      <c r="E27" t="str">
        <f t="shared" ca="1" si="2"/>
        <v/>
      </c>
      <c r="M27">
        <f t="shared" ca="1" si="3"/>
        <v>7.2729154675115759E-2</v>
      </c>
      <c r="N27" t="str">
        <f t="shared" ca="1" si="4"/>
        <v/>
      </c>
      <c r="O27">
        <f t="shared" ca="1" si="5"/>
        <v>0.92148854625944099</v>
      </c>
      <c r="P27" t="str">
        <f t="shared" ca="1" si="6"/>
        <v/>
      </c>
    </row>
    <row r="28" spans="1:16" x14ac:dyDescent="0.25">
      <c r="A28">
        <v>67</v>
      </c>
      <c r="B28">
        <v>1</v>
      </c>
      <c r="C28" t="str">
        <f t="shared" ca="1" si="0"/>
        <v/>
      </c>
      <c r="D28" t="str">
        <f t="shared" ca="1" si="1"/>
        <v/>
      </c>
      <c r="E28" t="str">
        <f t="shared" ca="1" si="2"/>
        <v/>
      </c>
      <c r="M28">
        <f t="shared" ca="1" si="3"/>
        <v>0.82399426158960243</v>
      </c>
      <c r="N28">
        <f t="shared" ca="1" si="4"/>
        <v>0.83380326403645366</v>
      </c>
      <c r="O28" t="str">
        <f t="shared" ca="1" si="5"/>
        <v/>
      </c>
      <c r="P28" t="str">
        <f t="shared" ca="1" si="6"/>
        <v/>
      </c>
    </row>
    <row r="29" spans="1:16" x14ac:dyDescent="0.25">
      <c r="A29">
        <v>44</v>
      </c>
      <c r="B29">
        <v>2</v>
      </c>
      <c r="C29">
        <f t="shared" ca="1" si="0"/>
        <v>44</v>
      </c>
      <c r="D29" t="str">
        <f t="shared" ca="1" si="1"/>
        <v/>
      </c>
      <c r="E29" t="str">
        <f t="shared" ca="1" si="2"/>
        <v/>
      </c>
      <c r="M29">
        <f t="shared" ca="1" si="3"/>
        <v>0.20132040093416825</v>
      </c>
      <c r="N29" t="str">
        <f t="shared" ca="1" si="4"/>
        <v/>
      </c>
      <c r="O29">
        <f t="shared" ca="1" si="5"/>
        <v>0.4922171596330841</v>
      </c>
      <c r="P29" t="str">
        <f t="shared" ca="1" si="6"/>
        <v/>
      </c>
    </row>
    <row r="30" spans="1:16" x14ac:dyDescent="0.25">
      <c r="A30">
        <v>109</v>
      </c>
      <c r="B30">
        <v>1</v>
      </c>
      <c r="C30" t="str">
        <f t="shared" ca="1" si="0"/>
        <v/>
      </c>
      <c r="D30" t="str">
        <f t="shared" ca="1" si="1"/>
        <v/>
      </c>
      <c r="E30" t="str">
        <f t="shared" ca="1" si="2"/>
        <v/>
      </c>
      <c r="M30">
        <f t="shared" ca="1" si="3"/>
        <v>0.69008056777600368</v>
      </c>
      <c r="N30">
        <f t="shared" ca="1" si="4"/>
        <v>0.89374087953308978</v>
      </c>
      <c r="O30" t="str">
        <f t="shared" ca="1" si="5"/>
        <v/>
      </c>
      <c r="P30" t="str">
        <f t="shared" ca="1" si="6"/>
        <v/>
      </c>
    </row>
    <row r="31" spans="1:16" x14ac:dyDescent="0.25">
      <c r="A31">
        <v>55</v>
      </c>
      <c r="B31">
        <v>1</v>
      </c>
      <c r="C31" t="str">
        <f t="shared" ca="1" si="0"/>
        <v/>
      </c>
      <c r="D31" t="str">
        <f t="shared" ca="1" si="1"/>
        <v/>
      </c>
      <c r="E31" t="str">
        <f t="shared" ca="1" si="2"/>
        <v/>
      </c>
      <c r="M31">
        <f t="shared" ca="1" si="3"/>
        <v>0.42657647057879178</v>
      </c>
      <c r="N31">
        <f t="shared" ca="1" si="4"/>
        <v>0.66756387155258856</v>
      </c>
      <c r="O31" t="str">
        <f t="shared" ca="1" si="5"/>
        <v/>
      </c>
      <c r="P31" t="str">
        <f t="shared" ca="1" si="6"/>
        <v/>
      </c>
    </row>
    <row r="32" spans="1:16" x14ac:dyDescent="0.25">
      <c r="A32">
        <v>49</v>
      </c>
      <c r="B32">
        <v>1</v>
      </c>
      <c r="C32">
        <f t="shared" ca="1" si="0"/>
        <v>49</v>
      </c>
      <c r="D32">
        <f t="shared" ca="1" si="1"/>
        <v>49</v>
      </c>
      <c r="E32" t="str">
        <f t="shared" ca="1" si="2"/>
        <v/>
      </c>
      <c r="M32">
        <f t="shared" ca="1" si="3"/>
        <v>5.5594917590292781E-2</v>
      </c>
      <c r="N32">
        <f t="shared" ca="1" si="4"/>
        <v>0.18119078974441161</v>
      </c>
      <c r="O32" t="str">
        <f t="shared" ca="1" si="5"/>
        <v/>
      </c>
      <c r="P32">
        <f t="shared" ca="1" si="6"/>
        <v>1</v>
      </c>
    </row>
    <row r="33" spans="1:16" x14ac:dyDescent="0.25">
      <c r="A33">
        <v>89</v>
      </c>
      <c r="B33">
        <v>2</v>
      </c>
      <c r="C33" t="str">
        <f t="shared" ca="1" si="0"/>
        <v/>
      </c>
      <c r="D33" t="str">
        <f t="shared" ca="1" si="1"/>
        <v/>
      </c>
      <c r="E33" t="str">
        <f t="shared" ca="1" si="2"/>
        <v/>
      </c>
      <c r="M33">
        <f t="shared" ca="1" si="3"/>
        <v>0.52360179823540298</v>
      </c>
      <c r="N33" t="str">
        <f t="shared" ca="1" si="4"/>
        <v/>
      </c>
      <c r="O33">
        <f t="shared" ca="1" si="5"/>
        <v>0.52218547192915277</v>
      </c>
      <c r="P33" t="str">
        <f t="shared" ca="1" si="6"/>
        <v/>
      </c>
    </row>
    <row r="34" spans="1:16" x14ac:dyDescent="0.25">
      <c r="A34">
        <v>73</v>
      </c>
      <c r="B34">
        <v>1</v>
      </c>
      <c r="C34" t="str">
        <f t="shared" ca="1" si="0"/>
        <v/>
      </c>
      <c r="D34" t="str">
        <f t="shared" ca="1" si="1"/>
        <v/>
      </c>
      <c r="E34" t="str">
        <f t="shared" ca="1" si="2"/>
        <v/>
      </c>
      <c r="M34">
        <f t="shared" ca="1" si="3"/>
        <v>0.92513999208401831</v>
      </c>
      <c r="N34">
        <f t="shared" ca="1" si="4"/>
        <v>0.70737688181624558</v>
      </c>
      <c r="O34" t="str">
        <f t="shared" ca="1" si="5"/>
        <v/>
      </c>
      <c r="P34" t="str">
        <f t="shared" ca="1" si="6"/>
        <v/>
      </c>
    </row>
    <row r="35" spans="1:16" x14ac:dyDescent="0.25">
      <c r="A35">
        <v>41</v>
      </c>
      <c r="B35">
        <v>1</v>
      </c>
      <c r="C35" t="str">
        <f t="shared" ca="1" si="0"/>
        <v/>
      </c>
      <c r="D35" t="str">
        <f t="shared" ca="1" si="1"/>
        <v/>
      </c>
      <c r="E35" t="str">
        <f t="shared" ca="1" si="2"/>
        <v/>
      </c>
      <c r="M35">
        <f t="shared" ca="1" si="3"/>
        <v>0.90456840819618378</v>
      </c>
      <c r="N35">
        <f t="shared" ca="1" si="4"/>
        <v>0.63478895832579807</v>
      </c>
      <c r="O35" t="str">
        <f t="shared" ca="1" si="5"/>
        <v/>
      </c>
      <c r="P35" t="str">
        <f t="shared" ca="1" si="6"/>
        <v/>
      </c>
    </row>
    <row r="36" spans="1:16" x14ac:dyDescent="0.25">
      <c r="A36">
        <v>53</v>
      </c>
      <c r="B36">
        <v>2</v>
      </c>
      <c r="C36" t="str">
        <f t="shared" ca="1" si="0"/>
        <v/>
      </c>
      <c r="D36" t="str">
        <f t="shared" ca="1" si="1"/>
        <v/>
      </c>
      <c r="E36" t="str">
        <f t="shared" ca="1" si="2"/>
        <v/>
      </c>
      <c r="M36">
        <f t="shared" ca="1" si="3"/>
        <v>0.70718632944513315</v>
      </c>
      <c r="N36" t="str">
        <f t="shared" ca="1" si="4"/>
        <v/>
      </c>
      <c r="O36">
        <f t="shared" ca="1" si="5"/>
        <v>0.6525127807662876</v>
      </c>
      <c r="P36" t="str">
        <f t="shared" ca="1" si="6"/>
        <v/>
      </c>
    </row>
    <row r="37" spans="1:16" x14ac:dyDescent="0.25">
      <c r="A37">
        <v>69</v>
      </c>
      <c r="B37">
        <v>1</v>
      </c>
      <c r="C37" t="str">
        <f t="shared" ca="1" si="0"/>
        <v/>
      </c>
      <c r="D37" t="str">
        <f t="shared" ca="1" si="1"/>
        <v/>
      </c>
      <c r="E37" t="str">
        <f t="shared" ca="1" si="2"/>
        <v/>
      </c>
      <c r="M37">
        <f t="shared" ca="1" si="3"/>
        <v>0.84094857185944871</v>
      </c>
      <c r="N37">
        <f t="shared" ca="1" si="4"/>
        <v>0.96464235670996101</v>
      </c>
      <c r="O37" t="str">
        <f t="shared" ca="1" si="5"/>
        <v/>
      </c>
      <c r="P37" t="str">
        <f t="shared" ca="1" si="6"/>
        <v/>
      </c>
    </row>
    <row r="38" spans="1:16" x14ac:dyDescent="0.25">
      <c r="A38">
        <v>82</v>
      </c>
      <c r="B38">
        <v>2</v>
      </c>
      <c r="C38" t="str">
        <f t="shared" ca="1" si="0"/>
        <v/>
      </c>
      <c r="D38" t="str">
        <f t="shared" ca="1" si="1"/>
        <v/>
      </c>
      <c r="E38" t="str">
        <f t="shared" ca="1" si="2"/>
        <v/>
      </c>
      <c r="M38">
        <f t="shared" ca="1" si="3"/>
        <v>0.45433409533532554</v>
      </c>
      <c r="N38" t="str">
        <f t="shared" ca="1" si="4"/>
        <v/>
      </c>
      <c r="O38">
        <f t="shared" ca="1" si="5"/>
        <v>0.62631276259229518</v>
      </c>
      <c r="P38" t="str">
        <f t="shared" ca="1" si="6"/>
        <v/>
      </c>
    </row>
    <row r="39" spans="1:16" x14ac:dyDescent="0.25">
      <c r="A39">
        <v>126</v>
      </c>
      <c r="B39">
        <v>2</v>
      </c>
      <c r="C39" t="str">
        <f t="shared" ca="1" si="0"/>
        <v/>
      </c>
      <c r="D39" t="str">
        <f t="shared" ca="1" si="1"/>
        <v/>
      </c>
      <c r="E39" t="str">
        <f t="shared" ca="1" si="2"/>
        <v/>
      </c>
      <c r="M39">
        <f t="shared" ca="1" si="3"/>
        <v>0.54336140388859666</v>
      </c>
      <c r="N39" t="str">
        <f t="shared" ca="1" si="4"/>
        <v/>
      </c>
      <c r="O39">
        <f t="shared" ca="1" si="5"/>
        <v>0.27703097000434529</v>
      </c>
      <c r="P39" t="str">
        <f t="shared" ca="1" si="6"/>
        <v/>
      </c>
    </row>
    <row r="40" spans="1:16" x14ac:dyDescent="0.25">
      <c r="A40">
        <v>81</v>
      </c>
      <c r="B40">
        <v>1</v>
      </c>
      <c r="C40" t="str">
        <f t="shared" ca="1" si="0"/>
        <v/>
      </c>
      <c r="D40">
        <f t="shared" ca="1" si="1"/>
        <v>81</v>
      </c>
      <c r="E40" t="str">
        <f t="shared" ca="1" si="2"/>
        <v/>
      </c>
      <c r="M40">
        <f t="shared" ca="1" si="3"/>
        <v>0.69158638725301513</v>
      </c>
      <c r="N40">
        <f t="shared" ca="1" si="4"/>
        <v>3.4565011752951458E-2</v>
      </c>
      <c r="O40" t="str">
        <f t="shared" ca="1" si="5"/>
        <v/>
      </c>
      <c r="P40" t="str">
        <f t="shared" ca="1" si="6"/>
        <v/>
      </c>
    </row>
    <row r="41" spans="1:16" x14ac:dyDescent="0.25">
      <c r="A41">
        <v>65</v>
      </c>
      <c r="B41">
        <v>1</v>
      </c>
      <c r="C41" t="str">
        <f t="shared" ca="1" si="0"/>
        <v/>
      </c>
      <c r="D41" t="str">
        <f t="shared" ca="1" si="1"/>
        <v/>
      </c>
      <c r="E41" t="str">
        <f t="shared" ca="1" si="2"/>
        <v/>
      </c>
      <c r="M41">
        <f t="shared" ca="1" si="3"/>
        <v>0.53676609972204803</v>
      </c>
      <c r="N41">
        <f t="shared" ca="1" si="4"/>
        <v>0.87053600727030112</v>
      </c>
      <c r="O41" t="str">
        <f t="shared" ca="1" si="5"/>
        <v/>
      </c>
      <c r="P41" t="str">
        <f t="shared" ca="1" si="6"/>
        <v/>
      </c>
    </row>
    <row r="42" spans="1:16" x14ac:dyDescent="0.25">
      <c r="A42">
        <v>79</v>
      </c>
      <c r="B42">
        <v>1</v>
      </c>
      <c r="C42">
        <f t="shared" ca="1" si="0"/>
        <v>79</v>
      </c>
      <c r="D42">
        <f t="shared" ca="1" si="1"/>
        <v>79</v>
      </c>
      <c r="E42" t="str">
        <f t="shared" ca="1" si="2"/>
        <v/>
      </c>
      <c r="M42">
        <f t="shared" ca="1" si="3"/>
        <v>0.20793637180496249</v>
      </c>
      <c r="N42">
        <f t="shared" ca="1" si="4"/>
        <v>9.4730296461531527E-3</v>
      </c>
      <c r="O42" t="str">
        <f t="shared" ca="1" si="5"/>
        <v/>
      </c>
      <c r="P42">
        <f t="shared" ca="1" si="6"/>
        <v>1</v>
      </c>
    </row>
    <row r="43" spans="1:16" x14ac:dyDescent="0.25">
      <c r="A43">
        <v>47</v>
      </c>
      <c r="B43">
        <v>1</v>
      </c>
      <c r="C43" t="str">
        <f t="shared" ca="1" si="0"/>
        <v/>
      </c>
      <c r="D43" t="str">
        <f t="shared" ca="1" si="1"/>
        <v/>
      </c>
      <c r="E43" t="str">
        <f t="shared" ca="1" si="2"/>
        <v/>
      </c>
      <c r="M43">
        <f t="shared" ca="1" si="3"/>
        <v>0.82408854831450795</v>
      </c>
      <c r="N43">
        <f t="shared" ca="1" si="4"/>
        <v>0.70076536366851661</v>
      </c>
      <c r="O43" t="str">
        <f t="shared" ca="1" si="5"/>
        <v/>
      </c>
      <c r="P43" t="str">
        <f t="shared" ca="1" si="6"/>
        <v/>
      </c>
    </row>
    <row r="44" spans="1:16" x14ac:dyDescent="0.25">
      <c r="A44">
        <v>67</v>
      </c>
      <c r="B44">
        <v>1</v>
      </c>
      <c r="C44" t="str">
        <f t="shared" ca="1" si="0"/>
        <v/>
      </c>
      <c r="D44">
        <f t="shared" ca="1" si="1"/>
        <v>67</v>
      </c>
      <c r="E44" t="str">
        <f t="shared" ca="1" si="2"/>
        <v/>
      </c>
      <c r="M44">
        <f t="shared" ca="1" si="3"/>
        <v>0.85095424190212798</v>
      </c>
      <c r="N44">
        <f t="shared" ca="1" si="4"/>
        <v>4.0884193265643964E-2</v>
      </c>
      <c r="O44" t="str">
        <f t="shared" ca="1" si="5"/>
        <v/>
      </c>
      <c r="P44" t="str">
        <f t="shared" ca="1" si="6"/>
        <v/>
      </c>
    </row>
    <row r="45" spans="1:16" x14ac:dyDescent="0.25">
      <c r="A45">
        <v>81</v>
      </c>
      <c r="B45">
        <v>1</v>
      </c>
      <c r="C45">
        <f t="shared" ca="1" si="0"/>
        <v>81</v>
      </c>
      <c r="D45">
        <f t="shared" ca="1" si="1"/>
        <v>81</v>
      </c>
      <c r="E45" t="str">
        <f t="shared" ca="1" si="2"/>
        <v/>
      </c>
      <c r="M45">
        <f t="shared" ca="1" si="3"/>
        <v>0.25915187016319263</v>
      </c>
      <c r="N45">
        <f t="shared" ca="1" si="4"/>
        <v>2.4396024402316696E-3</v>
      </c>
      <c r="O45" t="str">
        <f t="shared" ca="1" si="5"/>
        <v/>
      </c>
      <c r="P45">
        <f t="shared" ca="1" si="6"/>
        <v>1</v>
      </c>
    </row>
    <row r="46" spans="1:16" x14ac:dyDescent="0.25">
      <c r="A46">
        <v>71</v>
      </c>
      <c r="B46">
        <v>2</v>
      </c>
      <c r="C46" t="str">
        <f t="shared" ca="1" si="0"/>
        <v/>
      </c>
      <c r="D46" t="str">
        <f t="shared" ca="1" si="1"/>
        <v/>
      </c>
      <c r="E46" t="str">
        <f t="shared" ca="1" si="2"/>
        <v/>
      </c>
      <c r="M46">
        <f t="shared" ca="1" si="3"/>
        <v>0.78751662288590829</v>
      </c>
      <c r="N46" t="str">
        <f t="shared" ca="1" si="4"/>
        <v/>
      </c>
      <c r="O46">
        <f t="shared" ca="1" si="5"/>
        <v>0.42993856106057393</v>
      </c>
      <c r="P46" t="str">
        <f t="shared" ca="1" si="6"/>
        <v/>
      </c>
    </row>
    <row r="47" spans="1:16" x14ac:dyDescent="0.25">
      <c r="A47">
        <v>93</v>
      </c>
      <c r="B47">
        <v>1</v>
      </c>
      <c r="C47" t="str">
        <f t="shared" ca="1" si="0"/>
        <v/>
      </c>
      <c r="D47" t="str">
        <f t="shared" ca="1" si="1"/>
        <v/>
      </c>
      <c r="E47" t="str">
        <f t="shared" ca="1" si="2"/>
        <v/>
      </c>
      <c r="M47">
        <f t="shared" ca="1" si="3"/>
        <v>0.64462154441791397</v>
      </c>
      <c r="N47">
        <f t="shared" ca="1" si="4"/>
        <v>0.43938984934668934</v>
      </c>
      <c r="O47" t="str">
        <f t="shared" ca="1" si="5"/>
        <v/>
      </c>
      <c r="P47" t="str">
        <f t="shared" ca="1" si="6"/>
        <v/>
      </c>
    </row>
    <row r="48" spans="1:16" x14ac:dyDescent="0.25">
      <c r="A48">
        <v>89</v>
      </c>
      <c r="B48">
        <v>1</v>
      </c>
      <c r="C48" t="str">
        <f t="shared" ca="1" si="0"/>
        <v/>
      </c>
      <c r="D48">
        <f t="shared" ca="1" si="1"/>
        <v>89</v>
      </c>
      <c r="E48" t="str">
        <f t="shared" ca="1" si="2"/>
        <v/>
      </c>
      <c r="M48">
        <f t="shared" ca="1" si="3"/>
        <v>0.79010739815867448</v>
      </c>
      <c r="N48">
        <f t="shared" ca="1" si="4"/>
        <v>3.3929771525682995E-2</v>
      </c>
      <c r="O48" t="str">
        <f t="shared" ca="1" si="5"/>
        <v/>
      </c>
      <c r="P48" t="str">
        <f t="shared" ca="1" si="6"/>
        <v/>
      </c>
    </row>
    <row r="49" spans="1:16" x14ac:dyDescent="0.25">
      <c r="A49">
        <v>68</v>
      </c>
      <c r="B49">
        <v>1</v>
      </c>
      <c r="C49">
        <f t="shared" ca="1" si="0"/>
        <v>68</v>
      </c>
      <c r="D49" t="str">
        <f t="shared" ca="1" si="1"/>
        <v/>
      </c>
      <c r="E49" t="str">
        <f t="shared" ca="1" si="2"/>
        <v/>
      </c>
      <c r="M49">
        <f t="shared" ca="1" si="3"/>
        <v>0.13697942203057123</v>
      </c>
      <c r="N49">
        <f t="shared" ca="1" si="4"/>
        <v>0.81034088608674548</v>
      </c>
      <c r="O49" t="str">
        <f t="shared" ca="1" si="5"/>
        <v/>
      </c>
      <c r="P49">
        <f t="shared" ca="1" si="6"/>
        <v>1</v>
      </c>
    </row>
    <row r="50" spans="1:16" x14ac:dyDescent="0.25">
      <c r="A50">
        <v>38</v>
      </c>
      <c r="B50">
        <v>1</v>
      </c>
      <c r="C50" t="str">
        <f t="shared" ca="1" si="0"/>
        <v/>
      </c>
      <c r="D50">
        <f t="shared" ca="1" si="1"/>
        <v>38</v>
      </c>
      <c r="E50" t="str">
        <f t="shared" ca="1" si="2"/>
        <v/>
      </c>
      <c r="M50">
        <f t="shared" ca="1" si="3"/>
        <v>0.89540251029224538</v>
      </c>
      <c r="N50">
        <f t="shared" ca="1" si="4"/>
        <v>0.23510150755529369</v>
      </c>
      <c r="O50" t="str">
        <f t="shared" ca="1" si="5"/>
        <v/>
      </c>
      <c r="P50" t="str">
        <f t="shared" ca="1" si="6"/>
        <v/>
      </c>
    </row>
    <row r="51" spans="1:16" x14ac:dyDescent="0.25">
      <c r="A51">
        <v>82</v>
      </c>
      <c r="B51">
        <v>1</v>
      </c>
      <c r="C51" t="str">
        <f t="shared" ca="1" si="0"/>
        <v/>
      </c>
      <c r="D51" t="str">
        <f t="shared" ca="1" si="1"/>
        <v/>
      </c>
      <c r="E51" t="str">
        <f t="shared" ca="1" si="2"/>
        <v/>
      </c>
      <c r="M51">
        <f t="shared" ca="1" si="3"/>
        <v>0.44933369227224773</v>
      </c>
      <c r="N51">
        <f t="shared" ca="1" si="4"/>
        <v>0.31105133109776262</v>
      </c>
      <c r="O51" t="str">
        <f t="shared" ca="1" si="5"/>
        <v/>
      </c>
      <c r="P51" t="str">
        <f t="shared" ca="1" si="6"/>
        <v/>
      </c>
    </row>
    <row r="52" spans="1:16" x14ac:dyDescent="0.25">
      <c r="A52">
        <v>130</v>
      </c>
      <c r="B52">
        <v>2</v>
      </c>
      <c r="C52" t="str">
        <f t="shared" ca="1" si="0"/>
        <v/>
      </c>
      <c r="D52" t="str">
        <f t="shared" ca="1" si="1"/>
        <v/>
      </c>
      <c r="E52" t="str">
        <f t="shared" ca="1" si="2"/>
        <v/>
      </c>
      <c r="M52">
        <f t="shared" ca="1" si="3"/>
        <v>0.31396121583235137</v>
      </c>
      <c r="N52" t="str">
        <f t="shared" ca="1" si="4"/>
        <v/>
      </c>
      <c r="O52">
        <f t="shared" ca="1" si="5"/>
        <v>0.31804062435511848</v>
      </c>
      <c r="P52" t="str">
        <f t="shared" ca="1" si="6"/>
        <v/>
      </c>
    </row>
    <row r="53" spans="1:16" x14ac:dyDescent="0.25">
      <c r="A53">
        <v>69</v>
      </c>
      <c r="B53">
        <v>1</v>
      </c>
      <c r="C53" t="str">
        <f t="shared" ca="1" si="0"/>
        <v/>
      </c>
      <c r="D53" t="str">
        <f t="shared" ca="1" si="1"/>
        <v/>
      </c>
      <c r="E53" t="str">
        <f t="shared" ca="1" si="2"/>
        <v/>
      </c>
      <c r="M53">
        <f t="shared" ca="1" si="3"/>
        <v>0.2745253891631797</v>
      </c>
      <c r="N53">
        <f t="shared" ca="1" si="4"/>
        <v>0.35718934522582912</v>
      </c>
      <c r="O53" t="str">
        <f t="shared" ca="1" si="5"/>
        <v/>
      </c>
      <c r="P53" t="str">
        <f t="shared" ca="1" si="6"/>
        <v/>
      </c>
    </row>
    <row r="54" spans="1:16" x14ac:dyDescent="0.25">
      <c r="A54">
        <v>80</v>
      </c>
      <c r="B54">
        <v>1</v>
      </c>
      <c r="C54">
        <f t="shared" ca="1" si="0"/>
        <v>80</v>
      </c>
      <c r="D54">
        <f t="shared" ca="1" si="1"/>
        <v>80</v>
      </c>
      <c r="E54" t="str">
        <f t="shared" ca="1" si="2"/>
        <v/>
      </c>
      <c r="M54">
        <f t="shared" ca="1" si="3"/>
        <v>6.5037285447741011E-3</v>
      </c>
      <c r="N54">
        <f t="shared" ca="1" si="4"/>
        <v>0.18755060354703856</v>
      </c>
      <c r="O54" t="str">
        <f t="shared" ca="1" si="5"/>
        <v/>
      </c>
      <c r="P54">
        <f t="shared" ca="1" si="6"/>
        <v>1</v>
      </c>
    </row>
    <row r="55" spans="1:16" x14ac:dyDescent="0.25">
      <c r="A55">
        <v>94</v>
      </c>
      <c r="B55">
        <v>2</v>
      </c>
      <c r="C55" t="str">
        <f t="shared" ca="1" si="0"/>
        <v/>
      </c>
      <c r="D55" t="str">
        <f t="shared" ca="1" si="1"/>
        <v/>
      </c>
      <c r="E55" t="str">
        <f t="shared" ca="1" si="2"/>
        <v/>
      </c>
      <c r="M55">
        <f t="shared" ca="1" si="3"/>
        <v>0.64984564165235703</v>
      </c>
      <c r="N55" t="str">
        <f t="shared" ca="1" si="4"/>
        <v/>
      </c>
      <c r="O55">
        <f t="shared" ca="1" si="5"/>
        <v>0.41639302768422803</v>
      </c>
      <c r="P55" t="str">
        <f t="shared" ca="1" si="6"/>
        <v/>
      </c>
    </row>
    <row r="56" spans="1:16" x14ac:dyDescent="0.25">
      <c r="A56">
        <v>75</v>
      </c>
      <c r="B56">
        <v>1</v>
      </c>
      <c r="C56" t="str">
        <f t="shared" ca="1" si="0"/>
        <v/>
      </c>
      <c r="D56">
        <f t="shared" ca="1" si="1"/>
        <v>75</v>
      </c>
      <c r="E56" t="str">
        <f t="shared" ca="1" si="2"/>
        <v/>
      </c>
      <c r="M56">
        <f t="shared" ca="1" si="3"/>
        <v>0.46771148933787343</v>
      </c>
      <c r="N56">
        <f t="shared" ca="1" si="4"/>
        <v>0.18859069431357922</v>
      </c>
      <c r="O56" t="str">
        <f t="shared" ca="1" si="5"/>
        <v/>
      </c>
      <c r="P56" t="str">
        <f t="shared" ca="1" si="6"/>
        <v/>
      </c>
    </row>
    <row r="57" spans="1:16" x14ac:dyDescent="0.25">
      <c r="A57">
        <v>50</v>
      </c>
      <c r="B57">
        <v>1</v>
      </c>
      <c r="C57" t="str">
        <f t="shared" ca="1" si="0"/>
        <v/>
      </c>
      <c r="D57" t="str">
        <f t="shared" ca="1" si="1"/>
        <v/>
      </c>
      <c r="E57" t="str">
        <f t="shared" ca="1" si="2"/>
        <v/>
      </c>
      <c r="M57">
        <f t="shared" ca="1" si="3"/>
        <v>0.74945911921430264</v>
      </c>
      <c r="N57">
        <f t="shared" ca="1" si="4"/>
        <v>0.60539275286993666</v>
      </c>
      <c r="O57" t="str">
        <f t="shared" ca="1" si="5"/>
        <v/>
      </c>
      <c r="P57" t="str">
        <f t="shared" ca="1" si="6"/>
        <v/>
      </c>
    </row>
    <row r="58" spans="1:16" x14ac:dyDescent="0.25">
      <c r="A58">
        <v>98</v>
      </c>
      <c r="B58">
        <v>1</v>
      </c>
      <c r="C58">
        <f t="shared" ca="1" si="0"/>
        <v>98</v>
      </c>
      <c r="D58" t="str">
        <f t="shared" ca="1" si="1"/>
        <v/>
      </c>
      <c r="E58" t="str">
        <f t="shared" ca="1" si="2"/>
        <v/>
      </c>
      <c r="M58">
        <f t="shared" ca="1" si="3"/>
        <v>0.17856591701492985</v>
      </c>
      <c r="N58">
        <f t="shared" ca="1" si="4"/>
        <v>0.46986125499002307</v>
      </c>
      <c r="O58" t="str">
        <f t="shared" ca="1" si="5"/>
        <v/>
      </c>
      <c r="P58">
        <f t="shared" ca="1" si="6"/>
        <v>1</v>
      </c>
    </row>
    <row r="59" spans="1:16" x14ac:dyDescent="0.25">
      <c r="A59">
        <v>72</v>
      </c>
      <c r="B59">
        <v>1</v>
      </c>
      <c r="C59" t="str">
        <f t="shared" ca="1" si="0"/>
        <v/>
      </c>
      <c r="D59" t="str">
        <f t="shared" ca="1" si="1"/>
        <v/>
      </c>
      <c r="E59" t="str">
        <f t="shared" ca="1" si="2"/>
        <v/>
      </c>
      <c r="M59">
        <f t="shared" ca="1" si="3"/>
        <v>0.69522490998636177</v>
      </c>
      <c r="N59">
        <f t="shared" ca="1" si="4"/>
        <v>0.81004102723140659</v>
      </c>
      <c r="O59" t="str">
        <f t="shared" ca="1" si="5"/>
        <v/>
      </c>
      <c r="P59" t="str">
        <f t="shared" ca="1" si="6"/>
        <v/>
      </c>
    </row>
    <row r="60" spans="1:16" x14ac:dyDescent="0.25">
      <c r="A60">
        <v>74</v>
      </c>
      <c r="B60">
        <v>1</v>
      </c>
      <c r="C60" t="str">
        <f t="shared" ca="1" si="0"/>
        <v/>
      </c>
      <c r="D60" t="str">
        <f t="shared" ca="1" si="1"/>
        <v/>
      </c>
      <c r="E60" t="str">
        <f t="shared" ca="1" si="2"/>
        <v/>
      </c>
      <c r="M60">
        <f t="shared" ca="1" si="3"/>
        <v>0.94102502268612032</v>
      </c>
      <c r="N60">
        <f t="shared" ca="1" si="4"/>
        <v>0.65758921097474365</v>
      </c>
      <c r="O60" t="str">
        <f t="shared" ca="1" si="5"/>
        <v/>
      </c>
      <c r="P60" t="str">
        <f t="shared" ca="1" si="6"/>
        <v/>
      </c>
    </row>
    <row r="61" spans="1:16" x14ac:dyDescent="0.25">
      <c r="A61">
        <v>190</v>
      </c>
      <c r="B61">
        <v>2</v>
      </c>
      <c r="C61" t="str">
        <f t="shared" ca="1" si="0"/>
        <v/>
      </c>
      <c r="D61" t="str">
        <f t="shared" ca="1" si="1"/>
        <v/>
      </c>
      <c r="E61" t="str">
        <f t="shared" ca="1" si="2"/>
        <v/>
      </c>
      <c r="M61">
        <f t="shared" ca="1" si="3"/>
        <v>0.26316664527359601</v>
      </c>
      <c r="N61" t="str">
        <f t="shared" ca="1" si="4"/>
        <v/>
      </c>
      <c r="O61">
        <f t="shared" ca="1" si="5"/>
        <v>0.48563843731990786</v>
      </c>
      <c r="P61" t="str">
        <f t="shared" ca="1" si="6"/>
        <v/>
      </c>
    </row>
    <row r="62" spans="1:16" x14ac:dyDescent="0.25">
      <c r="A62">
        <v>240</v>
      </c>
      <c r="B62">
        <v>2</v>
      </c>
      <c r="C62">
        <f t="shared" ca="1" si="0"/>
        <v>240</v>
      </c>
      <c r="D62" t="str">
        <f t="shared" ca="1" si="1"/>
        <v/>
      </c>
      <c r="E62" t="str">
        <f t="shared" ca="1" si="2"/>
        <v/>
      </c>
      <c r="M62">
        <f t="shared" ca="1" si="3"/>
        <v>0.16313407439353889</v>
      </c>
      <c r="N62" t="str">
        <f t="shared" ca="1" si="4"/>
        <v/>
      </c>
      <c r="O62">
        <f t="shared" ca="1" si="5"/>
        <v>0.99179651794232737</v>
      </c>
      <c r="P62" t="str">
        <f t="shared" ca="1" si="6"/>
        <v/>
      </c>
    </row>
    <row r="63" spans="1:16" x14ac:dyDescent="0.25">
      <c r="A63">
        <v>46</v>
      </c>
      <c r="B63">
        <v>1</v>
      </c>
      <c r="C63">
        <f t="shared" ca="1" si="0"/>
        <v>46</v>
      </c>
      <c r="D63" t="str">
        <f t="shared" ca="1" si="1"/>
        <v/>
      </c>
      <c r="E63" t="str">
        <f t="shared" ca="1" si="2"/>
        <v/>
      </c>
      <c r="M63">
        <f t="shared" ca="1" si="3"/>
        <v>9.1016505793591107E-2</v>
      </c>
      <c r="N63">
        <f t="shared" ca="1" si="4"/>
        <v>0.39008363493821663</v>
      </c>
      <c r="O63" t="str">
        <f t="shared" ca="1" si="5"/>
        <v/>
      </c>
      <c r="P63">
        <f t="shared" ca="1" si="6"/>
        <v>1</v>
      </c>
    </row>
    <row r="64" spans="1:16" x14ac:dyDescent="0.25">
      <c r="A64">
        <v>85</v>
      </c>
      <c r="B64">
        <v>1</v>
      </c>
      <c r="C64" t="str">
        <f t="shared" ca="1" si="0"/>
        <v/>
      </c>
      <c r="D64" t="str">
        <f t="shared" ca="1" si="1"/>
        <v/>
      </c>
      <c r="E64" t="str">
        <f t="shared" ca="1" si="2"/>
        <v/>
      </c>
      <c r="M64">
        <f t="shared" ca="1" si="3"/>
        <v>0.77088415321457449</v>
      </c>
      <c r="N64">
        <f t="shared" ca="1" si="4"/>
        <v>0.63697576883178186</v>
      </c>
      <c r="O64" t="str">
        <f t="shared" ca="1" si="5"/>
        <v/>
      </c>
      <c r="P64" t="str">
        <f t="shared" ca="1" si="6"/>
        <v/>
      </c>
    </row>
    <row r="65" spans="1:16" x14ac:dyDescent="0.25">
      <c r="A65">
        <v>67</v>
      </c>
      <c r="B65">
        <v>1</v>
      </c>
      <c r="C65">
        <f t="shared" ca="1" si="0"/>
        <v>67</v>
      </c>
      <c r="D65" t="str">
        <f t="shared" ca="1" si="1"/>
        <v/>
      </c>
      <c r="E65" t="str">
        <f t="shared" ca="1" si="2"/>
        <v/>
      </c>
      <c r="M65">
        <f t="shared" ca="1" si="3"/>
        <v>0.23857035677420335</v>
      </c>
      <c r="N65">
        <f t="shared" ca="1" si="4"/>
        <v>0.26682116180439308</v>
      </c>
      <c r="O65" t="str">
        <f t="shared" ca="1" si="5"/>
        <v/>
      </c>
      <c r="P65">
        <f t="shared" ca="1" si="6"/>
        <v>1</v>
      </c>
    </row>
    <row r="66" spans="1:16" x14ac:dyDescent="0.25">
      <c r="A66">
        <v>65</v>
      </c>
      <c r="B66">
        <v>2</v>
      </c>
      <c r="C66" t="str">
        <f t="shared" ca="1" si="0"/>
        <v/>
      </c>
      <c r="D66" t="str">
        <f t="shared" ca="1" si="1"/>
        <v/>
      </c>
      <c r="E66" t="str">
        <f t="shared" ca="1" si="2"/>
        <v/>
      </c>
      <c r="M66">
        <f t="shared" ca="1" si="3"/>
        <v>0.98937416919384491</v>
      </c>
      <c r="N66" t="str">
        <f t="shared" ca="1" si="4"/>
        <v/>
      </c>
      <c r="O66">
        <f t="shared" ca="1" si="5"/>
        <v>0.72911384989890549</v>
      </c>
      <c r="P66" t="str">
        <f t="shared" ca="1" si="6"/>
        <v/>
      </c>
    </row>
    <row r="67" spans="1:16" x14ac:dyDescent="0.25">
      <c r="A67">
        <v>67</v>
      </c>
      <c r="B67">
        <v>1</v>
      </c>
      <c r="C67" t="str">
        <f t="shared" ca="1" si="0"/>
        <v/>
      </c>
      <c r="D67" t="str">
        <f t="shared" ca="1" si="1"/>
        <v/>
      </c>
      <c r="E67" t="str">
        <f t="shared" ca="1" si="2"/>
        <v/>
      </c>
      <c r="M67">
        <f t="shared" ca="1" si="3"/>
        <v>0.64775922498060834</v>
      </c>
      <c r="N67">
        <f t="shared" ca="1" si="4"/>
        <v>0.26904794548172173</v>
      </c>
      <c r="O67" t="str">
        <f t="shared" ca="1" si="5"/>
        <v/>
      </c>
      <c r="P67" t="str">
        <f t="shared" ca="1" si="6"/>
        <v/>
      </c>
    </row>
    <row r="68" spans="1:16" x14ac:dyDescent="0.25">
      <c r="A68">
        <v>131</v>
      </c>
      <c r="B68">
        <v>2</v>
      </c>
      <c r="C68" t="str">
        <f t="shared" ca="1" si="0"/>
        <v/>
      </c>
      <c r="D68" t="str">
        <f t="shared" ca="1" si="1"/>
        <v/>
      </c>
      <c r="E68" t="str">
        <f t="shared" ca="1" si="2"/>
        <v/>
      </c>
      <c r="M68">
        <f t="shared" ca="1" si="3"/>
        <v>0.70848261069433671</v>
      </c>
      <c r="N68" t="str">
        <f t="shared" ca="1" si="4"/>
        <v/>
      </c>
      <c r="O68">
        <f t="shared" ca="1" si="5"/>
        <v>0.3744645610986016</v>
      </c>
      <c r="P68" t="str">
        <f t="shared" ca="1" si="6"/>
        <v/>
      </c>
    </row>
    <row r="69" spans="1:16" x14ac:dyDescent="0.25">
      <c r="A69">
        <v>87</v>
      </c>
      <c r="B69">
        <v>1</v>
      </c>
      <c r="C69" t="str">
        <f t="shared" ca="1" si="0"/>
        <v/>
      </c>
      <c r="D69">
        <f t="shared" ca="1" si="1"/>
        <v>87</v>
      </c>
      <c r="E69" t="str">
        <f t="shared" ca="1" si="2"/>
        <v/>
      </c>
      <c r="M69">
        <f t="shared" ca="1" si="3"/>
        <v>0.7463648898436015</v>
      </c>
      <c r="N69">
        <f t="shared" ca="1" si="4"/>
        <v>0.13336867221981152</v>
      </c>
      <c r="O69" t="str">
        <f t="shared" ca="1" si="5"/>
        <v/>
      </c>
      <c r="P69" t="str">
        <f t="shared" ca="1" si="6"/>
        <v/>
      </c>
    </row>
    <row r="70" spans="1:16" x14ac:dyDescent="0.25">
      <c r="A70">
        <v>77</v>
      </c>
      <c r="B70">
        <v>1</v>
      </c>
      <c r="C70" t="str">
        <f t="shared" ca="1" si="0"/>
        <v/>
      </c>
      <c r="D70">
        <f t="shared" ca="1" si="1"/>
        <v>77</v>
      </c>
      <c r="E70" t="str">
        <f t="shared" ca="1" si="2"/>
        <v/>
      </c>
      <c r="M70">
        <f t="shared" ca="1" si="3"/>
        <v>0.9736189476449848</v>
      </c>
      <c r="N70">
        <f t="shared" ca="1" si="4"/>
        <v>0.12046591521401706</v>
      </c>
      <c r="O70" t="str">
        <f t="shared" ca="1" si="5"/>
        <v/>
      </c>
      <c r="P70" t="str">
        <f t="shared" ca="1" si="6"/>
        <v/>
      </c>
    </row>
    <row r="71" spans="1:16" x14ac:dyDescent="0.25">
      <c r="A71">
        <v>122</v>
      </c>
      <c r="B71">
        <v>2</v>
      </c>
      <c r="C71" t="str">
        <f t="shared" ca="1" si="0"/>
        <v/>
      </c>
      <c r="D71" t="str">
        <f t="shared" ca="1" si="1"/>
        <v/>
      </c>
      <c r="E71" t="str">
        <f t="shared" ca="1" si="2"/>
        <v/>
      </c>
      <c r="M71">
        <f t="shared" ca="1" si="3"/>
        <v>0.95115695084041452</v>
      </c>
      <c r="N71" t="str">
        <f t="shared" ca="1" si="4"/>
        <v/>
      </c>
      <c r="O71">
        <f t="shared" ca="1" si="5"/>
        <v>0.70022686275821311</v>
      </c>
      <c r="P71" t="str">
        <f t="shared" ca="1" si="6"/>
        <v/>
      </c>
    </row>
    <row r="72" spans="1:16" x14ac:dyDescent="0.25">
      <c r="A72">
        <v>52</v>
      </c>
      <c r="B72">
        <v>1</v>
      </c>
      <c r="C72" t="str">
        <f t="shared" ca="1" si="0"/>
        <v/>
      </c>
      <c r="D72" t="str">
        <f t="shared" ca="1" si="1"/>
        <v/>
      </c>
      <c r="E72" t="str">
        <f t="shared" ca="1" si="2"/>
        <v/>
      </c>
      <c r="M72">
        <f t="shared" ca="1" si="3"/>
        <v>0.92246585727171726</v>
      </c>
      <c r="N72">
        <f t="shared" ca="1" si="4"/>
        <v>0.48648558001506392</v>
      </c>
      <c r="O72" t="str">
        <f t="shared" ca="1" si="5"/>
        <v/>
      </c>
      <c r="P72" t="str">
        <f t="shared" ca="1" si="6"/>
        <v/>
      </c>
    </row>
    <row r="73" spans="1:16" x14ac:dyDescent="0.25">
      <c r="A73">
        <v>68</v>
      </c>
      <c r="B73">
        <v>2</v>
      </c>
      <c r="C73">
        <f t="shared" ca="1" si="0"/>
        <v>68</v>
      </c>
      <c r="D73" t="str">
        <f t="shared" ca="1" si="1"/>
        <v/>
      </c>
      <c r="E73" t="str">
        <f t="shared" ca="1" si="2"/>
        <v/>
      </c>
      <c r="M73">
        <f t="shared" ca="1" si="3"/>
        <v>0.22893756796367204</v>
      </c>
      <c r="N73" t="str">
        <f t="shared" ca="1" si="4"/>
        <v/>
      </c>
      <c r="O73">
        <f t="shared" ca="1" si="5"/>
        <v>0.68126372006166047</v>
      </c>
      <c r="P73" t="str">
        <f t="shared" ca="1" si="6"/>
        <v/>
      </c>
    </row>
    <row r="74" spans="1:16" x14ac:dyDescent="0.25">
      <c r="A74">
        <v>63</v>
      </c>
      <c r="B74">
        <v>1</v>
      </c>
      <c r="C74" t="str">
        <f t="shared" ca="1" si="0"/>
        <v/>
      </c>
      <c r="D74" t="str">
        <f t="shared" ca="1" si="1"/>
        <v/>
      </c>
      <c r="E74" t="str">
        <f t="shared" ca="1" si="2"/>
        <v/>
      </c>
      <c r="M74">
        <f t="shared" ca="1" si="3"/>
        <v>0.9646592114333401</v>
      </c>
      <c r="N74">
        <f t="shared" ca="1" si="4"/>
        <v>0.86957533362056705</v>
      </c>
      <c r="O74" t="str">
        <f t="shared" ca="1" si="5"/>
        <v/>
      </c>
      <c r="P74" t="str">
        <f t="shared" ca="1" si="6"/>
        <v/>
      </c>
    </row>
    <row r="75" spans="1:16" x14ac:dyDescent="0.25">
      <c r="A75">
        <v>78</v>
      </c>
      <c r="B75">
        <v>1</v>
      </c>
      <c r="C75">
        <f t="shared" ref="C75:C138" ca="1" si="7">IF(M75&lt;=PERCENTILE($M$11:$M$210,$C$7/COUNT($B$11:$B$210)),A75,"")</f>
        <v>78</v>
      </c>
      <c r="D75" t="str">
        <f t="shared" ref="D75:D138" ca="1" si="8">IF(N75&lt;=PERCENTILE($N$11:$N$210,$D$7/$D$4),A75,"")</f>
        <v/>
      </c>
      <c r="E75" t="str">
        <f t="shared" ref="E75:E138" ca="1" si="9">IF(O75&lt;=PERCENTILE($O$11:$O$210,$E$7/$E$4),A75,"")</f>
        <v/>
      </c>
      <c r="M75">
        <f t="shared" ref="M75:M138" ca="1" si="10">RAND()</f>
        <v>0.25543032378788244</v>
      </c>
      <c r="N75">
        <f t="shared" ref="N75:N138" ca="1" si="11">IF(B75=$D$2,RAND(),"")</f>
        <v>0.92867024668683651</v>
      </c>
      <c r="O75" t="str">
        <f t="shared" ref="O75:O138" ca="1" si="12">IF(B75=$E$2,RAND(),"")</f>
        <v/>
      </c>
      <c r="P75">
        <f t="shared" ref="P75:P138" ca="1" si="13">IF(AND(C75&lt;&gt;"",B75=1),B75,"")</f>
        <v>1</v>
      </c>
    </row>
    <row r="76" spans="1:16" x14ac:dyDescent="0.25">
      <c r="A76">
        <v>166</v>
      </c>
      <c r="B76">
        <v>2</v>
      </c>
      <c r="C76" t="str">
        <f t="shared" ca="1" si="7"/>
        <v/>
      </c>
      <c r="D76" t="str">
        <f t="shared" ca="1" si="8"/>
        <v/>
      </c>
      <c r="E76" t="str">
        <f t="shared" ca="1" si="9"/>
        <v/>
      </c>
      <c r="M76">
        <f t="shared" ca="1" si="10"/>
        <v>0.80831395314931453</v>
      </c>
      <c r="N76" t="str">
        <f t="shared" ca="1" si="11"/>
        <v/>
      </c>
      <c r="O76">
        <f t="shared" ca="1" si="12"/>
        <v>0.43330519198578044</v>
      </c>
      <c r="P76" t="str">
        <f t="shared" ca="1" si="13"/>
        <v/>
      </c>
    </row>
    <row r="77" spans="1:16" x14ac:dyDescent="0.25">
      <c r="A77">
        <v>118</v>
      </c>
      <c r="B77">
        <v>1</v>
      </c>
      <c r="C77">
        <f t="shared" ca="1" si="7"/>
        <v>118</v>
      </c>
      <c r="D77" t="str">
        <f t="shared" ca="1" si="8"/>
        <v/>
      </c>
      <c r="E77" t="str">
        <f t="shared" ca="1" si="9"/>
        <v/>
      </c>
      <c r="M77">
        <f t="shared" ca="1" si="10"/>
        <v>0.14519536010193479</v>
      </c>
      <c r="N77">
        <f t="shared" ca="1" si="11"/>
        <v>0.88848461905707887</v>
      </c>
      <c r="O77" t="str">
        <f t="shared" ca="1" si="12"/>
        <v/>
      </c>
      <c r="P77">
        <f t="shared" ca="1" si="13"/>
        <v>1</v>
      </c>
    </row>
    <row r="78" spans="1:16" x14ac:dyDescent="0.25">
      <c r="A78">
        <v>105</v>
      </c>
      <c r="B78">
        <v>2</v>
      </c>
      <c r="C78" t="str">
        <f t="shared" ca="1" si="7"/>
        <v/>
      </c>
      <c r="D78" t="str">
        <f t="shared" ca="1" si="8"/>
        <v/>
      </c>
      <c r="E78" t="str">
        <f t="shared" ca="1" si="9"/>
        <v/>
      </c>
      <c r="M78">
        <f t="shared" ca="1" si="10"/>
        <v>0.93999024046894974</v>
      </c>
      <c r="N78" t="str">
        <f t="shared" ca="1" si="11"/>
        <v/>
      </c>
      <c r="O78">
        <f t="shared" ca="1" si="12"/>
        <v>0.32062175683717753</v>
      </c>
      <c r="P78" t="str">
        <f t="shared" ca="1" si="13"/>
        <v/>
      </c>
    </row>
    <row r="79" spans="1:16" x14ac:dyDescent="0.25">
      <c r="A79">
        <v>67</v>
      </c>
      <c r="B79">
        <v>1</v>
      </c>
      <c r="C79">
        <f t="shared" ca="1" si="7"/>
        <v>67</v>
      </c>
      <c r="D79" t="str">
        <f t="shared" ca="1" si="8"/>
        <v/>
      </c>
      <c r="E79" t="str">
        <f t="shared" ca="1" si="9"/>
        <v/>
      </c>
      <c r="M79">
        <f t="shared" ca="1" si="10"/>
        <v>0.16461868452161277</v>
      </c>
      <c r="N79">
        <f t="shared" ca="1" si="11"/>
        <v>0.38972600468114615</v>
      </c>
      <c r="O79" t="str">
        <f t="shared" ca="1" si="12"/>
        <v/>
      </c>
      <c r="P79">
        <f t="shared" ca="1" si="13"/>
        <v>1</v>
      </c>
    </row>
    <row r="80" spans="1:16" x14ac:dyDescent="0.25">
      <c r="A80">
        <v>40</v>
      </c>
      <c r="B80">
        <v>1</v>
      </c>
      <c r="C80">
        <f t="shared" ca="1" si="7"/>
        <v>40</v>
      </c>
      <c r="D80">
        <f t="shared" ca="1" si="8"/>
        <v>40</v>
      </c>
      <c r="E80" t="str">
        <f t="shared" ca="1" si="9"/>
        <v/>
      </c>
      <c r="M80">
        <f t="shared" ca="1" si="10"/>
        <v>7.2981075389033645E-4</v>
      </c>
      <c r="N80">
        <f t="shared" ca="1" si="11"/>
        <v>9.6975288826999018E-2</v>
      </c>
      <c r="O80" t="str">
        <f t="shared" ca="1" si="12"/>
        <v/>
      </c>
      <c r="P80">
        <f t="shared" ca="1" si="13"/>
        <v>1</v>
      </c>
    </row>
    <row r="81" spans="1:16" x14ac:dyDescent="0.25">
      <c r="A81">
        <v>109</v>
      </c>
      <c r="B81">
        <v>2</v>
      </c>
      <c r="C81" t="str">
        <f t="shared" ca="1" si="7"/>
        <v/>
      </c>
      <c r="D81" t="str">
        <f t="shared" ca="1" si="8"/>
        <v/>
      </c>
      <c r="E81" t="str">
        <f t="shared" ca="1" si="9"/>
        <v/>
      </c>
      <c r="M81">
        <f t="shared" ca="1" si="10"/>
        <v>0.71370444110726972</v>
      </c>
      <c r="N81" t="str">
        <f t="shared" ca="1" si="11"/>
        <v/>
      </c>
      <c r="O81">
        <f t="shared" ca="1" si="12"/>
        <v>0.37672023577453007</v>
      </c>
      <c r="P81" t="str">
        <f t="shared" ca="1" si="13"/>
        <v/>
      </c>
    </row>
    <row r="82" spans="1:16" x14ac:dyDescent="0.25">
      <c r="A82">
        <v>55</v>
      </c>
      <c r="B82">
        <v>1</v>
      </c>
      <c r="C82" t="str">
        <f t="shared" ca="1" si="7"/>
        <v/>
      </c>
      <c r="D82" t="str">
        <f t="shared" ca="1" si="8"/>
        <v/>
      </c>
      <c r="E82" t="str">
        <f t="shared" ca="1" si="9"/>
        <v/>
      </c>
      <c r="M82">
        <f t="shared" ca="1" si="10"/>
        <v>0.92518273222301595</v>
      </c>
      <c r="N82">
        <f t="shared" ca="1" si="11"/>
        <v>0.85373733405478103</v>
      </c>
      <c r="O82" t="str">
        <f t="shared" ca="1" si="12"/>
        <v/>
      </c>
      <c r="P82" t="str">
        <f t="shared" ca="1" si="13"/>
        <v/>
      </c>
    </row>
    <row r="83" spans="1:16" x14ac:dyDescent="0.25">
      <c r="A83">
        <v>49</v>
      </c>
      <c r="B83">
        <v>1</v>
      </c>
      <c r="C83" t="str">
        <f t="shared" ca="1" si="7"/>
        <v/>
      </c>
      <c r="D83" t="str">
        <f t="shared" ca="1" si="8"/>
        <v/>
      </c>
      <c r="E83" t="str">
        <f t="shared" ca="1" si="9"/>
        <v/>
      </c>
      <c r="M83">
        <f t="shared" ca="1" si="10"/>
        <v>0.31475074777700918</v>
      </c>
      <c r="N83">
        <f t="shared" ca="1" si="11"/>
        <v>0.91998617421301954</v>
      </c>
      <c r="O83" t="str">
        <f t="shared" ca="1" si="12"/>
        <v/>
      </c>
      <c r="P83" t="str">
        <f t="shared" ca="1" si="13"/>
        <v/>
      </c>
    </row>
    <row r="84" spans="1:16" x14ac:dyDescent="0.25">
      <c r="A84">
        <v>89</v>
      </c>
      <c r="B84">
        <v>2</v>
      </c>
      <c r="C84">
        <f t="shared" ca="1" si="7"/>
        <v>89</v>
      </c>
      <c r="D84" t="str">
        <f t="shared" ca="1" si="8"/>
        <v/>
      </c>
      <c r="E84" t="str">
        <f t="shared" ca="1" si="9"/>
        <v/>
      </c>
      <c r="M84">
        <f t="shared" ca="1" si="10"/>
        <v>3.7628447674069698E-2</v>
      </c>
      <c r="N84" t="str">
        <f t="shared" ca="1" si="11"/>
        <v/>
      </c>
      <c r="O84">
        <f t="shared" ca="1" si="12"/>
        <v>0.99762720442316499</v>
      </c>
      <c r="P84" t="str">
        <f t="shared" ca="1" si="13"/>
        <v/>
      </c>
    </row>
    <row r="85" spans="1:16" x14ac:dyDescent="0.25">
      <c r="A85">
        <v>73</v>
      </c>
      <c r="B85">
        <v>1</v>
      </c>
      <c r="C85" t="str">
        <f t="shared" ca="1" si="7"/>
        <v/>
      </c>
      <c r="D85" t="str">
        <f t="shared" ca="1" si="8"/>
        <v/>
      </c>
      <c r="E85" t="str">
        <f t="shared" ca="1" si="9"/>
        <v/>
      </c>
      <c r="M85">
        <f t="shared" ca="1" si="10"/>
        <v>0.47975970783698774</v>
      </c>
      <c r="N85">
        <f t="shared" ca="1" si="11"/>
        <v>0.31223074415065544</v>
      </c>
      <c r="O85" t="str">
        <f t="shared" ca="1" si="12"/>
        <v/>
      </c>
      <c r="P85" t="str">
        <f t="shared" ca="1" si="13"/>
        <v/>
      </c>
    </row>
    <row r="86" spans="1:16" x14ac:dyDescent="0.25">
      <c r="A86">
        <v>40</v>
      </c>
      <c r="B86">
        <v>1</v>
      </c>
      <c r="C86" t="str">
        <f t="shared" ca="1" si="7"/>
        <v/>
      </c>
      <c r="D86" t="str">
        <f t="shared" ca="1" si="8"/>
        <v/>
      </c>
      <c r="E86" t="str">
        <f t="shared" ca="1" si="9"/>
        <v/>
      </c>
      <c r="M86">
        <f t="shared" ca="1" si="10"/>
        <v>0.63733890090910283</v>
      </c>
      <c r="N86">
        <f t="shared" ca="1" si="11"/>
        <v>0.9982317700465615</v>
      </c>
      <c r="O86" t="str">
        <f t="shared" ca="1" si="12"/>
        <v/>
      </c>
      <c r="P86" t="str">
        <f t="shared" ca="1" si="13"/>
        <v/>
      </c>
    </row>
    <row r="87" spans="1:16" x14ac:dyDescent="0.25">
      <c r="A87">
        <v>53</v>
      </c>
      <c r="B87">
        <v>2</v>
      </c>
      <c r="C87">
        <f t="shared" ca="1" si="7"/>
        <v>53</v>
      </c>
      <c r="D87" t="str">
        <f t="shared" ca="1" si="8"/>
        <v/>
      </c>
      <c r="E87" t="str">
        <f t="shared" ca="1" si="9"/>
        <v/>
      </c>
      <c r="M87">
        <f t="shared" ca="1" si="10"/>
        <v>5.2311937738080072E-2</v>
      </c>
      <c r="N87" t="str">
        <f t="shared" ca="1" si="11"/>
        <v/>
      </c>
      <c r="O87">
        <f t="shared" ca="1" si="12"/>
        <v>0.96250142170119668</v>
      </c>
      <c r="P87" t="str">
        <f t="shared" ca="1" si="13"/>
        <v/>
      </c>
    </row>
    <row r="88" spans="1:16" x14ac:dyDescent="0.25">
      <c r="A88">
        <v>69</v>
      </c>
      <c r="B88">
        <v>1</v>
      </c>
      <c r="C88" t="str">
        <f t="shared" ca="1" si="7"/>
        <v/>
      </c>
      <c r="D88">
        <f t="shared" ca="1" si="8"/>
        <v>69</v>
      </c>
      <c r="E88" t="str">
        <f t="shared" ca="1" si="9"/>
        <v/>
      </c>
      <c r="M88">
        <f t="shared" ca="1" si="10"/>
        <v>0.68195762607691279</v>
      </c>
      <c r="N88">
        <f t="shared" ca="1" si="11"/>
        <v>0.10593776330321192</v>
      </c>
      <c r="O88" t="str">
        <f t="shared" ca="1" si="12"/>
        <v/>
      </c>
      <c r="P88" t="str">
        <f t="shared" ca="1" si="13"/>
        <v/>
      </c>
    </row>
    <row r="89" spans="1:16" x14ac:dyDescent="0.25">
      <c r="A89">
        <v>82</v>
      </c>
      <c r="B89">
        <v>2</v>
      </c>
      <c r="C89">
        <f t="shared" ca="1" si="7"/>
        <v>82</v>
      </c>
      <c r="D89" t="str">
        <f t="shared" ca="1" si="8"/>
        <v/>
      </c>
      <c r="E89" t="str">
        <f t="shared" ca="1" si="9"/>
        <v/>
      </c>
      <c r="M89">
        <f t="shared" ca="1" si="10"/>
        <v>1.9572398036877603E-2</v>
      </c>
      <c r="N89" t="str">
        <f t="shared" ca="1" si="11"/>
        <v/>
      </c>
      <c r="O89">
        <f t="shared" ca="1" si="12"/>
        <v>0.4947802945125358</v>
      </c>
      <c r="P89" t="str">
        <f t="shared" ca="1" si="13"/>
        <v/>
      </c>
    </row>
    <row r="90" spans="1:16" x14ac:dyDescent="0.25">
      <c r="A90">
        <v>128</v>
      </c>
      <c r="B90">
        <v>2</v>
      </c>
      <c r="C90" t="str">
        <f t="shared" ca="1" si="7"/>
        <v/>
      </c>
      <c r="D90" t="str">
        <f t="shared" ca="1" si="8"/>
        <v/>
      </c>
      <c r="E90" t="str">
        <f t="shared" ca="1" si="9"/>
        <v/>
      </c>
      <c r="M90">
        <f t="shared" ca="1" si="10"/>
        <v>0.35103232202296009</v>
      </c>
      <c r="N90" t="str">
        <f t="shared" ca="1" si="11"/>
        <v/>
      </c>
      <c r="O90">
        <f t="shared" ca="1" si="12"/>
        <v>0.67114769471042568</v>
      </c>
      <c r="P90" t="str">
        <f t="shared" ca="1" si="13"/>
        <v/>
      </c>
    </row>
    <row r="91" spans="1:16" x14ac:dyDescent="0.25">
      <c r="A91">
        <v>81</v>
      </c>
      <c r="B91">
        <v>1</v>
      </c>
      <c r="C91" t="str">
        <f t="shared" ca="1" si="7"/>
        <v/>
      </c>
      <c r="D91" t="str">
        <f t="shared" ca="1" si="8"/>
        <v/>
      </c>
      <c r="E91" t="str">
        <f t="shared" ca="1" si="9"/>
        <v/>
      </c>
      <c r="M91">
        <f t="shared" ca="1" si="10"/>
        <v>0.73603262642476286</v>
      </c>
      <c r="N91">
        <f t="shared" ca="1" si="11"/>
        <v>0.68496236592074089</v>
      </c>
      <c r="O91" t="str">
        <f t="shared" ca="1" si="12"/>
        <v/>
      </c>
      <c r="P91" t="str">
        <f t="shared" ca="1" si="13"/>
        <v/>
      </c>
    </row>
    <row r="92" spans="1:16" x14ac:dyDescent="0.25">
      <c r="A92">
        <v>65</v>
      </c>
      <c r="B92">
        <v>1</v>
      </c>
      <c r="C92">
        <f t="shared" ca="1" si="7"/>
        <v>65</v>
      </c>
      <c r="D92" t="str">
        <f t="shared" ca="1" si="8"/>
        <v/>
      </c>
      <c r="E92" t="str">
        <f t="shared" ca="1" si="9"/>
        <v/>
      </c>
      <c r="M92">
        <f t="shared" ca="1" si="10"/>
        <v>0.21064439023638404</v>
      </c>
      <c r="N92">
        <f t="shared" ca="1" si="11"/>
        <v>0.4681272641716766</v>
      </c>
      <c r="O92" t="str">
        <f t="shared" ca="1" si="12"/>
        <v/>
      </c>
      <c r="P92">
        <f t="shared" ca="1" si="13"/>
        <v>1</v>
      </c>
    </row>
    <row r="93" spans="1:16" x14ac:dyDescent="0.25">
      <c r="A93">
        <v>47</v>
      </c>
      <c r="B93">
        <v>1</v>
      </c>
      <c r="C93">
        <f t="shared" ca="1" si="7"/>
        <v>47</v>
      </c>
      <c r="D93" t="str">
        <f t="shared" ca="1" si="8"/>
        <v/>
      </c>
      <c r="E93" t="str">
        <f t="shared" ca="1" si="9"/>
        <v/>
      </c>
      <c r="M93">
        <f t="shared" ca="1" si="10"/>
        <v>0.11977694913947312</v>
      </c>
      <c r="N93">
        <f t="shared" ca="1" si="11"/>
        <v>0.4542808678206135</v>
      </c>
      <c r="O93" t="str">
        <f t="shared" ca="1" si="12"/>
        <v/>
      </c>
      <c r="P93">
        <f t="shared" ca="1" si="13"/>
        <v>1</v>
      </c>
    </row>
    <row r="94" spans="1:16" x14ac:dyDescent="0.25">
      <c r="A94">
        <v>67</v>
      </c>
      <c r="B94">
        <v>1</v>
      </c>
      <c r="C94" t="str">
        <f t="shared" ca="1" si="7"/>
        <v/>
      </c>
      <c r="D94" t="str">
        <f t="shared" ca="1" si="8"/>
        <v/>
      </c>
      <c r="E94" t="str">
        <f t="shared" ca="1" si="9"/>
        <v/>
      </c>
      <c r="M94">
        <f t="shared" ca="1" si="10"/>
        <v>0.89380619213488233</v>
      </c>
      <c r="N94">
        <f t="shared" ca="1" si="11"/>
        <v>0.56678348084866015</v>
      </c>
      <c r="O94" t="str">
        <f t="shared" ca="1" si="12"/>
        <v/>
      </c>
      <c r="P94" t="str">
        <f t="shared" ca="1" si="13"/>
        <v/>
      </c>
    </row>
    <row r="95" spans="1:16" x14ac:dyDescent="0.25">
      <c r="A95">
        <v>81</v>
      </c>
      <c r="B95">
        <v>1</v>
      </c>
      <c r="C95">
        <f t="shared" ca="1" si="7"/>
        <v>81</v>
      </c>
      <c r="D95" t="str">
        <f t="shared" ca="1" si="8"/>
        <v/>
      </c>
      <c r="E95" t="str">
        <f t="shared" ca="1" si="9"/>
        <v/>
      </c>
      <c r="M95">
        <f t="shared" ca="1" si="10"/>
        <v>2.5982796248977924E-2</v>
      </c>
      <c r="N95">
        <f t="shared" ca="1" si="11"/>
        <v>0.54534034120334685</v>
      </c>
      <c r="O95" t="str">
        <f t="shared" ca="1" si="12"/>
        <v/>
      </c>
      <c r="P95">
        <f t="shared" ca="1" si="13"/>
        <v>1</v>
      </c>
    </row>
    <row r="96" spans="1:16" x14ac:dyDescent="0.25">
      <c r="A96">
        <v>71</v>
      </c>
      <c r="B96">
        <v>1</v>
      </c>
      <c r="C96">
        <f t="shared" ca="1" si="7"/>
        <v>71</v>
      </c>
      <c r="D96">
        <f t="shared" ca="1" si="8"/>
        <v>71</v>
      </c>
      <c r="E96" t="str">
        <f t="shared" ca="1" si="9"/>
        <v/>
      </c>
      <c r="M96">
        <f t="shared" ca="1" si="10"/>
        <v>9.7095976341550982E-2</v>
      </c>
      <c r="N96">
        <f t="shared" ca="1" si="11"/>
        <v>0.14785784189884521</v>
      </c>
      <c r="O96" t="str">
        <f t="shared" ca="1" si="12"/>
        <v/>
      </c>
      <c r="P96">
        <f t="shared" ca="1" si="13"/>
        <v>1</v>
      </c>
    </row>
    <row r="97" spans="1:16" x14ac:dyDescent="0.25">
      <c r="A97">
        <v>93</v>
      </c>
      <c r="B97">
        <v>1</v>
      </c>
      <c r="C97" t="str">
        <f t="shared" ca="1" si="7"/>
        <v/>
      </c>
      <c r="D97" t="str">
        <f t="shared" ca="1" si="8"/>
        <v/>
      </c>
      <c r="E97" t="str">
        <f t="shared" ca="1" si="9"/>
        <v/>
      </c>
      <c r="M97">
        <f t="shared" ca="1" si="10"/>
        <v>0.76856654193354423</v>
      </c>
      <c r="N97">
        <f t="shared" ca="1" si="11"/>
        <v>0.50285066046515614</v>
      </c>
      <c r="O97" t="str">
        <f t="shared" ca="1" si="12"/>
        <v/>
      </c>
      <c r="P97" t="str">
        <f t="shared" ca="1" si="13"/>
        <v/>
      </c>
    </row>
    <row r="98" spans="1:16" x14ac:dyDescent="0.25">
      <c r="A98">
        <v>89</v>
      </c>
      <c r="B98">
        <v>1</v>
      </c>
      <c r="C98" t="str">
        <f t="shared" ca="1" si="7"/>
        <v/>
      </c>
      <c r="D98" t="str">
        <f t="shared" ca="1" si="8"/>
        <v/>
      </c>
      <c r="E98" t="str">
        <f t="shared" ca="1" si="9"/>
        <v/>
      </c>
      <c r="M98">
        <f t="shared" ca="1" si="10"/>
        <v>0.42500648119777718</v>
      </c>
      <c r="N98">
        <f t="shared" ca="1" si="11"/>
        <v>0.5842321820963805</v>
      </c>
      <c r="O98" t="str">
        <f t="shared" ca="1" si="12"/>
        <v/>
      </c>
      <c r="P98" t="str">
        <f t="shared" ca="1" si="13"/>
        <v/>
      </c>
    </row>
    <row r="99" spans="1:16" x14ac:dyDescent="0.25">
      <c r="A99">
        <v>68</v>
      </c>
      <c r="B99">
        <v>1</v>
      </c>
      <c r="C99" t="str">
        <f t="shared" ca="1" si="7"/>
        <v/>
      </c>
      <c r="D99" t="str">
        <f t="shared" ca="1" si="8"/>
        <v/>
      </c>
      <c r="E99" t="str">
        <f t="shared" ca="1" si="9"/>
        <v/>
      </c>
      <c r="M99">
        <f t="shared" ca="1" si="10"/>
        <v>0.57791751774815969</v>
      </c>
      <c r="N99">
        <f t="shared" ca="1" si="11"/>
        <v>0.68319109502637165</v>
      </c>
      <c r="O99" t="str">
        <f t="shared" ca="1" si="12"/>
        <v/>
      </c>
      <c r="P99" t="str">
        <f t="shared" ca="1" si="13"/>
        <v/>
      </c>
    </row>
    <row r="100" spans="1:16" x14ac:dyDescent="0.25">
      <c r="A100">
        <v>32</v>
      </c>
      <c r="B100">
        <v>1</v>
      </c>
      <c r="C100" t="str">
        <f t="shared" ca="1" si="7"/>
        <v/>
      </c>
      <c r="D100" t="str">
        <f t="shared" ca="1" si="8"/>
        <v/>
      </c>
      <c r="E100" t="str">
        <f t="shared" ca="1" si="9"/>
        <v/>
      </c>
      <c r="M100">
        <f t="shared" ca="1" si="10"/>
        <v>0.58338457432771518</v>
      </c>
      <c r="N100">
        <f t="shared" ca="1" si="11"/>
        <v>0.65506420985273017</v>
      </c>
      <c r="O100" t="str">
        <f t="shared" ca="1" si="12"/>
        <v/>
      </c>
      <c r="P100" t="str">
        <f t="shared" ca="1" si="13"/>
        <v/>
      </c>
    </row>
    <row r="101" spans="1:16" x14ac:dyDescent="0.25">
      <c r="A101">
        <v>82</v>
      </c>
      <c r="B101">
        <v>1</v>
      </c>
      <c r="C101" t="str">
        <f t="shared" ca="1" si="7"/>
        <v/>
      </c>
      <c r="D101" t="str">
        <f t="shared" ca="1" si="8"/>
        <v/>
      </c>
      <c r="E101" t="str">
        <f t="shared" ca="1" si="9"/>
        <v/>
      </c>
      <c r="M101">
        <f t="shared" ca="1" si="10"/>
        <v>0.71474523044045901</v>
      </c>
      <c r="N101">
        <f t="shared" ca="1" si="11"/>
        <v>0.36957519022020668</v>
      </c>
      <c r="O101" t="str">
        <f t="shared" ca="1" si="12"/>
        <v/>
      </c>
      <c r="P101" t="str">
        <f t="shared" ca="1" si="13"/>
        <v/>
      </c>
    </row>
    <row r="102" spans="1:16" x14ac:dyDescent="0.25">
      <c r="A102">
        <v>130</v>
      </c>
      <c r="B102">
        <v>2</v>
      </c>
      <c r="C102" t="str">
        <f t="shared" ca="1" si="7"/>
        <v/>
      </c>
      <c r="D102" t="str">
        <f t="shared" ca="1" si="8"/>
        <v/>
      </c>
      <c r="E102" t="str">
        <f t="shared" ca="1" si="9"/>
        <v/>
      </c>
      <c r="M102">
        <f t="shared" ca="1" si="10"/>
        <v>0.76258984812921748</v>
      </c>
      <c r="N102" t="str">
        <f t="shared" ca="1" si="11"/>
        <v/>
      </c>
      <c r="O102">
        <f t="shared" ca="1" si="12"/>
        <v>0.44458681282242862</v>
      </c>
      <c r="P102" t="str">
        <f t="shared" ca="1" si="13"/>
        <v/>
      </c>
    </row>
    <row r="103" spans="1:16" x14ac:dyDescent="0.25">
      <c r="A103">
        <v>69</v>
      </c>
      <c r="B103">
        <v>1</v>
      </c>
      <c r="C103" t="str">
        <f t="shared" ca="1" si="7"/>
        <v/>
      </c>
      <c r="D103">
        <f t="shared" ca="1" si="8"/>
        <v>69</v>
      </c>
      <c r="E103" t="str">
        <f t="shared" ca="1" si="9"/>
        <v/>
      </c>
      <c r="M103">
        <f t="shared" ca="1" si="10"/>
        <v>0.84979562466353609</v>
      </c>
      <c r="N103">
        <f t="shared" ca="1" si="11"/>
        <v>0.12260417507394616</v>
      </c>
      <c r="O103" t="str">
        <f t="shared" ca="1" si="12"/>
        <v/>
      </c>
      <c r="P103" t="str">
        <f t="shared" ca="1" si="13"/>
        <v/>
      </c>
    </row>
    <row r="104" spans="1:16" x14ac:dyDescent="0.25">
      <c r="A104">
        <v>80</v>
      </c>
      <c r="B104">
        <v>1</v>
      </c>
      <c r="C104">
        <f t="shared" ca="1" si="7"/>
        <v>80</v>
      </c>
      <c r="D104" t="str">
        <f t="shared" ca="1" si="8"/>
        <v/>
      </c>
      <c r="E104" t="str">
        <f t="shared" ca="1" si="9"/>
        <v/>
      </c>
      <c r="M104">
        <f t="shared" ca="1" si="10"/>
        <v>0.26008292922522136</v>
      </c>
      <c r="N104">
        <f t="shared" ca="1" si="11"/>
        <v>0.8667148003727424</v>
      </c>
      <c r="O104" t="str">
        <f t="shared" ca="1" si="12"/>
        <v/>
      </c>
      <c r="P104">
        <f t="shared" ca="1" si="13"/>
        <v>1</v>
      </c>
    </row>
    <row r="105" spans="1:16" x14ac:dyDescent="0.25">
      <c r="A105">
        <v>94</v>
      </c>
      <c r="B105">
        <v>2</v>
      </c>
      <c r="C105" t="str">
        <f t="shared" ca="1" si="7"/>
        <v/>
      </c>
      <c r="D105" t="str">
        <f t="shared" ca="1" si="8"/>
        <v/>
      </c>
      <c r="E105" t="str">
        <f t="shared" ca="1" si="9"/>
        <v/>
      </c>
      <c r="M105">
        <f t="shared" ca="1" si="10"/>
        <v>0.85429959968128932</v>
      </c>
      <c r="N105" t="str">
        <f t="shared" ca="1" si="11"/>
        <v/>
      </c>
      <c r="O105">
        <f t="shared" ca="1" si="12"/>
        <v>0.9407875459428775</v>
      </c>
      <c r="P105" t="str">
        <f t="shared" ca="1" si="13"/>
        <v/>
      </c>
    </row>
    <row r="106" spans="1:16" x14ac:dyDescent="0.25">
      <c r="A106">
        <v>75</v>
      </c>
      <c r="B106">
        <v>1</v>
      </c>
      <c r="C106" t="str">
        <f t="shared" ca="1" si="7"/>
        <v/>
      </c>
      <c r="D106">
        <f t="shared" ca="1" si="8"/>
        <v>75</v>
      </c>
      <c r="E106" t="str">
        <f t="shared" ca="1" si="9"/>
        <v/>
      </c>
      <c r="M106">
        <f t="shared" ca="1" si="10"/>
        <v>0.4910824954675681</v>
      </c>
      <c r="N106">
        <f t="shared" ca="1" si="11"/>
        <v>0.14500119390603294</v>
      </c>
      <c r="O106" t="str">
        <f t="shared" ca="1" si="12"/>
        <v/>
      </c>
      <c r="P106" t="str">
        <f t="shared" ca="1" si="13"/>
        <v/>
      </c>
    </row>
    <row r="107" spans="1:16" x14ac:dyDescent="0.25">
      <c r="A107">
        <v>48</v>
      </c>
      <c r="B107">
        <v>1</v>
      </c>
      <c r="C107" t="str">
        <f t="shared" ca="1" si="7"/>
        <v/>
      </c>
      <c r="D107" t="str">
        <f t="shared" ca="1" si="8"/>
        <v/>
      </c>
      <c r="E107" t="str">
        <f t="shared" ca="1" si="9"/>
        <v/>
      </c>
      <c r="M107">
        <f t="shared" ca="1" si="10"/>
        <v>0.43403785258050165</v>
      </c>
      <c r="N107">
        <f t="shared" ca="1" si="11"/>
        <v>0.86609067116664173</v>
      </c>
      <c r="O107" t="str">
        <f t="shared" ca="1" si="12"/>
        <v/>
      </c>
      <c r="P107" t="str">
        <f t="shared" ca="1" si="13"/>
        <v/>
      </c>
    </row>
    <row r="108" spans="1:16" x14ac:dyDescent="0.25">
      <c r="A108">
        <v>96</v>
      </c>
      <c r="B108">
        <v>2</v>
      </c>
      <c r="C108">
        <f t="shared" ca="1" si="7"/>
        <v>96</v>
      </c>
      <c r="D108" t="str">
        <f t="shared" ca="1" si="8"/>
        <v/>
      </c>
      <c r="E108" t="str">
        <f t="shared" ca="1" si="9"/>
        <v/>
      </c>
      <c r="M108">
        <f t="shared" ca="1" si="10"/>
        <v>0.17626996003159268</v>
      </c>
      <c r="N108" t="str">
        <f t="shared" ca="1" si="11"/>
        <v/>
      </c>
      <c r="O108">
        <f t="shared" ca="1" si="12"/>
        <v>0.56100352266131936</v>
      </c>
      <c r="P108" t="str">
        <f t="shared" ca="1" si="13"/>
        <v/>
      </c>
    </row>
    <row r="109" spans="1:16" x14ac:dyDescent="0.25">
      <c r="A109">
        <v>72</v>
      </c>
      <c r="B109">
        <v>1</v>
      </c>
      <c r="C109" t="str">
        <f t="shared" ca="1" si="7"/>
        <v/>
      </c>
      <c r="D109">
        <f t="shared" ca="1" si="8"/>
        <v>72</v>
      </c>
      <c r="E109" t="str">
        <f t="shared" ca="1" si="9"/>
        <v/>
      </c>
      <c r="M109">
        <f t="shared" ca="1" si="10"/>
        <v>0.61967989362426745</v>
      </c>
      <c r="N109">
        <f t="shared" ca="1" si="11"/>
        <v>8.0213833843486126E-2</v>
      </c>
      <c r="O109" t="str">
        <f t="shared" ca="1" si="12"/>
        <v/>
      </c>
      <c r="P109" t="str">
        <f t="shared" ca="1" si="13"/>
        <v/>
      </c>
    </row>
    <row r="110" spans="1:16" x14ac:dyDescent="0.25">
      <c r="A110">
        <v>74</v>
      </c>
      <c r="B110">
        <v>1</v>
      </c>
      <c r="C110" t="str">
        <f t="shared" ca="1" si="7"/>
        <v/>
      </c>
      <c r="D110">
        <f t="shared" ca="1" si="8"/>
        <v>74</v>
      </c>
      <c r="E110" t="str">
        <f t="shared" ca="1" si="9"/>
        <v/>
      </c>
      <c r="M110">
        <f t="shared" ca="1" si="10"/>
        <v>0.38954646950707283</v>
      </c>
      <c r="N110">
        <f t="shared" ca="1" si="11"/>
        <v>5.0036360122475476E-2</v>
      </c>
      <c r="O110" t="str">
        <f t="shared" ca="1" si="12"/>
        <v/>
      </c>
      <c r="P110" t="str">
        <f t="shared" ca="1" si="13"/>
        <v/>
      </c>
    </row>
    <row r="111" spans="1:16" x14ac:dyDescent="0.25">
      <c r="A111">
        <v>191</v>
      </c>
      <c r="B111">
        <v>2</v>
      </c>
      <c r="C111" t="str">
        <f t="shared" ca="1" si="7"/>
        <v/>
      </c>
      <c r="D111" t="str">
        <f t="shared" ca="1" si="8"/>
        <v/>
      </c>
      <c r="E111">
        <f t="shared" ca="1" si="9"/>
        <v>191</v>
      </c>
      <c r="M111">
        <f t="shared" ca="1" si="10"/>
        <v>0.47180668137648696</v>
      </c>
      <c r="N111" t="str">
        <f t="shared" ca="1" si="11"/>
        <v/>
      </c>
      <c r="O111">
        <f t="shared" ca="1" si="12"/>
        <v>9.4075100171189918E-2</v>
      </c>
      <c r="P111" t="str">
        <f t="shared" ca="1" si="13"/>
        <v/>
      </c>
    </row>
    <row r="112" spans="1:16" x14ac:dyDescent="0.25">
      <c r="A112">
        <v>235</v>
      </c>
      <c r="B112">
        <v>2</v>
      </c>
      <c r="C112" t="str">
        <f t="shared" ca="1" si="7"/>
        <v/>
      </c>
      <c r="D112" t="str">
        <f t="shared" ca="1" si="8"/>
        <v/>
      </c>
      <c r="E112" t="str">
        <f t="shared" ca="1" si="9"/>
        <v/>
      </c>
      <c r="M112">
        <f t="shared" ca="1" si="10"/>
        <v>0.31496148231385601</v>
      </c>
      <c r="N112" t="str">
        <f t="shared" ca="1" si="11"/>
        <v/>
      </c>
      <c r="O112">
        <f t="shared" ca="1" si="12"/>
        <v>0.51824018082739498</v>
      </c>
      <c r="P112" t="str">
        <f t="shared" ca="1" si="13"/>
        <v/>
      </c>
    </row>
    <row r="113" spans="1:16" x14ac:dyDescent="0.25">
      <c r="A113">
        <v>46</v>
      </c>
      <c r="B113">
        <v>1</v>
      </c>
      <c r="C113">
        <f t="shared" ca="1" si="7"/>
        <v>46</v>
      </c>
      <c r="D113" t="str">
        <f t="shared" ca="1" si="8"/>
        <v/>
      </c>
      <c r="E113" t="str">
        <f t="shared" ca="1" si="9"/>
        <v/>
      </c>
      <c r="M113">
        <f t="shared" ca="1" si="10"/>
        <v>1.4439798044216134E-2</v>
      </c>
      <c r="N113">
        <f t="shared" ca="1" si="11"/>
        <v>0.90793452280194764</v>
      </c>
      <c r="O113" t="str">
        <f t="shared" ca="1" si="12"/>
        <v/>
      </c>
      <c r="P113">
        <f t="shared" ca="1" si="13"/>
        <v>1</v>
      </c>
    </row>
    <row r="114" spans="1:16" x14ac:dyDescent="0.25">
      <c r="A114">
        <v>85</v>
      </c>
      <c r="B114">
        <v>1</v>
      </c>
      <c r="C114" t="str">
        <f t="shared" ca="1" si="7"/>
        <v/>
      </c>
      <c r="D114" t="str">
        <f t="shared" ca="1" si="8"/>
        <v/>
      </c>
      <c r="E114" t="str">
        <f t="shared" ca="1" si="9"/>
        <v/>
      </c>
      <c r="M114">
        <f t="shared" ca="1" si="10"/>
        <v>0.71915540128699496</v>
      </c>
      <c r="N114">
        <f t="shared" ca="1" si="11"/>
        <v>0.28792811506544225</v>
      </c>
      <c r="O114" t="str">
        <f t="shared" ca="1" si="12"/>
        <v/>
      </c>
      <c r="P114" t="str">
        <f t="shared" ca="1" si="13"/>
        <v/>
      </c>
    </row>
    <row r="115" spans="1:16" x14ac:dyDescent="0.25">
      <c r="A115">
        <v>67</v>
      </c>
      <c r="B115">
        <v>1</v>
      </c>
      <c r="C115">
        <f t="shared" ca="1" si="7"/>
        <v>67</v>
      </c>
      <c r="D115" t="str">
        <f t="shared" ca="1" si="8"/>
        <v/>
      </c>
      <c r="E115" t="str">
        <f t="shared" ca="1" si="9"/>
        <v/>
      </c>
      <c r="M115">
        <f t="shared" ca="1" si="10"/>
        <v>0.21159701685929766</v>
      </c>
      <c r="N115">
        <f t="shared" ca="1" si="11"/>
        <v>0.88265942151337562</v>
      </c>
      <c r="O115" t="str">
        <f t="shared" ca="1" si="12"/>
        <v/>
      </c>
      <c r="P115">
        <f t="shared" ca="1" si="13"/>
        <v>1</v>
      </c>
    </row>
    <row r="116" spans="1:16" x14ac:dyDescent="0.25">
      <c r="A116">
        <v>65</v>
      </c>
      <c r="B116">
        <v>2</v>
      </c>
      <c r="C116" t="str">
        <f t="shared" ca="1" si="7"/>
        <v/>
      </c>
      <c r="D116" t="str">
        <f t="shared" ca="1" si="8"/>
        <v/>
      </c>
      <c r="E116" t="str">
        <f t="shared" ca="1" si="9"/>
        <v/>
      </c>
      <c r="M116">
        <f t="shared" ca="1" si="10"/>
        <v>0.27323909444174677</v>
      </c>
      <c r="N116" t="str">
        <f t="shared" ca="1" si="11"/>
        <v/>
      </c>
      <c r="O116">
        <f t="shared" ca="1" si="12"/>
        <v>0.94669028209440875</v>
      </c>
      <c r="P116" t="str">
        <f t="shared" ca="1" si="13"/>
        <v/>
      </c>
    </row>
    <row r="117" spans="1:16" x14ac:dyDescent="0.25">
      <c r="A117">
        <v>67</v>
      </c>
      <c r="B117">
        <v>1</v>
      </c>
      <c r="C117">
        <f t="shared" ca="1" si="7"/>
        <v>67</v>
      </c>
      <c r="D117" t="str">
        <f t="shared" ca="1" si="8"/>
        <v/>
      </c>
      <c r="E117" t="str">
        <f t="shared" ca="1" si="9"/>
        <v/>
      </c>
      <c r="M117">
        <f t="shared" ca="1" si="10"/>
        <v>0.23843649913200904</v>
      </c>
      <c r="N117">
        <f t="shared" ca="1" si="11"/>
        <v>0.68848538318856534</v>
      </c>
      <c r="O117" t="str">
        <f t="shared" ca="1" si="12"/>
        <v/>
      </c>
      <c r="P117">
        <f t="shared" ca="1" si="13"/>
        <v>1</v>
      </c>
    </row>
    <row r="118" spans="1:16" x14ac:dyDescent="0.25">
      <c r="A118">
        <v>132</v>
      </c>
      <c r="B118">
        <v>2</v>
      </c>
      <c r="C118" t="str">
        <f t="shared" ca="1" si="7"/>
        <v/>
      </c>
      <c r="D118" t="str">
        <f t="shared" ca="1" si="8"/>
        <v/>
      </c>
      <c r="E118" t="str">
        <f t="shared" ca="1" si="9"/>
        <v/>
      </c>
      <c r="M118">
        <f t="shared" ca="1" si="10"/>
        <v>0.50186133140401579</v>
      </c>
      <c r="N118" t="str">
        <f t="shared" ca="1" si="11"/>
        <v/>
      </c>
      <c r="O118">
        <f t="shared" ca="1" si="12"/>
        <v>0.78398760787615918</v>
      </c>
      <c r="P118" t="str">
        <f t="shared" ca="1" si="13"/>
        <v/>
      </c>
    </row>
    <row r="119" spans="1:16" x14ac:dyDescent="0.25">
      <c r="A119">
        <v>87</v>
      </c>
      <c r="B119">
        <v>1</v>
      </c>
      <c r="C119" t="str">
        <f t="shared" ca="1" si="7"/>
        <v/>
      </c>
      <c r="D119" t="str">
        <f t="shared" ca="1" si="8"/>
        <v/>
      </c>
      <c r="E119" t="str">
        <f t="shared" ca="1" si="9"/>
        <v/>
      </c>
      <c r="M119">
        <f t="shared" ca="1" si="10"/>
        <v>0.76865394611612681</v>
      </c>
      <c r="N119">
        <f t="shared" ca="1" si="11"/>
        <v>0.4825322831255825</v>
      </c>
      <c r="O119" t="str">
        <f t="shared" ca="1" si="12"/>
        <v/>
      </c>
      <c r="P119" t="str">
        <f t="shared" ca="1" si="13"/>
        <v/>
      </c>
    </row>
    <row r="120" spans="1:16" x14ac:dyDescent="0.25">
      <c r="A120">
        <v>77</v>
      </c>
      <c r="B120">
        <v>1</v>
      </c>
      <c r="C120" t="str">
        <f t="shared" ca="1" si="7"/>
        <v/>
      </c>
      <c r="D120" t="str">
        <f t="shared" ca="1" si="8"/>
        <v/>
      </c>
      <c r="E120" t="str">
        <f t="shared" ca="1" si="9"/>
        <v/>
      </c>
      <c r="M120">
        <f t="shared" ca="1" si="10"/>
        <v>0.97281909139956935</v>
      </c>
      <c r="N120">
        <f t="shared" ca="1" si="11"/>
        <v>0.86478536292312058</v>
      </c>
      <c r="O120" t="str">
        <f t="shared" ca="1" si="12"/>
        <v/>
      </c>
      <c r="P120" t="str">
        <f t="shared" ca="1" si="13"/>
        <v/>
      </c>
    </row>
    <row r="121" spans="1:16" x14ac:dyDescent="0.25">
      <c r="A121">
        <v>125</v>
      </c>
      <c r="B121">
        <v>2</v>
      </c>
      <c r="C121">
        <f t="shared" ca="1" si="7"/>
        <v>125</v>
      </c>
      <c r="D121" t="str">
        <f t="shared" ca="1" si="8"/>
        <v/>
      </c>
      <c r="E121" t="str">
        <f t="shared" ca="1" si="9"/>
        <v/>
      </c>
      <c r="M121">
        <f t="shared" ca="1" si="10"/>
        <v>5.5621621571721125E-2</v>
      </c>
      <c r="N121" t="str">
        <f t="shared" ca="1" si="11"/>
        <v/>
      </c>
      <c r="O121">
        <f t="shared" ca="1" si="12"/>
        <v>0.38112930413611834</v>
      </c>
      <c r="P121" t="str">
        <f t="shared" ca="1" si="13"/>
        <v/>
      </c>
    </row>
    <row r="122" spans="1:16" x14ac:dyDescent="0.25">
      <c r="A122">
        <v>52</v>
      </c>
      <c r="B122">
        <v>1</v>
      </c>
      <c r="C122" t="str">
        <f t="shared" ca="1" si="7"/>
        <v/>
      </c>
      <c r="D122">
        <f t="shared" ca="1" si="8"/>
        <v>52</v>
      </c>
      <c r="E122" t="str">
        <f t="shared" ca="1" si="9"/>
        <v/>
      </c>
      <c r="M122">
        <f t="shared" ca="1" si="10"/>
        <v>0.87627252553278556</v>
      </c>
      <c r="N122">
        <f t="shared" ca="1" si="11"/>
        <v>0.1829378928635218</v>
      </c>
      <c r="O122" t="str">
        <f t="shared" ca="1" si="12"/>
        <v/>
      </c>
      <c r="P122" t="str">
        <f t="shared" ca="1" si="13"/>
        <v/>
      </c>
    </row>
    <row r="123" spans="1:16" x14ac:dyDescent="0.25">
      <c r="A123">
        <v>68</v>
      </c>
      <c r="B123">
        <v>2</v>
      </c>
      <c r="C123" t="str">
        <f t="shared" ca="1" si="7"/>
        <v/>
      </c>
      <c r="D123" t="str">
        <f t="shared" ca="1" si="8"/>
        <v/>
      </c>
      <c r="E123" t="str">
        <f t="shared" ca="1" si="9"/>
        <v/>
      </c>
      <c r="M123">
        <f t="shared" ca="1" si="10"/>
        <v>0.85427011292049526</v>
      </c>
      <c r="N123" t="str">
        <f t="shared" ca="1" si="11"/>
        <v/>
      </c>
      <c r="O123">
        <f t="shared" ca="1" si="12"/>
        <v>0.68153235262423384</v>
      </c>
      <c r="P123" t="str">
        <f t="shared" ca="1" si="13"/>
        <v/>
      </c>
    </row>
    <row r="124" spans="1:16" x14ac:dyDescent="0.25">
      <c r="A124">
        <v>63</v>
      </c>
      <c r="B124">
        <v>1</v>
      </c>
      <c r="C124">
        <f t="shared" ca="1" si="7"/>
        <v>63</v>
      </c>
      <c r="D124" t="str">
        <f t="shared" ca="1" si="8"/>
        <v/>
      </c>
      <c r="E124" t="str">
        <f t="shared" ca="1" si="9"/>
        <v/>
      </c>
      <c r="M124">
        <f t="shared" ca="1" si="10"/>
        <v>0.16626774100187369</v>
      </c>
      <c r="N124">
        <f t="shared" ca="1" si="11"/>
        <v>0.32022827046552127</v>
      </c>
      <c r="O124" t="str">
        <f t="shared" ca="1" si="12"/>
        <v/>
      </c>
      <c r="P124">
        <f t="shared" ca="1" si="13"/>
        <v>1</v>
      </c>
    </row>
    <row r="125" spans="1:16" x14ac:dyDescent="0.25">
      <c r="A125">
        <v>78</v>
      </c>
      <c r="B125">
        <v>1</v>
      </c>
      <c r="C125" t="str">
        <f t="shared" ca="1" si="7"/>
        <v/>
      </c>
      <c r="D125" t="str">
        <f t="shared" ca="1" si="8"/>
        <v/>
      </c>
      <c r="E125" t="str">
        <f t="shared" ca="1" si="9"/>
        <v/>
      </c>
      <c r="M125">
        <f t="shared" ca="1" si="10"/>
        <v>0.43414686064045171</v>
      </c>
      <c r="N125">
        <f t="shared" ca="1" si="11"/>
        <v>0.51212750554174691</v>
      </c>
      <c r="O125" t="str">
        <f t="shared" ca="1" si="12"/>
        <v/>
      </c>
      <c r="P125" t="str">
        <f t="shared" ca="1" si="13"/>
        <v/>
      </c>
    </row>
    <row r="126" spans="1:16" x14ac:dyDescent="0.25">
      <c r="A126">
        <v>77</v>
      </c>
      <c r="B126">
        <v>1</v>
      </c>
      <c r="C126" t="str">
        <f t="shared" ca="1" si="7"/>
        <v/>
      </c>
      <c r="D126" t="str">
        <f t="shared" ca="1" si="8"/>
        <v/>
      </c>
      <c r="E126" t="str">
        <f t="shared" ca="1" si="9"/>
        <v/>
      </c>
      <c r="M126">
        <f t="shared" ca="1" si="10"/>
        <v>0.7271106142782463</v>
      </c>
      <c r="N126">
        <f t="shared" ca="1" si="11"/>
        <v>0.44530325767509937</v>
      </c>
      <c r="O126" t="str">
        <f t="shared" ca="1" si="12"/>
        <v/>
      </c>
      <c r="P126" t="str">
        <f t="shared" ca="1" si="13"/>
        <v/>
      </c>
    </row>
    <row r="127" spans="1:16" x14ac:dyDescent="0.25">
      <c r="A127">
        <v>68</v>
      </c>
      <c r="B127">
        <v>1</v>
      </c>
      <c r="C127" t="str">
        <f t="shared" ca="1" si="7"/>
        <v/>
      </c>
      <c r="D127" t="str">
        <f t="shared" ca="1" si="8"/>
        <v/>
      </c>
      <c r="E127" t="str">
        <f t="shared" ca="1" si="9"/>
        <v/>
      </c>
      <c r="M127">
        <f t="shared" ca="1" si="10"/>
        <v>0.37818326724355267</v>
      </c>
      <c r="N127">
        <f t="shared" ca="1" si="11"/>
        <v>0.92736730076170759</v>
      </c>
      <c r="O127" t="str">
        <f t="shared" ca="1" si="12"/>
        <v/>
      </c>
      <c r="P127" t="str">
        <f t="shared" ca="1" si="13"/>
        <v/>
      </c>
    </row>
    <row r="128" spans="1:16" x14ac:dyDescent="0.25">
      <c r="A128">
        <v>89</v>
      </c>
      <c r="B128">
        <v>1</v>
      </c>
      <c r="C128">
        <f t="shared" ca="1" si="7"/>
        <v>89</v>
      </c>
      <c r="D128" t="str">
        <f t="shared" ca="1" si="8"/>
        <v/>
      </c>
      <c r="E128" t="str">
        <f t="shared" ca="1" si="9"/>
        <v/>
      </c>
      <c r="M128">
        <f t="shared" ca="1" si="10"/>
        <v>0.13953950576945073</v>
      </c>
      <c r="N128">
        <f t="shared" ca="1" si="11"/>
        <v>0.92195708573964197</v>
      </c>
      <c r="O128" t="str">
        <f t="shared" ca="1" si="12"/>
        <v/>
      </c>
      <c r="P128">
        <f t="shared" ca="1" si="13"/>
        <v>1</v>
      </c>
    </row>
    <row r="129" spans="1:16" x14ac:dyDescent="0.25">
      <c r="A129">
        <v>58</v>
      </c>
      <c r="B129">
        <v>1</v>
      </c>
      <c r="C129" t="str">
        <f t="shared" ca="1" si="7"/>
        <v/>
      </c>
      <c r="D129" t="str">
        <f t="shared" ca="1" si="8"/>
        <v/>
      </c>
      <c r="E129" t="str">
        <f t="shared" ca="1" si="9"/>
        <v/>
      </c>
      <c r="M129">
        <f t="shared" ca="1" si="10"/>
        <v>0.93022558194583294</v>
      </c>
      <c r="N129">
        <f t="shared" ca="1" si="11"/>
        <v>0.3949061984989507</v>
      </c>
      <c r="O129" t="str">
        <f t="shared" ca="1" si="12"/>
        <v/>
      </c>
      <c r="P129" t="str">
        <f t="shared" ca="1" si="13"/>
        <v/>
      </c>
    </row>
    <row r="130" spans="1:16" x14ac:dyDescent="0.25">
      <c r="A130">
        <v>165</v>
      </c>
      <c r="B130">
        <v>2</v>
      </c>
      <c r="C130" t="str">
        <f t="shared" ca="1" si="7"/>
        <v/>
      </c>
      <c r="D130" t="str">
        <f t="shared" ca="1" si="8"/>
        <v/>
      </c>
      <c r="E130">
        <f t="shared" ca="1" si="9"/>
        <v>165</v>
      </c>
      <c r="M130">
        <f t="shared" ca="1" si="10"/>
        <v>0.87428423915997078</v>
      </c>
      <c r="N130" t="str">
        <f t="shared" ca="1" si="11"/>
        <v/>
      </c>
      <c r="O130">
        <f t="shared" ca="1" si="12"/>
        <v>0.17460182116655487</v>
      </c>
      <c r="P130" t="str">
        <f t="shared" ca="1" si="13"/>
        <v/>
      </c>
    </row>
    <row r="131" spans="1:16" x14ac:dyDescent="0.25">
      <c r="A131">
        <v>84</v>
      </c>
      <c r="B131">
        <v>1</v>
      </c>
      <c r="C131" t="str">
        <f t="shared" ca="1" si="7"/>
        <v/>
      </c>
      <c r="D131" t="str">
        <f t="shared" ca="1" si="8"/>
        <v/>
      </c>
      <c r="E131" t="str">
        <f t="shared" ca="1" si="9"/>
        <v/>
      </c>
      <c r="M131">
        <f t="shared" ca="1" si="10"/>
        <v>0.49340447356124473</v>
      </c>
      <c r="N131">
        <f t="shared" ca="1" si="11"/>
        <v>0.58296439300411063</v>
      </c>
      <c r="O131" t="str">
        <f t="shared" ca="1" si="12"/>
        <v/>
      </c>
      <c r="P131" t="str">
        <f t="shared" ca="1" si="13"/>
        <v/>
      </c>
    </row>
    <row r="132" spans="1:16" x14ac:dyDescent="0.25">
      <c r="A132">
        <v>54</v>
      </c>
      <c r="B132">
        <v>1</v>
      </c>
      <c r="C132" t="str">
        <f t="shared" ca="1" si="7"/>
        <v/>
      </c>
      <c r="D132" t="str">
        <f t="shared" ca="1" si="8"/>
        <v/>
      </c>
      <c r="E132" t="str">
        <f t="shared" ca="1" si="9"/>
        <v/>
      </c>
      <c r="M132">
        <f t="shared" ca="1" si="10"/>
        <v>0.35574943855416796</v>
      </c>
      <c r="N132">
        <f t="shared" ca="1" si="11"/>
        <v>0.65215420045112604</v>
      </c>
      <c r="O132" t="str">
        <f t="shared" ca="1" si="12"/>
        <v/>
      </c>
      <c r="P132" t="str">
        <f t="shared" ca="1" si="13"/>
        <v/>
      </c>
    </row>
    <row r="133" spans="1:16" x14ac:dyDescent="0.25">
      <c r="A133">
        <v>104</v>
      </c>
      <c r="B133">
        <v>2</v>
      </c>
      <c r="C133" t="str">
        <f t="shared" ca="1" si="7"/>
        <v/>
      </c>
      <c r="D133" t="str">
        <f t="shared" ca="1" si="8"/>
        <v/>
      </c>
      <c r="E133">
        <f t="shared" ca="1" si="9"/>
        <v>104</v>
      </c>
      <c r="M133">
        <f t="shared" ca="1" si="10"/>
        <v>0.55379896545841145</v>
      </c>
      <c r="N133" t="str">
        <f t="shared" ca="1" si="11"/>
        <v/>
      </c>
      <c r="O133">
        <f t="shared" ca="1" si="12"/>
        <v>6.5150831781694007E-3</v>
      </c>
      <c r="P133" t="str">
        <f t="shared" ca="1" si="13"/>
        <v/>
      </c>
    </row>
    <row r="134" spans="1:16" x14ac:dyDescent="0.25">
      <c r="A134">
        <v>82</v>
      </c>
      <c r="B134">
        <v>1</v>
      </c>
      <c r="C134" t="str">
        <f t="shared" ca="1" si="7"/>
        <v/>
      </c>
      <c r="D134">
        <f t="shared" ca="1" si="8"/>
        <v>82</v>
      </c>
      <c r="E134" t="str">
        <f t="shared" ca="1" si="9"/>
        <v/>
      </c>
      <c r="M134">
        <f t="shared" ca="1" si="10"/>
        <v>0.67390222780142872</v>
      </c>
      <c r="N134">
        <f t="shared" ca="1" si="11"/>
        <v>5.1566915405848124E-2</v>
      </c>
      <c r="O134" t="str">
        <f t="shared" ca="1" si="12"/>
        <v/>
      </c>
      <c r="P134" t="str">
        <f t="shared" ca="1" si="13"/>
        <v/>
      </c>
    </row>
    <row r="135" spans="1:16" x14ac:dyDescent="0.25">
      <c r="A135">
        <v>154</v>
      </c>
      <c r="B135">
        <v>2</v>
      </c>
      <c r="C135" t="str">
        <f t="shared" ca="1" si="7"/>
        <v/>
      </c>
      <c r="D135" t="str">
        <f t="shared" ca="1" si="8"/>
        <v/>
      </c>
      <c r="E135">
        <f t="shared" ca="1" si="9"/>
        <v>154</v>
      </c>
      <c r="M135">
        <f t="shared" ca="1" si="10"/>
        <v>0.37708379877624354</v>
      </c>
      <c r="N135" t="str">
        <f t="shared" ca="1" si="11"/>
        <v/>
      </c>
      <c r="O135">
        <f t="shared" ca="1" si="12"/>
        <v>1.2091988043089197E-2</v>
      </c>
      <c r="P135" t="str">
        <f t="shared" ca="1" si="13"/>
        <v/>
      </c>
    </row>
    <row r="136" spans="1:16" x14ac:dyDescent="0.25">
      <c r="A136">
        <v>171</v>
      </c>
      <c r="B136">
        <v>2</v>
      </c>
      <c r="C136" t="str">
        <f t="shared" ca="1" si="7"/>
        <v/>
      </c>
      <c r="D136" t="str">
        <f t="shared" ca="1" si="8"/>
        <v/>
      </c>
      <c r="E136" t="str">
        <f t="shared" ca="1" si="9"/>
        <v/>
      </c>
      <c r="M136">
        <f t="shared" ca="1" si="10"/>
        <v>0.60592726935242869</v>
      </c>
      <c r="N136" t="str">
        <f t="shared" ca="1" si="11"/>
        <v/>
      </c>
      <c r="O136">
        <f t="shared" ca="1" si="12"/>
        <v>0.99105094402473626</v>
      </c>
      <c r="P136" t="str">
        <f t="shared" ca="1" si="13"/>
        <v/>
      </c>
    </row>
    <row r="137" spans="1:16" x14ac:dyDescent="0.25">
      <c r="A137">
        <v>74</v>
      </c>
      <c r="B137">
        <v>1</v>
      </c>
      <c r="C137" t="str">
        <f t="shared" ca="1" si="7"/>
        <v/>
      </c>
      <c r="D137" t="str">
        <f t="shared" ca="1" si="8"/>
        <v/>
      </c>
      <c r="E137" t="str">
        <f t="shared" ca="1" si="9"/>
        <v/>
      </c>
      <c r="M137">
        <f t="shared" ca="1" si="10"/>
        <v>0.98923882841509581</v>
      </c>
      <c r="N137">
        <f t="shared" ca="1" si="11"/>
        <v>0.48238491793256333</v>
      </c>
      <c r="O137" t="str">
        <f t="shared" ca="1" si="12"/>
        <v/>
      </c>
      <c r="P137" t="str">
        <f t="shared" ca="1" si="13"/>
        <v/>
      </c>
    </row>
    <row r="138" spans="1:16" x14ac:dyDescent="0.25">
      <c r="A138">
        <v>95</v>
      </c>
      <c r="B138">
        <v>1</v>
      </c>
      <c r="C138">
        <f t="shared" ca="1" si="7"/>
        <v>95</v>
      </c>
      <c r="D138" t="str">
        <f t="shared" ca="1" si="8"/>
        <v/>
      </c>
      <c r="E138" t="str">
        <f t="shared" ca="1" si="9"/>
        <v/>
      </c>
      <c r="M138">
        <f t="shared" ca="1" si="10"/>
        <v>6.4594199566290089E-2</v>
      </c>
      <c r="N138">
        <f t="shared" ca="1" si="11"/>
        <v>0.4941029088666995</v>
      </c>
      <c r="O138" t="str">
        <f t="shared" ca="1" si="12"/>
        <v/>
      </c>
      <c r="P138">
        <f t="shared" ca="1" si="13"/>
        <v>1</v>
      </c>
    </row>
    <row r="139" spans="1:16" x14ac:dyDescent="0.25">
      <c r="A139">
        <v>63</v>
      </c>
      <c r="B139">
        <v>1</v>
      </c>
      <c r="C139" t="str">
        <f t="shared" ref="C139:C202" ca="1" si="14">IF(M139&lt;=PERCENTILE($M$11:$M$210,$C$7/COUNT($B$11:$B$210)),A139,"")</f>
        <v/>
      </c>
      <c r="D139" t="str">
        <f t="shared" ref="D139:D202" ca="1" si="15">IF(N139&lt;=PERCENTILE($N$11:$N$210,$D$7/$D$4),A139,"")</f>
        <v/>
      </c>
      <c r="E139" t="str">
        <f t="shared" ref="E139:E202" ca="1" si="16">IF(O139&lt;=PERCENTILE($O$11:$O$210,$E$7/$E$4),A139,"")</f>
        <v/>
      </c>
      <c r="M139">
        <f t="shared" ref="M139:M202" ca="1" si="17">RAND()</f>
        <v>0.34159909752136663</v>
      </c>
      <c r="N139">
        <f t="shared" ref="N139:N202" ca="1" si="18">IF(B139=$D$2,RAND(),"")</f>
        <v>0.36897374082198198</v>
      </c>
      <c r="O139" t="str">
        <f t="shared" ref="O139:O202" ca="1" si="19">IF(B139=$E$2,RAND(),"")</f>
        <v/>
      </c>
      <c r="P139" t="str">
        <f t="shared" ref="P139:P202" ca="1" si="20">IF(AND(C139&lt;&gt;"",B139=1),B139,"")</f>
        <v/>
      </c>
    </row>
    <row r="140" spans="1:16" x14ac:dyDescent="0.25">
      <c r="A140">
        <v>83</v>
      </c>
      <c r="B140">
        <v>1</v>
      </c>
      <c r="C140" t="str">
        <f t="shared" ca="1" si="14"/>
        <v/>
      </c>
      <c r="D140" t="str">
        <f t="shared" ca="1" si="15"/>
        <v/>
      </c>
      <c r="E140" t="str">
        <f t="shared" ca="1" si="16"/>
        <v/>
      </c>
      <c r="M140">
        <f t="shared" ca="1" si="17"/>
        <v>0.86174492048466189</v>
      </c>
      <c r="N140">
        <f t="shared" ca="1" si="18"/>
        <v>0.90144015184791537</v>
      </c>
      <c r="O140" t="str">
        <f t="shared" ca="1" si="19"/>
        <v/>
      </c>
      <c r="P140" t="str">
        <f t="shared" ca="1" si="20"/>
        <v/>
      </c>
    </row>
    <row r="141" spans="1:16" x14ac:dyDescent="0.25">
      <c r="A141">
        <v>61</v>
      </c>
      <c r="B141">
        <v>2</v>
      </c>
      <c r="C141" t="str">
        <f t="shared" ca="1" si="14"/>
        <v/>
      </c>
      <c r="D141" t="str">
        <f t="shared" ca="1" si="15"/>
        <v/>
      </c>
      <c r="E141" t="str">
        <f t="shared" ca="1" si="16"/>
        <v/>
      </c>
      <c r="M141">
        <f t="shared" ca="1" si="17"/>
        <v>0.57821478502079893</v>
      </c>
      <c r="N141" t="str">
        <f t="shared" ca="1" si="18"/>
        <v/>
      </c>
      <c r="O141">
        <f t="shared" ca="1" si="19"/>
        <v>0.78990029727850597</v>
      </c>
      <c r="P141" t="str">
        <f t="shared" ca="1" si="20"/>
        <v/>
      </c>
    </row>
    <row r="142" spans="1:16" x14ac:dyDescent="0.25">
      <c r="A142">
        <v>90</v>
      </c>
      <c r="B142">
        <v>1</v>
      </c>
      <c r="C142">
        <f t="shared" ca="1" si="14"/>
        <v>90</v>
      </c>
      <c r="D142" t="str">
        <f t="shared" ca="1" si="15"/>
        <v/>
      </c>
      <c r="E142" t="str">
        <f t="shared" ca="1" si="16"/>
        <v/>
      </c>
      <c r="M142">
        <f t="shared" ca="1" si="17"/>
        <v>0.25410420587716998</v>
      </c>
      <c r="N142">
        <f t="shared" ca="1" si="18"/>
        <v>0.5243655253143048</v>
      </c>
      <c r="O142" t="str">
        <f t="shared" ca="1" si="19"/>
        <v/>
      </c>
      <c r="P142">
        <f t="shared" ca="1" si="20"/>
        <v>1</v>
      </c>
    </row>
    <row r="143" spans="1:16" x14ac:dyDescent="0.25">
      <c r="A143">
        <v>79</v>
      </c>
      <c r="B143">
        <v>1</v>
      </c>
      <c r="C143" t="str">
        <f t="shared" ca="1" si="14"/>
        <v/>
      </c>
      <c r="D143">
        <f t="shared" ca="1" si="15"/>
        <v>79</v>
      </c>
      <c r="E143" t="str">
        <f t="shared" ca="1" si="16"/>
        <v/>
      </c>
      <c r="M143">
        <f t="shared" ca="1" si="17"/>
        <v>0.75255927294812586</v>
      </c>
      <c r="N143">
        <f t="shared" ca="1" si="18"/>
        <v>0.22293387790457209</v>
      </c>
      <c r="O143" t="str">
        <f t="shared" ca="1" si="19"/>
        <v/>
      </c>
      <c r="P143" t="str">
        <f t="shared" ca="1" si="20"/>
        <v/>
      </c>
    </row>
    <row r="144" spans="1:16" x14ac:dyDescent="0.25">
      <c r="A144">
        <v>47</v>
      </c>
      <c r="B144">
        <v>1</v>
      </c>
      <c r="C144" t="str">
        <f t="shared" ca="1" si="14"/>
        <v/>
      </c>
      <c r="D144" t="str">
        <f t="shared" ca="1" si="15"/>
        <v/>
      </c>
      <c r="E144" t="str">
        <f t="shared" ca="1" si="16"/>
        <v/>
      </c>
      <c r="M144">
        <f t="shared" ca="1" si="17"/>
        <v>0.81911353835145551</v>
      </c>
      <c r="N144">
        <f t="shared" ca="1" si="18"/>
        <v>0.27630583059474434</v>
      </c>
      <c r="O144" t="str">
        <f t="shared" ca="1" si="19"/>
        <v/>
      </c>
      <c r="P144" t="str">
        <f t="shared" ca="1" si="20"/>
        <v/>
      </c>
    </row>
    <row r="145" spans="1:16" x14ac:dyDescent="0.25">
      <c r="A145">
        <v>67</v>
      </c>
      <c r="B145">
        <v>1</v>
      </c>
      <c r="C145" t="str">
        <f t="shared" ca="1" si="14"/>
        <v/>
      </c>
      <c r="D145" t="str">
        <f t="shared" ca="1" si="15"/>
        <v/>
      </c>
      <c r="E145" t="str">
        <f t="shared" ca="1" si="16"/>
        <v/>
      </c>
      <c r="M145">
        <f t="shared" ca="1" si="17"/>
        <v>0.76127594066160331</v>
      </c>
      <c r="N145">
        <f t="shared" ca="1" si="18"/>
        <v>0.70181255524105479</v>
      </c>
      <c r="O145" t="str">
        <f t="shared" ca="1" si="19"/>
        <v/>
      </c>
      <c r="P145" t="str">
        <f t="shared" ca="1" si="20"/>
        <v/>
      </c>
    </row>
    <row r="146" spans="1:16" x14ac:dyDescent="0.25">
      <c r="A146">
        <v>81</v>
      </c>
      <c r="B146">
        <v>1</v>
      </c>
      <c r="C146" t="str">
        <f t="shared" ca="1" si="14"/>
        <v/>
      </c>
      <c r="D146" t="str">
        <f t="shared" ca="1" si="15"/>
        <v/>
      </c>
      <c r="E146" t="str">
        <f t="shared" ca="1" si="16"/>
        <v/>
      </c>
      <c r="M146">
        <f t="shared" ca="1" si="17"/>
        <v>0.60520915274469966</v>
      </c>
      <c r="N146">
        <f t="shared" ca="1" si="18"/>
        <v>0.5843690048231821</v>
      </c>
      <c r="O146" t="str">
        <f t="shared" ca="1" si="19"/>
        <v/>
      </c>
      <c r="P146" t="str">
        <f t="shared" ca="1" si="20"/>
        <v/>
      </c>
    </row>
    <row r="147" spans="1:16" x14ac:dyDescent="0.25">
      <c r="A147">
        <v>71</v>
      </c>
      <c r="B147">
        <v>2</v>
      </c>
      <c r="C147" t="str">
        <f t="shared" ca="1" si="14"/>
        <v/>
      </c>
      <c r="D147" t="str">
        <f t="shared" ca="1" si="15"/>
        <v/>
      </c>
      <c r="E147">
        <f t="shared" ca="1" si="16"/>
        <v>71</v>
      </c>
      <c r="M147">
        <f t="shared" ca="1" si="17"/>
        <v>0.77276723202954822</v>
      </c>
      <c r="N147" t="str">
        <f t="shared" ca="1" si="18"/>
        <v/>
      </c>
      <c r="O147">
        <f t="shared" ca="1" si="19"/>
        <v>0.14053613428090872</v>
      </c>
      <c r="P147" t="str">
        <f t="shared" ca="1" si="20"/>
        <v/>
      </c>
    </row>
    <row r="148" spans="1:16" x14ac:dyDescent="0.25">
      <c r="A148">
        <v>91</v>
      </c>
      <c r="B148">
        <v>1</v>
      </c>
      <c r="C148" t="str">
        <f t="shared" ca="1" si="14"/>
        <v/>
      </c>
      <c r="D148" t="str">
        <f t="shared" ca="1" si="15"/>
        <v/>
      </c>
      <c r="E148" t="str">
        <f t="shared" ca="1" si="16"/>
        <v/>
      </c>
      <c r="M148">
        <f t="shared" ca="1" si="17"/>
        <v>0.47752068736167097</v>
      </c>
      <c r="N148">
        <f t="shared" ca="1" si="18"/>
        <v>0.90073605784209188</v>
      </c>
      <c r="O148" t="str">
        <f t="shared" ca="1" si="19"/>
        <v/>
      </c>
      <c r="P148" t="str">
        <f t="shared" ca="1" si="20"/>
        <v/>
      </c>
    </row>
    <row r="149" spans="1:16" x14ac:dyDescent="0.25">
      <c r="A149">
        <v>89</v>
      </c>
      <c r="B149">
        <v>1</v>
      </c>
      <c r="C149" t="str">
        <f t="shared" ca="1" si="14"/>
        <v/>
      </c>
      <c r="D149">
        <f t="shared" ca="1" si="15"/>
        <v>89</v>
      </c>
      <c r="E149" t="str">
        <f t="shared" ca="1" si="16"/>
        <v/>
      </c>
      <c r="M149">
        <f t="shared" ca="1" si="17"/>
        <v>0.27228481015937311</v>
      </c>
      <c r="N149">
        <f t="shared" ca="1" si="18"/>
        <v>0.12256689436064727</v>
      </c>
      <c r="O149" t="str">
        <f t="shared" ca="1" si="19"/>
        <v/>
      </c>
      <c r="P149" t="str">
        <f t="shared" ca="1" si="20"/>
        <v/>
      </c>
    </row>
    <row r="150" spans="1:16" x14ac:dyDescent="0.25">
      <c r="A150">
        <v>68</v>
      </c>
      <c r="B150">
        <v>1</v>
      </c>
      <c r="C150" t="str">
        <f t="shared" ca="1" si="14"/>
        <v/>
      </c>
      <c r="D150" t="str">
        <f t="shared" ca="1" si="15"/>
        <v/>
      </c>
      <c r="E150" t="str">
        <f t="shared" ca="1" si="16"/>
        <v/>
      </c>
      <c r="M150">
        <f t="shared" ca="1" si="17"/>
        <v>0.43724767226572647</v>
      </c>
      <c r="N150">
        <f t="shared" ca="1" si="18"/>
        <v>0.41529863291659275</v>
      </c>
      <c r="O150" t="str">
        <f t="shared" ca="1" si="19"/>
        <v/>
      </c>
      <c r="P150" t="str">
        <f t="shared" ca="1" si="20"/>
        <v/>
      </c>
    </row>
    <row r="151" spans="1:16" x14ac:dyDescent="0.25">
      <c r="A151">
        <v>35</v>
      </c>
      <c r="B151">
        <v>1</v>
      </c>
      <c r="C151" t="str">
        <f t="shared" ca="1" si="14"/>
        <v/>
      </c>
      <c r="D151">
        <f t="shared" ca="1" si="15"/>
        <v>35</v>
      </c>
      <c r="E151" t="str">
        <f t="shared" ca="1" si="16"/>
        <v/>
      </c>
      <c r="M151">
        <f t="shared" ca="1" si="17"/>
        <v>0.44946490820606033</v>
      </c>
      <c r="N151">
        <f t="shared" ca="1" si="18"/>
        <v>9.8409998831751611E-2</v>
      </c>
      <c r="O151" t="str">
        <f t="shared" ca="1" si="19"/>
        <v/>
      </c>
      <c r="P151" t="str">
        <f t="shared" ca="1" si="20"/>
        <v/>
      </c>
    </row>
    <row r="152" spans="1:16" x14ac:dyDescent="0.25">
      <c r="A152">
        <v>82</v>
      </c>
      <c r="B152">
        <v>1</v>
      </c>
      <c r="C152" t="str">
        <f t="shared" ca="1" si="14"/>
        <v/>
      </c>
      <c r="D152" t="str">
        <f t="shared" ca="1" si="15"/>
        <v/>
      </c>
      <c r="E152" t="str">
        <f t="shared" ca="1" si="16"/>
        <v/>
      </c>
      <c r="M152">
        <f t="shared" ca="1" si="17"/>
        <v>0.92348299670445877</v>
      </c>
      <c r="N152">
        <f t="shared" ca="1" si="18"/>
        <v>0.55297083300854311</v>
      </c>
      <c r="O152" t="str">
        <f t="shared" ca="1" si="19"/>
        <v/>
      </c>
      <c r="P152" t="str">
        <f t="shared" ca="1" si="20"/>
        <v/>
      </c>
    </row>
    <row r="153" spans="1:16" x14ac:dyDescent="0.25">
      <c r="A153">
        <v>130</v>
      </c>
      <c r="B153">
        <v>2</v>
      </c>
      <c r="C153" t="str">
        <f t="shared" ca="1" si="14"/>
        <v/>
      </c>
      <c r="D153" t="str">
        <f t="shared" ca="1" si="15"/>
        <v/>
      </c>
      <c r="E153" t="str">
        <f t="shared" ca="1" si="16"/>
        <v/>
      </c>
      <c r="M153">
        <f t="shared" ca="1" si="17"/>
        <v>0.69292145157748297</v>
      </c>
      <c r="N153" t="str">
        <f t="shared" ca="1" si="18"/>
        <v/>
      </c>
      <c r="O153">
        <f t="shared" ca="1" si="19"/>
        <v>0.98265265535730473</v>
      </c>
      <c r="P153" t="str">
        <f t="shared" ca="1" si="20"/>
        <v/>
      </c>
    </row>
    <row r="154" spans="1:16" x14ac:dyDescent="0.25">
      <c r="A154">
        <v>69</v>
      </c>
      <c r="B154">
        <v>1</v>
      </c>
      <c r="C154" t="str">
        <f t="shared" ca="1" si="14"/>
        <v/>
      </c>
      <c r="D154" t="str">
        <f t="shared" ca="1" si="15"/>
        <v/>
      </c>
      <c r="E154" t="str">
        <f t="shared" ca="1" si="16"/>
        <v/>
      </c>
      <c r="M154">
        <f t="shared" ca="1" si="17"/>
        <v>0.46810436190890603</v>
      </c>
      <c r="N154">
        <f t="shared" ca="1" si="18"/>
        <v>0.7081448370891491</v>
      </c>
      <c r="O154" t="str">
        <f t="shared" ca="1" si="19"/>
        <v/>
      </c>
      <c r="P154" t="str">
        <f t="shared" ca="1" si="20"/>
        <v/>
      </c>
    </row>
    <row r="155" spans="1:16" x14ac:dyDescent="0.25">
      <c r="A155">
        <v>80</v>
      </c>
      <c r="B155">
        <v>1</v>
      </c>
      <c r="C155" t="str">
        <f t="shared" ca="1" si="14"/>
        <v/>
      </c>
      <c r="D155" t="str">
        <f t="shared" ca="1" si="15"/>
        <v/>
      </c>
      <c r="E155" t="str">
        <f t="shared" ca="1" si="16"/>
        <v/>
      </c>
      <c r="M155">
        <f t="shared" ca="1" si="17"/>
        <v>0.93566806107795519</v>
      </c>
      <c r="N155">
        <f t="shared" ca="1" si="18"/>
        <v>0.92776889882910174</v>
      </c>
      <c r="O155" t="str">
        <f t="shared" ca="1" si="19"/>
        <v/>
      </c>
      <c r="P155" t="str">
        <f t="shared" ca="1" si="20"/>
        <v/>
      </c>
    </row>
    <row r="156" spans="1:16" x14ac:dyDescent="0.25">
      <c r="A156">
        <v>94</v>
      </c>
      <c r="B156">
        <v>2</v>
      </c>
      <c r="C156" t="str">
        <f t="shared" ca="1" si="14"/>
        <v/>
      </c>
      <c r="D156" t="str">
        <f t="shared" ca="1" si="15"/>
        <v/>
      </c>
      <c r="E156" t="str">
        <f t="shared" ca="1" si="16"/>
        <v/>
      </c>
      <c r="M156">
        <f t="shared" ca="1" si="17"/>
        <v>0.43080491410756361</v>
      </c>
      <c r="N156" t="str">
        <f t="shared" ca="1" si="18"/>
        <v/>
      </c>
      <c r="O156">
        <f t="shared" ca="1" si="19"/>
        <v>0.68049705545470907</v>
      </c>
      <c r="P156" t="str">
        <f t="shared" ca="1" si="20"/>
        <v/>
      </c>
    </row>
    <row r="157" spans="1:16" x14ac:dyDescent="0.25">
      <c r="A157">
        <v>75</v>
      </c>
      <c r="B157">
        <v>1</v>
      </c>
      <c r="C157" t="str">
        <f t="shared" ca="1" si="14"/>
        <v/>
      </c>
      <c r="D157">
        <f t="shared" ca="1" si="15"/>
        <v>75</v>
      </c>
      <c r="E157" t="str">
        <f t="shared" ca="1" si="16"/>
        <v/>
      </c>
      <c r="M157">
        <f t="shared" ca="1" si="17"/>
        <v>0.8169175033933419</v>
      </c>
      <c r="N157">
        <f t="shared" ca="1" si="18"/>
        <v>0.20069248588349331</v>
      </c>
      <c r="O157" t="str">
        <f t="shared" ca="1" si="19"/>
        <v/>
      </c>
      <c r="P157" t="str">
        <f t="shared" ca="1" si="20"/>
        <v/>
      </c>
    </row>
    <row r="158" spans="1:16" x14ac:dyDescent="0.25">
      <c r="A158">
        <v>49</v>
      </c>
      <c r="B158">
        <v>1</v>
      </c>
      <c r="C158" t="str">
        <f t="shared" ca="1" si="14"/>
        <v/>
      </c>
      <c r="D158">
        <f t="shared" ca="1" si="15"/>
        <v>49</v>
      </c>
      <c r="E158" t="str">
        <f t="shared" ca="1" si="16"/>
        <v/>
      </c>
      <c r="M158">
        <f t="shared" ca="1" si="17"/>
        <v>0.56411929742813327</v>
      </c>
      <c r="N158">
        <f t="shared" ca="1" si="18"/>
        <v>5.177018010244272E-2</v>
      </c>
      <c r="O158" t="str">
        <f t="shared" ca="1" si="19"/>
        <v/>
      </c>
      <c r="P158" t="str">
        <f t="shared" ca="1" si="20"/>
        <v/>
      </c>
    </row>
    <row r="159" spans="1:16" x14ac:dyDescent="0.25">
      <c r="A159">
        <v>96</v>
      </c>
      <c r="B159">
        <v>1</v>
      </c>
      <c r="C159" t="str">
        <f t="shared" ca="1" si="14"/>
        <v/>
      </c>
      <c r="D159" t="str">
        <f t="shared" ca="1" si="15"/>
        <v/>
      </c>
      <c r="E159" t="str">
        <f t="shared" ca="1" si="16"/>
        <v/>
      </c>
      <c r="M159">
        <f t="shared" ca="1" si="17"/>
        <v>0.8496924415597561</v>
      </c>
      <c r="N159">
        <f t="shared" ca="1" si="18"/>
        <v>0.33383171280705171</v>
      </c>
      <c r="O159" t="str">
        <f t="shared" ca="1" si="19"/>
        <v/>
      </c>
      <c r="P159" t="str">
        <f t="shared" ca="1" si="20"/>
        <v/>
      </c>
    </row>
    <row r="160" spans="1:16" x14ac:dyDescent="0.25">
      <c r="A160">
        <v>72</v>
      </c>
      <c r="B160">
        <v>1</v>
      </c>
      <c r="C160" t="str">
        <f t="shared" ca="1" si="14"/>
        <v/>
      </c>
      <c r="D160" t="str">
        <f t="shared" ca="1" si="15"/>
        <v/>
      </c>
      <c r="E160" t="str">
        <f t="shared" ca="1" si="16"/>
        <v/>
      </c>
      <c r="M160">
        <f t="shared" ca="1" si="17"/>
        <v>0.68092505001185655</v>
      </c>
      <c r="N160">
        <f t="shared" ca="1" si="18"/>
        <v>0.94274998259869047</v>
      </c>
      <c r="O160" t="str">
        <f t="shared" ca="1" si="19"/>
        <v/>
      </c>
      <c r="P160" t="str">
        <f t="shared" ca="1" si="20"/>
        <v/>
      </c>
    </row>
    <row r="161" spans="1:16" x14ac:dyDescent="0.25">
      <c r="A161">
        <v>74</v>
      </c>
      <c r="B161">
        <v>1</v>
      </c>
      <c r="C161" t="str">
        <f t="shared" ca="1" si="14"/>
        <v/>
      </c>
      <c r="D161" t="str">
        <f t="shared" ca="1" si="15"/>
        <v/>
      </c>
      <c r="E161" t="str">
        <f t="shared" ca="1" si="16"/>
        <v/>
      </c>
      <c r="M161">
        <f t="shared" ca="1" si="17"/>
        <v>0.98391798207292691</v>
      </c>
      <c r="N161">
        <f t="shared" ca="1" si="18"/>
        <v>0.77506828917931736</v>
      </c>
      <c r="O161" t="str">
        <f t="shared" ca="1" si="19"/>
        <v/>
      </c>
      <c r="P161" t="str">
        <f t="shared" ca="1" si="20"/>
        <v/>
      </c>
    </row>
    <row r="162" spans="1:16" x14ac:dyDescent="0.25">
      <c r="A162">
        <v>220</v>
      </c>
      <c r="B162">
        <v>2</v>
      </c>
      <c r="C162" t="str">
        <f t="shared" ca="1" si="14"/>
        <v/>
      </c>
      <c r="D162" t="str">
        <f t="shared" ca="1" si="15"/>
        <v/>
      </c>
      <c r="E162" t="str">
        <f t="shared" ca="1" si="16"/>
        <v/>
      </c>
      <c r="M162">
        <f t="shared" ca="1" si="17"/>
        <v>0.87757731155086138</v>
      </c>
      <c r="N162" t="str">
        <f t="shared" ca="1" si="18"/>
        <v/>
      </c>
      <c r="O162">
        <f t="shared" ca="1" si="19"/>
        <v>0.57942698048700358</v>
      </c>
      <c r="P162" t="str">
        <f t="shared" ca="1" si="20"/>
        <v/>
      </c>
    </row>
    <row r="163" spans="1:16" x14ac:dyDescent="0.25">
      <c r="A163">
        <v>256</v>
      </c>
      <c r="B163">
        <v>2</v>
      </c>
      <c r="C163" t="str">
        <f t="shared" ca="1" si="14"/>
        <v/>
      </c>
      <c r="D163" t="str">
        <f t="shared" ca="1" si="15"/>
        <v/>
      </c>
      <c r="E163">
        <f t="shared" ca="1" si="16"/>
        <v>256</v>
      </c>
      <c r="M163">
        <f t="shared" ca="1" si="17"/>
        <v>0.76287948189301213</v>
      </c>
      <c r="N163" t="str">
        <f t="shared" ca="1" si="18"/>
        <v/>
      </c>
      <c r="O163">
        <f t="shared" ca="1" si="19"/>
        <v>0.1015647699764558</v>
      </c>
      <c r="P163" t="str">
        <f t="shared" ca="1" si="20"/>
        <v/>
      </c>
    </row>
    <row r="164" spans="1:16" x14ac:dyDescent="0.25">
      <c r="A164">
        <v>46</v>
      </c>
      <c r="B164">
        <v>1</v>
      </c>
      <c r="C164" t="str">
        <f t="shared" ca="1" si="14"/>
        <v/>
      </c>
      <c r="D164" t="str">
        <f t="shared" ca="1" si="15"/>
        <v/>
      </c>
      <c r="E164" t="str">
        <f t="shared" ca="1" si="16"/>
        <v/>
      </c>
      <c r="M164">
        <f t="shared" ca="1" si="17"/>
        <v>0.8081797273779121</v>
      </c>
      <c r="N164">
        <f t="shared" ca="1" si="18"/>
        <v>0.26953944494742665</v>
      </c>
      <c r="O164" t="str">
        <f t="shared" ca="1" si="19"/>
        <v/>
      </c>
      <c r="P164" t="str">
        <f t="shared" ca="1" si="20"/>
        <v/>
      </c>
    </row>
    <row r="165" spans="1:16" x14ac:dyDescent="0.25">
      <c r="A165">
        <v>85</v>
      </c>
      <c r="B165">
        <v>1</v>
      </c>
      <c r="C165" t="str">
        <f t="shared" ca="1" si="14"/>
        <v/>
      </c>
      <c r="D165" t="str">
        <f t="shared" ca="1" si="15"/>
        <v/>
      </c>
      <c r="E165" t="str">
        <f t="shared" ca="1" si="16"/>
        <v/>
      </c>
      <c r="M165">
        <f t="shared" ca="1" si="17"/>
        <v>0.77443203839800245</v>
      </c>
      <c r="N165">
        <f t="shared" ca="1" si="18"/>
        <v>0.77686324669083351</v>
      </c>
      <c r="O165" t="str">
        <f t="shared" ca="1" si="19"/>
        <v/>
      </c>
      <c r="P165" t="str">
        <f t="shared" ca="1" si="20"/>
        <v/>
      </c>
    </row>
    <row r="166" spans="1:16" x14ac:dyDescent="0.25">
      <c r="A166">
        <v>67</v>
      </c>
      <c r="B166">
        <v>1</v>
      </c>
      <c r="C166">
        <f t="shared" ca="1" si="14"/>
        <v>67</v>
      </c>
      <c r="D166" t="str">
        <f t="shared" ca="1" si="15"/>
        <v/>
      </c>
      <c r="E166" t="str">
        <f t="shared" ca="1" si="16"/>
        <v/>
      </c>
      <c r="M166">
        <f t="shared" ca="1" si="17"/>
        <v>0.10427878355438835</v>
      </c>
      <c r="N166">
        <f t="shared" ca="1" si="18"/>
        <v>0.82306893864502806</v>
      </c>
      <c r="O166" t="str">
        <f t="shared" ca="1" si="19"/>
        <v/>
      </c>
      <c r="P166">
        <f t="shared" ca="1" si="20"/>
        <v>1</v>
      </c>
    </row>
    <row r="167" spans="1:16" x14ac:dyDescent="0.25">
      <c r="A167">
        <v>65</v>
      </c>
      <c r="B167">
        <v>2</v>
      </c>
      <c r="C167" t="str">
        <f t="shared" ca="1" si="14"/>
        <v/>
      </c>
      <c r="D167" t="str">
        <f t="shared" ca="1" si="15"/>
        <v/>
      </c>
      <c r="E167">
        <f t="shared" ca="1" si="16"/>
        <v>65</v>
      </c>
      <c r="M167">
        <f t="shared" ca="1" si="17"/>
        <v>0.27935275649802027</v>
      </c>
      <c r="N167" t="str">
        <f t="shared" ca="1" si="18"/>
        <v/>
      </c>
      <c r="O167">
        <f t="shared" ca="1" si="19"/>
        <v>0.21340966843218245</v>
      </c>
      <c r="P167" t="str">
        <f t="shared" ca="1" si="20"/>
        <v/>
      </c>
    </row>
    <row r="168" spans="1:16" x14ac:dyDescent="0.25">
      <c r="A168">
        <v>67</v>
      </c>
      <c r="B168">
        <v>1</v>
      </c>
      <c r="C168">
        <f t="shared" ca="1" si="14"/>
        <v>67</v>
      </c>
      <c r="D168" t="str">
        <f t="shared" ca="1" si="15"/>
        <v/>
      </c>
      <c r="E168" t="str">
        <f t="shared" ca="1" si="16"/>
        <v/>
      </c>
      <c r="M168">
        <f t="shared" ca="1" si="17"/>
        <v>1.1687852381739972E-2</v>
      </c>
      <c r="N168">
        <f t="shared" ca="1" si="18"/>
        <v>0.56433905800786222</v>
      </c>
      <c r="O168" t="str">
        <f t="shared" ca="1" si="19"/>
        <v/>
      </c>
      <c r="P168">
        <f t="shared" ca="1" si="20"/>
        <v>1</v>
      </c>
    </row>
    <row r="169" spans="1:16" x14ac:dyDescent="0.25">
      <c r="A169">
        <v>132</v>
      </c>
      <c r="B169">
        <v>2</v>
      </c>
      <c r="C169" t="str">
        <f t="shared" ca="1" si="14"/>
        <v/>
      </c>
      <c r="D169" t="str">
        <f t="shared" ca="1" si="15"/>
        <v/>
      </c>
      <c r="E169" t="str">
        <f t="shared" ca="1" si="16"/>
        <v/>
      </c>
      <c r="M169">
        <f t="shared" ca="1" si="17"/>
        <v>0.58949885039553362</v>
      </c>
      <c r="N169" t="str">
        <f t="shared" ca="1" si="18"/>
        <v/>
      </c>
      <c r="O169">
        <f t="shared" ca="1" si="19"/>
        <v>0.49100754593121287</v>
      </c>
      <c r="P169" t="str">
        <f t="shared" ca="1" si="20"/>
        <v/>
      </c>
    </row>
    <row r="170" spans="1:16" x14ac:dyDescent="0.25">
      <c r="A170">
        <v>87</v>
      </c>
      <c r="B170">
        <v>1</v>
      </c>
      <c r="C170" t="str">
        <f t="shared" ca="1" si="14"/>
        <v/>
      </c>
      <c r="D170">
        <f t="shared" ca="1" si="15"/>
        <v>87</v>
      </c>
      <c r="E170" t="str">
        <f t="shared" ca="1" si="16"/>
        <v/>
      </c>
      <c r="M170">
        <f t="shared" ca="1" si="17"/>
        <v>0.84835918361774132</v>
      </c>
      <c r="N170">
        <f t="shared" ca="1" si="18"/>
        <v>0.19696292231474621</v>
      </c>
      <c r="O170" t="str">
        <f t="shared" ca="1" si="19"/>
        <v/>
      </c>
      <c r="P170" t="str">
        <f t="shared" ca="1" si="20"/>
        <v/>
      </c>
    </row>
    <row r="171" spans="1:16" x14ac:dyDescent="0.25">
      <c r="A171">
        <v>77</v>
      </c>
      <c r="B171">
        <v>1</v>
      </c>
      <c r="C171" t="str">
        <f t="shared" ca="1" si="14"/>
        <v/>
      </c>
      <c r="D171" t="str">
        <f t="shared" ca="1" si="15"/>
        <v/>
      </c>
      <c r="E171" t="str">
        <f t="shared" ca="1" si="16"/>
        <v/>
      </c>
      <c r="M171">
        <f t="shared" ca="1" si="17"/>
        <v>0.68105342932997781</v>
      </c>
      <c r="N171">
        <f t="shared" ca="1" si="18"/>
        <v>0.73548824411923253</v>
      </c>
      <c r="O171" t="str">
        <f t="shared" ca="1" si="19"/>
        <v/>
      </c>
      <c r="P171" t="str">
        <f t="shared" ca="1" si="20"/>
        <v/>
      </c>
    </row>
    <row r="172" spans="1:16" x14ac:dyDescent="0.25">
      <c r="A172">
        <v>125</v>
      </c>
      <c r="B172">
        <v>2</v>
      </c>
      <c r="C172" t="str">
        <f t="shared" ca="1" si="14"/>
        <v/>
      </c>
      <c r="D172" t="str">
        <f t="shared" ca="1" si="15"/>
        <v/>
      </c>
      <c r="E172">
        <f t="shared" ca="1" si="16"/>
        <v>125</v>
      </c>
      <c r="M172">
        <f t="shared" ca="1" si="17"/>
        <v>0.367264542567172</v>
      </c>
      <c r="N172" t="str">
        <f t="shared" ca="1" si="18"/>
        <v/>
      </c>
      <c r="O172">
        <f t="shared" ca="1" si="19"/>
        <v>9.0002003335464598E-2</v>
      </c>
      <c r="P172" t="str">
        <f t="shared" ca="1" si="20"/>
        <v/>
      </c>
    </row>
    <row r="173" spans="1:16" x14ac:dyDescent="0.25">
      <c r="A173">
        <v>52</v>
      </c>
      <c r="B173">
        <v>1</v>
      </c>
      <c r="C173" t="str">
        <f t="shared" ca="1" si="14"/>
        <v/>
      </c>
      <c r="D173" t="str">
        <f t="shared" ca="1" si="15"/>
        <v/>
      </c>
      <c r="E173" t="str">
        <f t="shared" ca="1" si="16"/>
        <v/>
      </c>
      <c r="M173">
        <f t="shared" ca="1" si="17"/>
        <v>0.55554096617818738</v>
      </c>
      <c r="N173">
        <f t="shared" ca="1" si="18"/>
        <v>0.52933415122526817</v>
      </c>
      <c r="O173" t="str">
        <f t="shared" ca="1" si="19"/>
        <v/>
      </c>
      <c r="P173" t="str">
        <f t="shared" ca="1" si="20"/>
        <v/>
      </c>
    </row>
    <row r="174" spans="1:16" x14ac:dyDescent="0.25">
      <c r="A174">
        <v>68</v>
      </c>
      <c r="B174">
        <v>2</v>
      </c>
      <c r="C174" t="str">
        <f t="shared" ca="1" si="14"/>
        <v/>
      </c>
      <c r="D174" t="str">
        <f t="shared" ca="1" si="15"/>
        <v/>
      </c>
      <c r="E174">
        <f t="shared" ca="1" si="16"/>
        <v>68</v>
      </c>
      <c r="M174">
        <f t="shared" ca="1" si="17"/>
        <v>0.7952261694746855</v>
      </c>
      <c r="N174" t="str">
        <f t="shared" ca="1" si="18"/>
        <v/>
      </c>
      <c r="O174">
        <f t="shared" ca="1" si="19"/>
        <v>6.8564807431454322E-2</v>
      </c>
      <c r="P174" t="str">
        <f t="shared" ca="1" si="20"/>
        <v/>
      </c>
    </row>
    <row r="175" spans="1:16" x14ac:dyDescent="0.25">
      <c r="A175">
        <v>63</v>
      </c>
      <c r="B175">
        <v>1</v>
      </c>
      <c r="C175" t="str">
        <f t="shared" ca="1" si="14"/>
        <v/>
      </c>
      <c r="D175" t="str">
        <f t="shared" ca="1" si="15"/>
        <v/>
      </c>
      <c r="E175" t="str">
        <f t="shared" ca="1" si="16"/>
        <v/>
      </c>
      <c r="M175">
        <f t="shared" ca="1" si="17"/>
        <v>0.63741044162364968</v>
      </c>
      <c r="N175">
        <f t="shared" ca="1" si="18"/>
        <v>0.32052169848011736</v>
      </c>
      <c r="O175" t="str">
        <f t="shared" ca="1" si="19"/>
        <v/>
      </c>
      <c r="P175" t="str">
        <f t="shared" ca="1" si="20"/>
        <v/>
      </c>
    </row>
    <row r="176" spans="1:16" x14ac:dyDescent="0.25">
      <c r="A176">
        <v>78</v>
      </c>
      <c r="B176">
        <v>1</v>
      </c>
      <c r="C176" t="str">
        <f t="shared" ca="1" si="14"/>
        <v/>
      </c>
      <c r="D176" t="str">
        <f t="shared" ca="1" si="15"/>
        <v/>
      </c>
      <c r="E176" t="str">
        <f t="shared" ca="1" si="16"/>
        <v/>
      </c>
      <c r="M176">
        <f t="shared" ca="1" si="17"/>
        <v>0.51524720319550343</v>
      </c>
      <c r="N176">
        <f t="shared" ca="1" si="18"/>
        <v>0.6917821828923616</v>
      </c>
      <c r="O176" t="str">
        <f t="shared" ca="1" si="19"/>
        <v/>
      </c>
      <c r="P176" t="str">
        <f t="shared" ca="1" si="20"/>
        <v/>
      </c>
    </row>
    <row r="177" spans="1:16" x14ac:dyDescent="0.25">
      <c r="A177">
        <v>77</v>
      </c>
      <c r="B177">
        <v>1</v>
      </c>
      <c r="C177" t="str">
        <f t="shared" ca="1" si="14"/>
        <v/>
      </c>
      <c r="D177" t="str">
        <f t="shared" ca="1" si="15"/>
        <v/>
      </c>
      <c r="E177" t="str">
        <f t="shared" ca="1" si="16"/>
        <v/>
      </c>
      <c r="M177">
        <f t="shared" ca="1" si="17"/>
        <v>0.57984734578366826</v>
      </c>
      <c r="N177">
        <f t="shared" ca="1" si="18"/>
        <v>0.8649600976065499</v>
      </c>
      <c r="O177" t="str">
        <f t="shared" ca="1" si="19"/>
        <v/>
      </c>
      <c r="P177" t="str">
        <f t="shared" ca="1" si="20"/>
        <v/>
      </c>
    </row>
    <row r="178" spans="1:16" x14ac:dyDescent="0.25">
      <c r="A178">
        <v>68</v>
      </c>
      <c r="B178">
        <v>1</v>
      </c>
      <c r="C178">
        <f t="shared" ca="1" si="14"/>
        <v>68</v>
      </c>
      <c r="D178" t="str">
        <f t="shared" ca="1" si="15"/>
        <v/>
      </c>
      <c r="E178" t="str">
        <f t="shared" ca="1" si="16"/>
        <v/>
      </c>
      <c r="M178">
        <f t="shared" ca="1" si="17"/>
        <v>0.18775419383701952</v>
      </c>
      <c r="N178">
        <f t="shared" ca="1" si="18"/>
        <v>0.75791753819888941</v>
      </c>
      <c r="O178" t="str">
        <f t="shared" ca="1" si="19"/>
        <v/>
      </c>
      <c r="P178">
        <f t="shared" ca="1" si="20"/>
        <v>1</v>
      </c>
    </row>
    <row r="179" spans="1:16" x14ac:dyDescent="0.25">
      <c r="A179">
        <v>89</v>
      </c>
      <c r="B179">
        <v>1</v>
      </c>
      <c r="C179">
        <f t="shared" ca="1" si="14"/>
        <v>89</v>
      </c>
      <c r="D179" t="str">
        <f t="shared" ca="1" si="15"/>
        <v/>
      </c>
      <c r="E179" t="str">
        <f t="shared" ca="1" si="16"/>
        <v/>
      </c>
      <c r="M179">
        <f t="shared" ca="1" si="17"/>
        <v>0.21538813111853827</v>
      </c>
      <c r="N179">
        <f t="shared" ca="1" si="18"/>
        <v>0.99100191386855752</v>
      </c>
      <c r="O179" t="str">
        <f t="shared" ca="1" si="19"/>
        <v/>
      </c>
      <c r="P179">
        <f t="shared" ca="1" si="20"/>
        <v>1</v>
      </c>
    </row>
    <row r="180" spans="1:16" x14ac:dyDescent="0.25">
      <c r="A180">
        <v>58</v>
      </c>
      <c r="B180">
        <v>1</v>
      </c>
      <c r="C180" t="str">
        <f t="shared" ca="1" si="14"/>
        <v/>
      </c>
      <c r="D180" t="str">
        <f t="shared" ca="1" si="15"/>
        <v/>
      </c>
      <c r="E180" t="str">
        <f t="shared" ca="1" si="16"/>
        <v/>
      </c>
      <c r="M180">
        <f t="shared" ca="1" si="17"/>
        <v>0.86614758742431952</v>
      </c>
      <c r="N180">
        <f t="shared" ca="1" si="18"/>
        <v>0.25642258901421933</v>
      </c>
      <c r="O180" t="str">
        <f t="shared" ca="1" si="19"/>
        <v/>
      </c>
      <c r="P180" t="str">
        <f t="shared" ca="1" si="20"/>
        <v/>
      </c>
    </row>
    <row r="181" spans="1:16" x14ac:dyDescent="0.25">
      <c r="A181">
        <v>162</v>
      </c>
      <c r="B181">
        <v>2</v>
      </c>
      <c r="C181" t="str">
        <f t="shared" ca="1" si="14"/>
        <v/>
      </c>
      <c r="D181" t="str">
        <f t="shared" ca="1" si="15"/>
        <v/>
      </c>
      <c r="E181" t="str">
        <f t="shared" ca="1" si="16"/>
        <v/>
      </c>
      <c r="M181">
        <f t="shared" ca="1" si="17"/>
        <v>0.28781460893397703</v>
      </c>
      <c r="N181" t="str">
        <f t="shared" ca="1" si="18"/>
        <v/>
      </c>
      <c r="O181">
        <f t="shared" ca="1" si="19"/>
        <v>0.34958013873832061</v>
      </c>
      <c r="P181" t="str">
        <f t="shared" ca="1" si="20"/>
        <v/>
      </c>
    </row>
    <row r="182" spans="1:16" x14ac:dyDescent="0.25">
      <c r="A182">
        <v>84</v>
      </c>
      <c r="B182">
        <v>1</v>
      </c>
      <c r="C182" t="str">
        <f t="shared" ca="1" si="14"/>
        <v/>
      </c>
      <c r="D182" t="str">
        <f t="shared" ca="1" si="15"/>
        <v/>
      </c>
      <c r="E182" t="str">
        <f t="shared" ca="1" si="16"/>
        <v/>
      </c>
      <c r="M182">
        <f t="shared" ca="1" si="17"/>
        <v>0.64905283885758269</v>
      </c>
      <c r="N182">
        <f t="shared" ca="1" si="18"/>
        <v>0.36912313614886838</v>
      </c>
      <c r="O182" t="str">
        <f t="shared" ca="1" si="19"/>
        <v/>
      </c>
      <c r="P182" t="str">
        <f t="shared" ca="1" si="20"/>
        <v/>
      </c>
    </row>
    <row r="183" spans="1:16" x14ac:dyDescent="0.25">
      <c r="A183">
        <v>54</v>
      </c>
      <c r="B183">
        <v>1</v>
      </c>
      <c r="C183" t="str">
        <f t="shared" ca="1" si="14"/>
        <v/>
      </c>
      <c r="D183" t="str">
        <f t="shared" ca="1" si="15"/>
        <v/>
      </c>
      <c r="E183" t="str">
        <f t="shared" ca="1" si="16"/>
        <v/>
      </c>
      <c r="M183">
        <f t="shared" ca="1" si="17"/>
        <v>0.79319923234139433</v>
      </c>
      <c r="N183">
        <f t="shared" ca="1" si="18"/>
        <v>0.53850957682072542</v>
      </c>
      <c r="O183" t="str">
        <f t="shared" ca="1" si="19"/>
        <v/>
      </c>
      <c r="P183" t="str">
        <f t="shared" ca="1" si="20"/>
        <v/>
      </c>
    </row>
    <row r="184" spans="1:16" x14ac:dyDescent="0.25">
      <c r="A184">
        <v>104</v>
      </c>
      <c r="B184">
        <v>2</v>
      </c>
      <c r="C184" t="str">
        <f t="shared" ca="1" si="14"/>
        <v/>
      </c>
      <c r="D184" t="str">
        <f t="shared" ca="1" si="15"/>
        <v/>
      </c>
      <c r="E184" t="str">
        <f t="shared" ca="1" si="16"/>
        <v/>
      </c>
      <c r="M184">
        <f t="shared" ca="1" si="17"/>
        <v>0.70518772015725528</v>
      </c>
      <c r="N184" t="str">
        <f t="shared" ca="1" si="18"/>
        <v/>
      </c>
      <c r="O184">
        <f t="shared" ca="1" si="19"/>
        <v>0.9233452571406694</v>
      </c>
      <c r="P184" t="str">
        <f t="shared" ca="1" si="20"/>
        <v/>
      </c>
    </row>
    <row r="185" spans="1:16" x14ac:dyDescent="0.25">
      <c r="A185">
        <v>82</v>
      </c>
      <c r="B185">
        <v>1</v>
      </c>
      <c r="C185" t="str">
        <f t="shared" ca="1" si="14"/>
        <v/>
      </c>
      <c r="D185">
        <f t="shared" ca="1" si="15"/>
        <v>82</v>
      </c>
      <c r="E185" t="str">
        <f t="shared" ca="1" si="16"/>
        <v/>
      </c>
      <c r="M185">
        <f t="shared" ca="1" si="17"/>
        <v>0.98099918287809973</v>
      </c>
      <c r="N185">
        <f t="shared" ca="1" si="18"/>
        <v>0.13163719831713949</v>
      </c>
      <c r="O185" t="str">
        <f t="shared" ca="1" si="19"/>
        <v/>
      </c>
      <c r="P185" t="str">
        <f t="shared" ca="1" si="20"/>
        <v/>
      </c>
    </row>
    <row r="186" spans="1:16" x14ac:dyDescent="0.25">
      <c r="A186">
        <v>156</v>
      </c>
      <c r="B186">
        <v>2</v>
      </c>
      <c r="C186" t="str">
        <f t="shared" ca="1" si="14"/>
        <v/>
      </c>
      <c r="D186" t="str">
        <f t="shared" ca="1" si="15"/>
        <v/>
      </c>
      <c r="E186">
        <f t="shared" ca="1" si="16"/>
        <v>156</v>
      </c>
      <c r="M186">
        <f t="shared" ca="1" si="17"/>
        <v>0.47109467555908058</v>
      </c>
      <c r="N186" t="str">
        <f t="shared" ca="1" si="18"/>
        <v/>
      </c>
      <c r="O186">
        <f t="shared" ca="1" si="19"/>
        <v>9.7253400669049639E-2</v>
      </c>
      <c r="P186" t="str">
        <f t="shared" ca="1" si="20"/>
        <v/>
      </c>
    </row>
    <row r="187" spans="1:16" x14ac:dyDescent="0.25">
      <c r="A187">
        <v>172</v>
      </c>
      <c r="B187">
        <v>2</v>
      </c>
      <c r="C187" t="str">
        <f t="shared" ca="1" si="14"/>
        <v/>
      </c>
      <c r="D187" t="str">
        <f t="shared" ca="1" si="15"/>
        <v/>
      </c>
      <c r="E187" t="str">
        <f t="shared" ca="1" si="16"/>
        <v/>
      </c>
      <c r="M187">
        <f t="shared" ca="1" si="17"/>
        <v>0.93010144300834685</v>
      </c>
      <c r="N187" t="str">
        <f t="shared" ca="1" si="18"/>
        <v/>
      </c>
      <c r="O187">
        <f t="shared" ca="1" si="19"/>
        <v>0.56898945866447637</v>
      </c>
      <c r="P187" t="str">
        <f t="shared" ca="1" si="20"/>
        <v/>
      </c>
    </row>
    <row r="188" spans="1:16" x14ac:dyDescent="0.25">
      <c r="A188">
        <v>74</v>
      </c>
      <c r="B188">
        <v>1</v>
      </c>
      <c r="C188" t="str">
        <f t="shared" ca="1" si="14"/>
        <v/>
      </c>
      <c r="D188" t="str">
        <f t="shared" ca="1" si="15"/>
        <v/>
      </c>
      <c r="E188" t="str">
        <f t="shared" ca="1" si="16"/>
        <v/>
      </c>
      <c r="M188">
        <f t="shared" ca="1" si="17"/>
        <v>0.72593494077286758</v>
      </c>
      <c r="N188">
        <f t="shared" ca="1" si="18"/>
        <v>0.92753453108717221</v>
      </c>
      <c r="O188" t="str">
        <f t="shared" ca="1" si="19"/>
        <v/>
      </c>
      <c r="P188" t="str">
        <f t="shared" ca="1" si="20"/>
        <v/>
      </c>
    </row>
    <row r="189" spans="1:16" x14ac:dyDescent="0.25">
      <c r="A189">
        <v>95</v>
      </c>
      <c r="B189">
        <v>1</v>
      </c>
      <c r="C189" t="str">
        <f t="shared" ca="1" si="14"/>
        <v/>
      </c>
      <c r="D189" t="str">
        <f t="shared" ca="1" si="15"/>
        <v/>
      </c>
      <c r="E189" t="str">
        <f t="shared" ca="1" si="16"/>
        <v/>
      </c>
      <c r="M189">
        <f t="shared" ca="1" si="17"/>
        <v>0.29581487401190287</v>
      </c>
      <c r="N189">
        <f t="shared" ca="1" si="18"/>
        <v>0.47633918707775758</v>
      </c>
      <c r="O189" t="str">
        <f t="shared" ca="1" si="19"/>
        <v/>
      </c>
      <c r="P189" t="str">
        <f t="shared" ca="1" si="20"/>
        <v/>
      </c>
    </row>
    <row r="190" spans="1:16" x14ac:dyDescent="0.25">
      <c r="A190">
        <v>63</v>
      </c>
      <c r="B190">
        <v>1</v>
      </c>
      <c r="C190">
        <f t="shared" ca="1" si="14"/>
        <v>63</v>
      </c>
      <c r="D190" t="str">
        <f t="shared" ca="1" si="15"/>
        <v/>
      </c>
      <c r="E190" t="str">
        <f t="shared" ca="1" si="16"/>
        <v/>
      </c>
      <c r="M190">
        <f t="shared" ca="1" si="17"/>
        <v>0.25072053704268837</v>
      </c>
      <c r="N190">
        <f t="shared" ca="1" si="18"/>
        <v>0.95957784308741767</v>
      </c>
      <c r="O190" t="str">
        <f t="shared" ca="1" si="19"/>
        <v/>
      </c>
      <c r="P190">
        <f t="shared" ca="1" si="20"/>
        <v>1</v>
      </c>
    </row>
    <row r="191" spans="1:16" x14ac:dyDescent="0.25">
      <c r="A191">
        <v>83</v>
      </c>
      <c r="B191">
        <v>1</v>
      </c>
      <c r="C191">
        <f t="shared" ca="1" si="14"/>
        <v>83</v>
      </c>
      <c r="D191" t="str">
        <f t="shared" ca="1" si="15"/>
        <v/>
      </c>
      <c r="E191" t="str">
        <f t="shared" ca="1" si="16"/>
        <v/>
      </c>
      <c r="M191">
        <f t="shared" ca="1" si="17"/>
        <v>8.0335044502143349E-2</v>
      </c>
      <c r="N191">
        <f t="shared" ca="1" si="18"/>
        <v>0.79026891415961131</v>
      </c>
      <c r="O191" t="str">
        <f t="shared" ca="1" si="19"/>
        <v/>
      </c>
      <c r="P191">
        <f t="shared" ca="1" si="20"/>
        <v>1</v>
      </c>
    </row>
    <row r="192" spans="1:16" x14ac:dyDescent="0.25">
      <c r="A192">
        <v>61</v>
      </c>
      <c r="B192">
        <v>2</v>
      </c>
      <c r="C192" t="str">
        <f t="shared" ca="1" si="14"/>
        <v/>
      </c>
      <c r="D192" t="str">
        <f t="shared" ca="1" si="15"/>
        <v/>
      </c>
      <c r="E192">
        <f t="shared" ca="1" si="16"/>
        <v>61</v>
      </c>
      <c r="M192">
        <f t="shared" ca="1" si="17"/>
        <v>0.81402883834894946</v>
      </c>
      <c r="N192" t="str">
        <f t="shared" ca="1" si="18"/>
        <v/>
      </c>
      <c r="O192">
        <f t="shared" ca="1" si="19"/>
        <v>0.20296489149000818</v>
      </c>
      <c r="P192" t="str">
        <f t="shared" ca="1" si="20"/>
        <v/>
      </c>
    </row>
    <row r="193" spans="1:16" x14ac:dyDescent="0.25">
      <c r="A193">
        <v>90</v>
      </c>
      <c r="B193">
        <v>1</v>
      </c>
      <c r="C193" t="str">
        <f t="shared" ca="1" si="14"/>
        <v/>
      </c>
      <c r="D193" t="str">
        <f t="shared" ca="1" si="15"/>
        <v/>
      </c>
      <c r="E193" t="str">
        <f t="shared" ca="1" si="16"/>
        <v/>
      </c>
      <c r="M193">
        <f t="shared" ca="1" si="17"/>
        <v>0.49961890489311966</v>
      </c>
      <c r="N193">
        <f t="shared" ca="1" si="18"/>
        <v>0.86062967843348936</v>
      </c>
      <c r="O193" t="str">
        <f t="shared" ca="1" si="19"/>
        <v/>
      </c>
      <c r="P193" t="str">
        <f t="shared" ca="1" si="20"/>
        <v/>
      </c>
    </row>
    <row r="194" spans="1:16" x14ac:dyDescent="0.25">
      <c r="A194">
        <v>136</v>
      </c>
      <c r="B194">
        <v>2</v>
      </c>
      <c r="C194" t="str">
        <f t="shared" ca="1" si="14"/>
        <v/>
      </c>
      <c r="D194" t="str">
        <f t="shared" ca="1" si="15"/>
        <v/>
      </c>
      <c r="E194" t="str">
        <f t="shared" ca="1" si="16"/>
        <v/>
      </c>
      <c r="M194">
        <f t="shared" ca="1" si="17"/>
        <v>0.46992174704992584</v>
      </c>
      <c r="N194" t="str">
        <f t="shared" ca="1" si="18"/>
        <v/>
      </c>
      <c r="O194">
        <f t="shared" ca="1" si="19"/>
        <v>0.58004193322054509</v>
      </c>
      <c r="P194" t="str">
        <f t="shared" ca="1" si="20"/>
        <v/>
      </c>
    </row>
    <row r="195" spans="1:16" x14ac:dyDescent="0.25">
      <c r="A195">
        <v>56</v>
      </c>
      <c r="B195">
        <v>1</v>
      </c>
      <c r="C195" t="str">
        <f t="shared" ca="1" si="14"/>
        <v/>
      </c>
      <c r="D195" t="str">
        <f t="shared" ca="1" si="15"/>
        <v/>
      </c>
      <c r="E195" t="str">
        <f t="shared" ca="1" si="16"/>
        <v/>
      </c>
      <c r="M195">
        <f t="shared" ca="1" si="17"/>
        <v>0.65007766403495526</v>
      </c>
      <c r="N195">
        <f t="shared" ca="1" si="18"/>
        <v>0.99645575044419021</v>
      </c>
      <c r="O195" t="str">
        <f t="shared" ca="1" si="19"/>
        <v/>
      </c>
      <c r="P195" t="str">
        <f t="shared" ca="1" si="20"/>
        <v/>
      </c>
    </row>
    <row r="196" spans="1:16" x14ac:dyDescent="0.25">
      <c r="A196">
        <v>93</v>
      </c>
      <c r="B196">
        <v>1</v>
      </c>
      <c r="C196" t="str">
        <f t="shared" ca="1" si="14"/>
        <v/>
      </c>
      <c r="D196">
        <f t="shared" ca="1" si="15"/>
        <v>93</v>
      </c>
      <c r="E196" t="str">
        <f t="shared" ca="1" si="16"/>
        <v/>
      </c>
      <c r="M196">
        <f t="shared" ca="1" si="17"/>
        <v>0.5383534414284129</v>
      </c>
      <c r="N196">
        <f t="shared" ca="1" si="18"/>
        <v>0.15093866866494876</v>
      </c>
      <c r="O196" t="str">
        <f t="shared" ca="1" si="19"/>
        <v/>
      </c>
      <c r="P196" t="str">
        <f t="shared" ca="1" si="20"/>
        <v/>
      </c>
    </row>
    <row r="197" spans="1:16" x14ac:dyDescent="0.25">
      <c r="A197">
        <v>51</v>
      </c>
      <c r="B197">
        <v>1</v>
      </c>
      <c r="C197" t="str">
        <f t="shared" ca="1" si="14"/>
        <v/>
      </c>
      <c r="D197" t="str">
        <f t="shared" ca="1" si="15"/>
        <v/>
      </c>
      <c r="E197" t="str">
        <f t="shared" ca="1" si="16"/>
        <v/>
      </c>
      <c r="M197">
        <f t="shared" ca="1" si="17"/>
        <v>0.6540035342471453</v>
      </c>
      <c r="N197">
        <f t="shared" ca="1" si="18"/>
        <v>0.8483819515307125</v>
      </c>
      <c r="O197" t="str">
        <f t="shared" ca="1" si="19"/>
        <v/>
      </c>
      <c r="P197" t="str">
        <f t="shared" ca="1" si="20"/>
        <v/>
      </c>
    </row>
    <row r="198" spans="1:16" x14ac:dyDescent="0.25">
      <c r="A198">
        <v>86</v>
      </c>
      <c r="B198">
        <v>2</v>
      </c>
      <c r="C198" t="str">
        <f t="shared" ca="1" si="14"/>
        <v/>
      </c>
      <c r="D198" t="str">
        <f t="shared" ca="1" si="15"/>
        <v/>
      </c>
      <c r="E198" t="str">
        <f t="shared" ca="1" si="16"/>
        <v/>
      </c>
      <c r="M198">
        <f t="shared" ca="1" si="17"/>
        <v>0.61248148792352963</v>
      </c>
      <c r="N198" t="str">
        <f t="shared" ca="1" si="18"/>
        <v/>
      </c>
      <c r="O198">
        <f t="shared" ca="1" si="19"/>
        <v>0.75173034110852799</v>
      </c>
      <c r="P198" t="str">
        <f t="shared" ca="1" si="20"/>
        <v/>
      </c>
    </row>
    <row r="199" spans="1:16" x14ac:dyDescent="0.25">
      <c r="A199">
        <v>76</v>
      </c>
      <c r="B199">
        <v>1</v>
      </c>
      <c r="C199">
        <f t="shared" ca="1" si="14"/>
        <v>76</v>
      </c>
      <c r="D199">
        <f t="shared" ca="1" si="15"/>
        <v>76</v>
      </c>
      <c r="E199" t="str">
        <f t="shared" ca="1" si="16"/>
        <v/>
      </c>
      <c r="M199">
        <f t="shared" ca="1" si="17"/>
        <v>0.23962119905460388</v>
      </c>
      <c r="N199">
        <f t="shared" ca="1" si="18"/>
        <v>0.22155491818405071</v>
      </c>
      <c r="O199" t="str">
        <f t="shared" ca="1" si="19"/>
        <v/>
      </c>
      <c r="P199">
        <f t="shared" ca="1" si="20"/>
        <v>1</v>
      </c>
    </row>
    <row r="200" spans="1:16" x14ac:dyDescent="0.25">
      <c r="A200">
        <v>69</v>
      </c>
      <c r="B200">
        <v>1</v>
      </c>
      <c r="C200">
        <f t="shared" ca="1" si="14"/>
        <v>69</v>
      </c>
      <c r="D200" t="str">
        <f t="shared" ca="1" si="15"/>
        <v/>
      </c>
      <c r="E200" t="str">
        <f t="shared" ca="1" si="16"/>
        <v/>
      </c>
      <c r="M200">
        <f t="shared" ca="1" si="17"/>
        <v>7.8395201130818881E-2</v>
      </c>
      <c r="N200">
        <f t="shared" ca="1" si="18"/>
        <v>0.98412253266741345</v>
      </c>
      <c r="O200" t="str">
        <f t="shared" ca="1" si="19"/>
        <v/>
      </c>
      <c r="P200">
        <f t="shared" ca="1" si="20"/>
        <v>1</v>
      </c>
    </row>
    <row r="201" spans="1:16" x14ac:dyDescent="0.25">
      <c r="A201">
        <v>63</v>
      </c>
      <c r="B201">
        <v>1</v>
      </c>
      <c r="C201" t="str">
        <f t="shared" ca="1" si="14"/>
        <v/>
      </c>
      <c r="D201">
        <f t="shared" ca="1" si="15"/>
        <v>63</v>
      </c>
      <c r="E201" t="str">
        <f t="shared" ca="1" si="16"/>
        <v/>
      </c>
      <c r="M201">
        <f t="shared" ca="1" si="17"/>
        <v>0.33775618678484098</v>
      </c>
      <c r="N201">
        <f t="shared" ca="1" si="18"/>
        <v>6.2219158551626963E-2</v>
      </c>
      <c r="O201" t="str">
        <f t="shared" ca="1" si="19"/>
        <v/>
      </c>
      <c r="P201" t="str">
        <f t="shared" ca="1" si="20"/>
        <v/>
      </c>
    </row>
    <row r="202" spans="1:16" x14ac:dyDescent="0.25">
      <c r="A202">
        <v>140</v>
      </c>
      <c r="B202">
        <v>2</v>
      </c>
      <c r="C202">
        <f t="shared" ca="1" si="14"/>
        <v>140</v>
      </c>
      <c r="D202" t="str">
        <f t="shared" ca="1" si="15"/>
        <v/>
      </c>
      <c r="E202">
        <f t="shared" ca="1" si="16"/>
        <v>140</v>
      </c>
      <c r="M202">
        <f t="shared" ca="1" si="17"/>
        <v>1.496569723140595E-2</v>
      </c>
      <c r="N202" t="str">
        <f t="shared" ca="1" si="18"/>
        <v/>
      </c>
      <c r="O202">
        <f t="shared" ca="1" si="19"/>
        <v>0.1364863121924339</v>
      </c>
      <c r="P202" t="str">
        <f t="shared" ca="1" si="20"/>
        <v/>
      </c>
    </row>
    <row r="203" spans="1:16" x14ac:dyDescent="0.25">
      <c r="A203">
        <v>49</v>
      </c>
      <c r="B203">
        <v>2</v>
      </c>
      <c r="C203" t="str">
        <f t="shared" ref="C203:C210" ca="1" si="21">IF(M203&lt;=PERCENTILE($M$11:$M$210,$C$7/COUNT($B$11:$B$210)),A203,"")</f>
        <v/>
      </c>
      <c r="D203" t="str">
        <f t="shared" ref="D203:D210" ca="1" si="22">IF(N203&lt;=PERCENTILE($N$11:$N$210,$D$7/$D$4),A203,"")</f>
        <v/>
      </c>
      <c r="E203" t="str">
        <f t="shared" ref="E203:E210" ca="1" si="23">IF(O203&lt;=PERCENTILE($O$11:$O$210,$E$7/$E$4),A203,"")</f>
        <v/>
      </c>
      <c r="M203">
        <f t="shared" ref="M203:M210" ca="1" si="24">RAND()</f>
        <v>0.78769689636353346</v>
      </c>
      <c r="N203" t="str">
        <f t="shared" ref="N203:N210" ca="1" si="25">IF(B203=$D$2,RAND(),"")</f>
        <v/>
      </c>
      <c r="O203">
        <f t="shared" ref="O203:O210" ca="1" si="26">IF(B203=$E$2,RAND(),"")</f>
        <v>0.35782519465564855</v>
      </c>
      <c r="P203" t="str">
        <f t="shared" ref="P203:P210" ca="1" si="27">IF(AND(C203&lt;&gt;"",B203=1),B203,"")</f>
        <v/>
      </c>
    </row>
    <row r="204" spans="1:16" x14ac:dyDescent="0.25">
      <c r="A204">
        <v>117</v>
      </c>
      <c r="B204">
        <v>1</v>
      </c>
      <c r="C204">
        <f t="shared" ca="1" si="21"/>
        <v>117</v>
      </c>
      <c r="D204" t="str">
        <f t="shared" ca="1" si="22"/>
        <v/>
      </c>
      <c r="E204" t="str">
        <f t="shared" ca="1" si="23"/>
        <v/>
      </c>
      <c r="M204">
        <f t="shared" ca="1" si="24"/>
        <v>0.18915083670842214</v>
      </c>
      <c r="N204">
        <f t="shared" ca="1" si="25"/>
        <v>0.6732434392726252</v>
      </c>
      <c r="O204" t="str">
        <f t="shared" ca="1" si="26"/>
        <v/>
      </c>
      <c r="P204">
        <f t="shared" ca="1" si="27"/>
        <v>1</v>
      </c>
    </row>
    <row r="205" spans="1:16" x14ac:dyDescent="0.25">
      <c r="A205">
        <v>28</v>
      </c>
      <c r="B205">
        <v>1</v>
      </c>
      <c r="C205">
        <f t="shared" ca="1" si="21"/>
        <v>28</v>
      </c>
      <c r="D205">
        <f t="shared" ca="1" si="22"/>
        <v>28</v>
      </c>
      <c r="E205" t="str">
        <f t="shared" ca="1" si="23"/>
        <v/>
      </c>
      <c r="M205">
        <f t="shared" ca="1" si="24"/>
        <v>0.2464643093290817</v>
      </c>
      <c r="N205">
        <f t="shared" ca="1" si="25"/>
        <v>0.24955941988795372</v>
      </c>
      <c r="O205" t="str">
        <f t="shared" ca="1" si="26"/>
        <v/>
      </c>
      <c r="P205">
        <f t="shared" ca="1" si="27"/>
        <v>1</v>
      </c>
    </row>
    <row r="206" spans="1:16" x14ac:dyDescent="0.25">
      <c r="A206">
        <v>53</v>
      </c>
      <c r="B206">
        <v>1</v>
      </c>
      <c r="C206">
        <f t="shared" ca="1" si="21"/>
        <v>53</v>
      </c>
      <c r="D206">
        <f t="shared" ca="1" si="22"/>
        <v>53</v>
      </c>
      <c r="E206" t="str">
        <f t="shared" ca="1" si="23"/>
        <v/>
      </c>
      <c r="M206">
        <f t="shared" ca="1" si="24"/>
        <v>2.2177775377990927E-2</v>
      </c>
      <c r="N206">
        <f t="shared" ca="1" si="25"/>
        <v>0.22554499166256048</v>
      </c>
      <c r="O206" t="str">
        <f t="shared" ca="1" si="26"/>
        <v/>
      </c>
      <c r="P206">
        <f t="shared" ca="1" si="27"/>
        <v>1</v>
      </c>
    </row>
    <row r="207" spans="1:16" x14ac:dyDescent="0.25">
      <c r="A207">
        <v>152</v>
      </c>
      <c r="B207">
        <v>2</v>
      </c>
      <c r="C207">
        <f t="shared" ca="1" si="21"/>
        <v>152</v>
      </c>
      <c r="D207" t="str">
        <f t="shared" ca="1" si="22"/>
        <v/>
      </c>
      <c r="E207" t="str">
        <f t="shared" ca="1" si="23"/>
        <v/>
      </c>
      <c r="M207">
        <f t="shared" ca="1" si="24"/>
        <v>0.16613176236966598</v>
      </c>
      <c r="N207" t="str">
        <f t="shared" ca="1" si="25"/>
        <v/>
      </c>
      <c r="O207">
        <f t="shared" ca="1" si="26"/>
        <v>0.31681669252078692</v>
      </c>
      <c r="P207" t="str">
        <f t="shared" ca="1" si="27"/>
        <v/>
      </c>
    </row>
    <row r="208" spans="1:16" x14ac:dyDescent="0.25">
      <c r="A208">
        <v>179</v>
      </c>
      <c r="B208">
        <v>2</v>
      </c>
      <c r="C208" t="str">
        <f t="shared" ca="1" si="21"/>
        <v/>
      </c>
      <c r="D208" t="str">
        <f t="shared" ca="1" si="22"/>
        <v/>
      </c>
      <c r="E208" t="str">
        <f t="shared" ca="1" si="23"/>
        <v/>
      </c>
      <c r="M208">
        <f t="shared" ca="1" si="24"/>
        <v>0.52338006858585306</v>
      </c>
      <c r="N208" t="str">
        <f t="shared" ca="1" si="25"/>
        <v/>
      </c>
      <c r="O208">
        <f t="shared" ca="1" si="26"/>
        <v>0.77575145566668147</v>
      </c>
      <c r="P208" t="str">
        <f t="shared" ca="1" si="27"/>
        <v/>
      </c>
    </row>
    <row r="209" spans="1:16" x14ac:dyDescent="0.25">
      <c r="A209">
        <v>79</v>
      </c>
      <c r="B209">
        <v>1</v>
      </c>
      <c r="C209">
        <f t="shared" ca="1" si="21"/>
        <v>79</v>
      </c>
      <c r="D209" t="str">
        <f t="shared" ca="1" si="22"/>
        <v/>
      </c>
      <c r="E209" t="str">
        <f t="shared" ca="1" si="23"/>
        <v/>
      </c>
      <c r="M209">
        <f t="shared" ca="1" si="24"/>
        <v>8.9075995806651265E-2</v>
      </c>
      <c r="N209">
        <f t="shared" ca="1" si="25"/>
        <v>0.86762046639558954</v>
      </c>
      <c r="O209" t="str">
        <f t="shared" ca="1" si="26"/>
        <v/>
      </c>
      <c r="P209">
        <f t="shared" ca="1" si="27"/>
        <v>1</v>
      </c>
    </row>
    <row r="210" spans="1:16" x14ac:dyDescent="0.25">
      <c r="A210">
        <v>83</v>
      </c>
      <c r="B210">
        <v>1</v>
      </c>
      <c r="C210" t="str">
        <f t="shared" ca="1" si="21"/>
        <v/>
      </c>
      <c r="D210" t="str">
        <f t="shared" ca="1" si="22"/>
        <v/>
      </c>
      <c r="E210" t="str">
        <f t="shared" ca="1" si="23"/>
        <v/>
      </c>
      <c r="M210">
        <f t="shared" ca="1" si="24"/>
        <v>0.6287969265221609</v>
      </c>
      <c r="N210">
        <f t="shared" ca="1" si="25"/>
        <v>0.97177159096984811</v>
      </c>
      <c r="O210" t="str">
        <f t="shared" ca="1" si="26"/>
        <v/>
      </c>
      <c r="P210" t="str">
        <f t="shared" ca="1" si="27"/>
        <v/>
      </c>
    </row>
  </sheetData>
  <mergeCells count="9">
    <mergeCell ref="M9:O9"/>
    <mergeCell ref="M10:O10"/>
    <mergeCell ref="I18:J18"/>
    <mergeCell ref="I19:J19"/>
    <mergeCell ref="I20:J20"/>
    <mergeCell ref="I21:J21"/>
    <mergeCell ref="A9:B9"/>
    <mergeCell ref="C9:E9"/>
    <mergeCell ref="I9:J9"/>
  </mergeCells>
  <printOptions gridLines="1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ColWidth="11.453125" defaultRowHeight="12.5" x14ac:dyDescent="0.25"/>
  <cols>
    <col min="1" max="6" width="11.453125" customWidth="1"/>
    <col min="7" max="7" width="6" customWidth="1"/>
  </cols>
  <sheetData>
    <row r="1" spans="1:8" ht="13" x14ac:dyDescent="0.3">
      <c r="A1" s="2" t="s">
        <v>316</v>
      </c>
    </row>
    <row r="3" spans="1:8" x14ac:dyDescent="0.25">
      <c r="A3" t="s">
        <v>317</v>
      </c>
      <c r="D3">
        <f>SUM(B8:B22)</f>
        <v>100</v>
      </c>
    </row>
    <row r="4" spans="1:8" x14ac:dyDescent="0.25">
      <c r="A4" t="s">
        <v>318</v>
      </c>
      <c r="D4">
        <f>COUNT(A8:A22)</f>
        <v>15</v>
      </c>
    </row>
    <row r="5" spans="1:8" x14ac:dyDescent="0.25">
      <c r="A5" t="s">
        <v>319</v>
      </c>
      <c r="D5" s="3">
        <v>450</v>
      </c>
    </row>
    <row r="6" spans="1:8" ht="13" x14ac:dyDescent="0.3">
      <c r="A6" s="2"/>
    </row>
    <row r="7" spans="1:8" ht="29.25" customHeight="1" x14ac:dyDescent="0.25">
      <c r="A7" s="3" t="s">
        <v>320</v>
      </c>
      <c r="B7" s="22" t="s">
        <v>321</v>
      </c>
      <c r="C7" s="22" t="s">
        <v>322</v>
      </c>
      <c r="D7" s="22" t="s">
        <v>323</v>
      </c>
      <c r="H7" s="22" t="s">
        <v>324</v>
      </c>
    </row>
    <row r="8" spans="1:8" x14ac:dyDescent="0.25">
      <c r="A8">
        <v>1</v>
      </c>
      <c r="B8">
        <v>8</v>
      </c>
      <c r="C8" s="13">
        <v>90</v>
      </c>
      <c r="D8">
        <f t="shared" ref="D8:D22" si="0">(B8*(C8-$G$8)/$D$3)^2</f>
        <v>2.5600000000000001E-2</v>
      </c>
      <c r="F8" t="s">
        <v>116</v>
      </c>
      <c r="G8" s="13">
        <f>SUMPRODUCT(B8:B22,C8:C22)/SUM(B8:B22)</f>
        <v>92</v>
      </c>
    </row>
    <row r="9" spans="1:8" x14ac:dyDescent="0.25">
      <c r="A9">
        <v>2</v>
      </c>
      <c r="B9">
        <v>2</v>
      </c>
      <c r="C9" s="13">
        <v>105</v>
      </c>
      <c r="D9">
        <f t="shared" si="0"/>
        <v>6.7600000000000007E-2</v>
      </c>
      <c r="F9" t="s">
        <v>281</v>
      </c>
      <c r="G9" s="29">
        <f>SQRT(SUM(D8:D22))</f>
        <v>0.985190336940025</v>
      </c>
      <c r="H9" s="29">
        <f>SQRT((1-D4/D5)*(D4/(D4-1))*SUM(D8:D22))</f>
        <v>1.0026286878572175</v>
      </c>
    </row>
    <row r="10" spans="1:8" x14ac:dyDescent="0.25">
      <c r="A10">
        <v>3</v>
      </c>
      <c r="B10">
        <v>10</v>
      </c>
      <c r="C10" s="13">
        <v>95</v>
      </c>
      <c r="D10">
        <f t="shared" si="0"/>
        <v>0.09</v>
      </c>
      <c r="F10" s="3" t="s">
        <v>314</v>
      </c>
      <c r="G10" s="13">
        <f>$G$8+NORMSINV(0.025)*G$9</f>
        <v>90.06906242168067</v>
      </c>
      <c r="H10" s="13">
        <f>$G$8+NORMSINV(0.025)*H$9</f>
        <v>90.034883881933197</v>
      </c>
    </row>
    <row r="11" spans="1:8" x14ac:dyDescent="0.25">
      <c r="A11">
        <v>4</v>
      </c>
      <c r="B11">
        <v>9</v>
      </c>
      <c r="C11" s="13">
        <v>93</v>
      </c>
      <c r="D11">
        <f t="shared" si="0"/>
        <v>8.0999999999999996E-3</v>
      </c>
      <c r="F11" s="3" t="s">
        <v>315</v>
      </c>
      <c r="G11" s="13">
        <f>$G$8+NORMSINV(0.975)*G$9</f>
        <v>93.93093757831933</v>
      </c>
      <c r="H11" s="13">
        <f>$G$8+NORMSINV(0.975)*H$9</f>
        <v>93.965116118066803</v>
      </c>
    </row>
    <row r="12" spans="1:8" x14ac:dyDescent="0.25">
      <c r="A12">
        <v>5</v>
      </c>
      <c r="B12">
        <v>7</v>
      </c>
      <c r="C12" s="13">
        <v>94</v>
      </c>
      <c r="D12">
        <f t="shared" si="0"/>
        <v>1.9600000000000003E-2</v>
      </c>
    </row>
    <row r="13" spans="1:8" x14ac:dyDescent="0.25">
      <c r="A13">
        <v>6</v>
      </c>
      <c r="B13">
        <v>9</v>
      </c>
      <c r="C13" s="13">
        <v>91</v>
      </c>
      <c r="D13">
        <f t="shared" si="0"/>
        <v>8.0999999999999996E-3</v>
      </c>
    </row>
    <row r="14" spans="1:8" x14ac:dyDescent="0.25">
      <c r="A14">
        <v>7</v>
      </c>
      <c r="B14">
        <v>6</v>
      </c>
      <c r="C14" s="13">
        <v>92</v>
      </c>
      <c r="D14">
        <f t="shared" si="0"/>
        <v>0</v>
      </c>
    </row>
    <row r="15" spans="1:8" x14ac:dyDescent="0.25">
      <c r="A15">
        <v>8</v>
      </c>
      <c r="B15">
        <v>1</v>
      </c>
      <c r="C15" s="13">
        <v>124</v>
      </c>
      <c r="D15">
        <f t="shared" si="0"/>
        <v>0.1024</v>
      </c>
    </row>
    <row r="16" spans="1:8" x14ac:dyDescent="0.25">
      <c r="A16">
        <v>9</v>
      </c>
      <c r="B16">
        <v>7</v>
      </c>
      <c r="C16" s="13">
        <v>88</v>
      </c>
      <c r="D16">
        <f t="shared" si="0"/>
        <v>7.8400000000000011E-2</v>
      </c>
    </row>
    <row r="17" spans="1:4" x14ac:dyDescent="0.25">
      <c r="A17">
        <v>10</v>
      </c>
      <c r="B17">
        <v>11</v>
      </c>
      <c r="C17" s="13">
        <v>86</v>
      </c>
      <c r="D17">
        <f t="shared" si="0"/>
        <v>0.43560000000000004</v>
      </c>
    </row>
    <row r="18" spans="1:4" x14ac:dyDescent="0.25">
      <c r="A18">
        <v>11</v>
      </c>
      <c r="B18">
        <v>5</v>
      </c>
      <c r="C18" s="13">
        <v>91</v>
      </c>
      <c r="D18">
        <f t="shared" si="0"/>
        <v>2.5000000000000005E-3</v>
      </c>
    </row>
    <row r="19" spans="1:4" x14ac:dyDescent="0.25">
      <c r="A19">
        <v>12</v>
      </c>
      <c r="B19">
        <v>9</v>
      </c>
      <c r="C19" s="13">
        <v>89</v>
      </c>
      <c r="D19">
        <f t="shared" si="0"/>
        <v>7.2900000000000006E-2</v>
      </c>
    </row>
    <row r="20" spans="1:4" x14ac:dyDescent="0.25">
      <c r="A20">
        <v>13</v>
      </c>
      <c r="B20">
        <v>3</v>
      </c>
      <c r="C20" s="13">
        <v>97</v>
      </c>
      <c r="D20">
        <f t="shared" si="0"/>
        <v>2.2499999999999999E-2</v>
      </c>
    </row>
    <row r="21" spans="1:4" x14ac:dyDescent="0.25">
      <c r="A21">
        <v>14</v>
      </c>
      <c r="B21">
        <v>6</v>
      </c>
      <c r="C21" s="13">
        <v>95</v>
      </c>
      <c r="D21">
        <f t="shared" si="0"/>
        <v>3.2399999999999998E-2</v>
      </c>
    </row>
    <row r="22" spans="1:4" x14ac:dyDescent="0.25">
      <c r="A22">
        <v>15</v>
      </c>
      <c r="B22">
        <v>7</v>
      </c>
      <c r="C22" s="13">
        <v>93</v>
      </c>
      <c r="D22">
        <f t="shared" si="0"/>
        <v>4.9000000000000007E-3</v>
      </c>
    </row>
    <row r="23" spans="1:4" x14ac:dyDescent="0.25">
      <c r="A23" t="s">
        <v>116</v>
      </c>
      <c r="B23" s="14">
        <f>AVERAGE(B8:B22)</f>
        <v>6.666666666666667</v>
      </c>
      <c r="C23" s="13"/>
    </row>
    <row r="24" spans="1:4" x14ac:dyDescent="0.25">
      <c r="A24" t="s">
        <v>281</v>
      </c>
      <c r="B24" s="14">
        <f>STDEV(B8:B22)/SQRT(D4)</f>
        <v>0.75382621886875789</v>
      </c>
    </row>
    <row r="25" spans="1:4" x14ac:dyDescent="0.25">
      <c r="A25" t="s">
        <v>325</v>
      </c>
      <c r="B25" s="14">
        <f>B24/B23</f>
        <v>0.11307393283031368</v>
      </c>
    </row>
  </sheetData>
  <printOptions gridLines="1"/>
  <pageMargins left="0.78740157499999996" right="0.78740157499999996" top="0.984251969" bottom="0.984251969" header="0.4921259845" footer="0.4921259845"/>
  <pageSetup paperSize="9" orientation="portrait" r:id="rId1"/>
  <headerFooter alignWithMargins="0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3"/>
  <sheetViews>
    <sheetView workbookViewId="0"/>
  </sheetViews>
  <sheetFormatPr defaultColWidth="9.1796875" defaultRowHeight="12.5" x14ac:dyDescent="0.25"/>
  <cols>
    <col min="6" max="6" width="12.453125" customWidth="1"/>
  </cols>
  <sheetData>
    <row r="1" spans="1:18" ht="13" x14ac:dyDescent="0.3">
      <c r="A1" s="2" t="s">
        <v>326</v>
      </c>
    </row>
    <row r="3" spans="1:18" x14ac:dyDescent="0.25">
      <c r="A3" s="3" t="s">
        <v>8</v>
      </c>
      <c r="B3" s="3" t="s">
        <v>12</v>
      </c>
      <c r="J3" s="3"/>
      <c r="K3" s="3" t="s">
        <v>327</v>
      </c>
      <c r="L3" s="3" t="s">
        <v>197</v>
      </c>
      <c r="M3" s="3" t="s">
        <v>328</v>
      </c>
      <c r="N3" s="3" t="s">
        <v>329</v>
      </c>
      <c r="O3" s="3" t="s">
        <v>330</v>
      </c>
      <c r="P3" s="3" t="s">
        <v>331</v>
      </c>
      <c r="Q3" s="3" t="s">
        <v>332</v>
      </c>
      <c r="R3" s="3" t="s">
        <v>182</v>
      </c>
    </row>
    <row r="4" spans="1:18" x14ac:dyDescent="0.25">
      <c r="A4">
        <v>58</v>
      </c>
      <c r="B4" s="131">
        <v>65400</v>
      </c>
      <c r="K4" s="13">
        <v>65400</v>
      </c>
      <c r="L4">
        <v>58</v>
      </c>
      <c r="M4" s="13">
        <f t="shared" ref="M4:M13" si="0">K4-$K$14</f>
        <v>8060</v>
      </c>
      <c r="N4">
        <f t="shared" ref="N4:N13" si="1">L4-$L$14</f>
        <v>4.2000000000000028</v>
      </c>
      <c r="O4" s="13">
        <f t="shared" ref="O4:O13" si="2">M4*N4</f>
        <v>33852.000000000022</v>
      </c>
      <c r="P4">
        <f t="shared" ref="P4:Q13" si="3">RANK(K4,K$4:K$13)</f>
        <v>2</v>
      </c>
      <c r="Q4">
        <f t="shared" si="3"/>
        <v>4</v>
      </c>
      <c r="R4">
        <f t="shared" ref="R4:R13" si="4">P4-Q4</f>
        <v>-2</v>
      </c>
    </row>
    <row r="5" spans="1:18" x14ac:dyDescent="0.25">
      <c r="A5">
        <v>48</v>
      </c>
      <c r="B5" s="131">
        <v>62000</v>
      </c>
      <c r="K5" s="13">
        <v>62000</v>
      </c>
      <c r="L5">
        <v>48</v>
      </c>
      <c r="M5" s="13">
        <f t="shared" si="0"/>
        <v>4660</v>
      </c>
      <c r="N5">
        <f t="shared" si="1"/>
        <v>-5.7999999999999972</v>
      </c>
      <c r="O5" s="13">
        <f t="shared" si="2"/>
        <v>-27027.999999999985</v>
      </c>
      <c r="P5">
        <f t="shared" si="3"/>
        <v>4</v>
      </c>
      <c r="Q5">
        <f t="shared" si="3"/>
        <v>8</v>
      </c>
      <c r="R5">
        <f t="shared" si="4"/>
        <v>-4</v>
      </c>
    </row>
    <row r="6" spans="1:18" x14ac:dyDescent="0.25">
      <c r="A6">
        <v>58</v>
      </c>
      <c r="B6" s="131">
        <v>63200</v>
      </c>
      <c r="K6" s="13">
        <v>63200</v>
      </c>
      <c r="L6">
        <v>58</v>
      </c>
      <c r="M6" s="13">
        <f t="shared" si="0"/>
        <v>5860</v>
      </c>
      <c r="N6">
        <f t="shared" si="1"/>
        <v>4.2000000000000028</v>
      </c>
      <c r="O6" s="13">
        <f t="shared" si="2"/>
        <v>24612.000000000018</v>
      </c>
      <c r="P6">
        <f t="shared" si="3"/>
        <v>3</v>
      </c>
      <c r="Q6">
        <f t="shared" si="3"/>
        <v>4</v>
      </c>
      <c r="R6">
        <f t="shared" si="4"/>
        <v>-1</v>
      </c>
    </row>
    <row r="7" spans="1:18" x14ac:dyDescent="0.25">
      <c r="A7">
        <v>56</v>
      </c>
      <c r="B7" s="131">
        <v>52000</v>
      </c>
      <c r="K7" s="13">
        <v>52000</v>
      </c>
      <c r="L7">
        <v>56</v>
      </c>
      <c r="M7" s="13">
        <f t="shared" si="0"/>
        <v>-5340</v>
      </c>
      <c r="N7">
        <f t="shared" si="1"/>
        <v>2.2000000000000028</v>
      </c>
      <c r="O7" s="13">
        <f t="shared" si="2"/>
        <v>-11748.000000000015</v>
      </c>
      <c r="P7">
        <f t="shared" si="3"/>
        <v>6</v>
      </c>
      <c r="Q7">
        <f t="shared" si="3"/>
        <v>6</v>
      </c>
      <c r="R7">
        <f t="shared" si="4"/>
        <v>0</v>
      </c>
    </row>
    <row r="8" spans="1:18" x14ac:dyDescent="0.25">
      <c r="A8">
        <v>68</v>
      </c>
      <c r="B8" s="131">
        <v>81400</v>
      </c>
      <c r="K8" s="13">
        <v>81400</v>
      </c>
      <c r="L8">
        <v>68</v>
      </c>
      <c r="M8" s="13">
        <f t="shared" si="0"/>
        <v>24060</v>
      </c>
      <c r="N8">
        <f t="shared" si="1"/>
        <v>14.200000000000003</v>
      </c>
      <c r="O8" s="13">
        <f t="shared" si="2"/>
        <v>341652.00000000006</v>
      </c>
      <c r="P8">
        <f t="shared" si="3"/>
        <v>1</v>
      </c>
      <c r="Q8">
        <f t="shared" si="3"/>
        <v>1</v>
      </c>
      <c r="R8">
        <f t="shared" si="4"/>
        <v>0</v>
      </c>
    </row>
    <row r="9" spans="1:18" x14ac:dyDescent="0.25">
      <c r="A9">
        <v>60</v>
      </c>
      <c r="B9" s="131">
        <v>46300</v>
      </c>
      <c r="K9" s="13">
        <v>46300</v>
      </c>
      <c r="L9">
        <v>60</v>
      </c>
      <c r="M9" s="13">
        <f t="shared" si="0"/>
        <v>-11040</v>
      </c>
      <c r="N9">
        <f t="shared" si="1"/>
        <v>6.2000000000000028</v>
      </c>
      <c r="O9" s="13">
        <f t="shared" si="2"/>
        <v>-68448.000000000029</v>
      </c>
      <c r="P9">
        <f t="shared" si="3"/>
        <v>9</v>
      </c>
      <c r="Q9">
        <f t="shared" si="3"/>
        <v>3</v>
      </c>
      <c r="R9">
        <f t="shared" si="4"/>
        <v>6</v>
      </c>
    </row>
    <row r="10" spans="1:18" x14ac:dyDescent="0.25">
      <c r="A10">
        <v>28</v>
      </c>
      <c r="B10" s="131">
        <v>49600</v>
      </c>
      <c r="K10" s="13">
        <v>49600</v>
      </c>
      <c r="L10">
        <v>28</v>
      </c>
      <c r="M10" s="13">
        <f t="shared" si="0"/>
        <v>-7740</v>
      </c>
      <c r="N10">
        <f t="shared" si="1"/>
        <v>-25.799999999999997</v>
      </c>
      <c r="O10" s="13">
        <f t="shared" si="2"/>
        <v>199691.99999999997</v>
      </c>
      <c r="P10">
        <f t="shared" si="3"/>
        <v>7</v>
      </c>
      <c r="Q10">
        <f t="shared" si="3"/>
        <v>10</v>
      </c>
      <c r="R10">
        <f t="shared" si="4"/>
        <v>-3</v>
      </c>
    </row>
    <row r="11" spans="1:18" x14ac:dyDescent="0.25">
      <c r="A11">
        <v>48</v>
      </c>
      <c r="B11" s="131">
        <v>45900</v>
      </c>
      <c r="K11" s="13">
        <v>45900</v>
      </c>
      <c r="L11">
        <v>48</v>
      </c>
      <c r="M11" s="13">
        <f t="shared" si="0"/>
        <v>-11440</v>
      </c>
      <c r="N11">
        <f t="shared" si="1"/>
        <v>-5.7999999999999972</v>
      </c>
      <c r="O11" s="13">
        <f t="shared" si="2"/>
        <v>66351.999999999971</v>
      </c>
      <c r="P11">
        <f t="shared" si="3"/>
        <v>10</v>
      </c>
      <c r="Q11">
        <f t="shared" si="3"/>
        <v>8</v>
      </c>
      <c r="R11">
        <f t="shared" si="4"/>
        <v>2</v>
      </c>
    </row>
    <row r="12" spans="1:18" x14ac:dyDescent="0.25">
      <c r="A12">
        <v>53</v>
      </c>
      <c r="B12" s="131">
        <v>47700</v>
      </c>
      <c r="K12" s="13">
        <v>47700</v>
      </c>
      <c r="L12">
        <v>53</v>
      </c>
      <c r="M12" s="13">
        <f t="shared" si="0"/>
        <v>-9640</v>
      </c>
      <c r="N12">
        <f t="shared" si="1"/>
        <v>-0.79999999999999716</v>
      </c>
      <c r="O12" s="13">
        <f t="shared" si="2"/>
        <v>7711.9999999999727</v>
      </c>
      <c r="P12">
        <f t="shared" si="3"/>
        <v>8</v>
      </c>
      <c r="Q12">
        <f t="shared" si="3"/>
        <v>7</v>
      </c>
      <c r="R12">
        <f t="shared" si="4"/>
        <v>1</v>
      </c>
    </row>
    <row r="13" spans="1:18" x14ac:dyDescent="0.25">
      <c r="A13">
        <v>61</v>
      </c>
      <c r="B13" s="131">
        <v>59900</v>
      </c>
      <c r="K13" s="13">
        <v>59900</v>
      </c>
      <c r="L13">
        <v>61</v>
      </c>
      <c r="M13" s="13">
        <f t="shared" si="0"/>
        <v>2560</v>
      </c>
      <c r="N13">
        <f t="shared" si="1"/>
        <v>7.2000000000000028</v>
      </c>
      <c r="O13" s="13">
        <f t="shared" si="2"/>
        <v>18432.000000000007</v>
      </c>
      <c r="P13">
        <f t="shared" si="3"/>
        <v>5</v>
      </c>
      <c r="Q13">
        <f t="shared" si="3"/>
        <v>2</v>
      </c>
      <c r="R13">
        <f t="shared" si="4"/>
        <v>3</v>
      </c>
    </row>
    <row r="14" spans="1:18" x14ac:dyDescent="0.25">
      <c r="A14">
        <v>36</v>
      </c>
      <c r="B14" s="131">
        <v>48100</v>
      </c>
      <c r="J14" s="3" t="s">
        <v>116</v>
      </c>
      <c r="K14" s="13">
        <f>AVERAGE(K4:K13)</f>
        <v>57340</v>
      </c>
      <c r="L14">
        <f>AVERAGE(L4:L13)</f>
        <v>53.8</v>
      </c>
      <c r="M14" s="42"/>
      <c r="N14" s="132" t="s">
        <v>183</v>
      </c>
      <c r="O14" s="13">
        <f>SUM(O4:O13)</f>
        <v>585080.00000000012</v>
      </c>
    </row>
    <row r="15" spans="1:18" x14ac:dyDescent="0.25">
      <c r="A15">
        <v>55</v>
      </c>
      <c r="B15" s="131">
        <v>58100</v>
      </c>
      <c r="J15" s="3" t="s">
        <v>202</v>
      </c>
      <c r="K15" s="42">
        <f>STDEV(K4:K13)</f>
        <v>11257.41237289162</v>
      </c>
      <c r="L15" s="42">
        <f>STDEV(L4:L13)</f>
        <v>10.881176406988347</v>
      </c>
      <c r="N15" t="s">
        <v>333</v>
      </c>
      <c r="O15" s="13">
        <f>O14/9</f>
        <v>65008.888888888905</v>
      </c>
    </row>
    <row r="16" spans="1:18" x14ac:dyDescent="0.25">
      <c r="A16">
        <v>48</v>
      </c>
      <c r="B16" s="131">
        <v>56000</v>
      </c>
      <c r="N16" t="s">
        <v>334</v>
      </c>
      <c r="O16" s="14">
        <f>O15/(K15*L15)</f>
        <v>0.5307112782005371</v>
      </c>
      <c r="Q16" s="3" t="s">
        <v>335</v>
      </c>
      <c r="R16" s="14">
        <f>1-6*SUMSQ(R4:R13)/(COUNT(R4:R13)^3-COUNT(R4:R13))</f>
        <v>0.51515151515151514</v>
      </c>
    </row>
    <row r="17" spans="1:6" x14ac:dyDescent="0.25">
      <c r="A17">
        <v>51</v>
      </c>
      <c r="B17" s="131">
        <v>53400</v>
      </c>
    </row>
    <row r="18" spans="1:6" x14ac:dyDescent="0.25">
      <c r="A18">
        <v>39</v>
      </c>
      <c r="B18" s="131">
        <v>39000</v>
      </c>
    </row>
    <row r="19" spans="1:6" x14ac:dyDescent="0.25">
      <c r="A19">
        <v>45</v>
      </c>
      <c r="B19" s="131">
        <v>61500</v>
      </c>
      <c r="E19" s="3" t="s">
        <v>336</v>
      </c>
      <c r="F19" s="133">
        <f>CORREL(A4:A33,B4:B33)</f>
        <v>0.58570476090139656</v>
      </c>
    </row>
    <row r="20" spans="1:6" x14ac:dyDescent="0.25">
      <c r="A20">
        <v>43</v>
      </c>
      <c r="B20" s="131">
        <v>37700</v>
      </c>
    </row>
    <row r="21" spans="1:6" x14ac:dyDescent="0.25">
      <c r="A21">
        <v>36</v>
      </c>
      <c r="B21" s="131">
        <v>36700</v>
      </c>
    </row>
    <row r="22" spans="1:6" x14ac:dyDescent="0.25">
      <c r="A22">
        <v>49</v>
      </c>
      <c r="B22" s="131">
        <v>45200</v>
      </c>
    </row>
    <row r="23" spans="1:6" x14ac:dyDescent="0.25">
      <c r="A23">
        <v>53</v>
      </c>
      <c r="B23" s="131">
        <v>59000</v>
      </c>
    </row>
    <row r="24" spans="1:6" x14ac:dyDescent="0.25">
      <c r="A24">
        <v>61</v>
      </c>
      <c r="B24" s="131">
        <v>54300</v>
      </c>
    </row>
    <row r="25" spans="1:6" x14ac:dyDescent="0.25">
      <c r="A25">
        <v>62</v>
      </c>
      <c r="B25" s="131">
        <v>62100</v>
      </c>
    </row>
    <row r="26" spans="1:6" x14ac:dyDescent="0.25">
      <c r="A26">
        <v>59</v>
      </c>
      <c r="B26" s="131">
        <v>78000</v>
      </c>
    </row>
    <row r="27" spans="1:6" x14ac:dyDescent="0.25">
      <c r="A27">
        <v>44</v>
      </c>
      <c r="B27" s="131">
        <v>43200</v>
      </c>
    </row>
    <row r="28" spans="1:6" x14ac:dyDescent="0.25">
      <c r="A28">
        <v>53</v>
      </c>
      <c r="B28" s="131">
        <v>44500</v>
      </c>
    </row>
    <row r="29" spans="1:6" x14ac:dyDescent="0.25">
      <c r="A29">
        <v>55</v>
      </c>
      <c r="B29" s="131">
        <v>43300</v>
      </c>
    </row>
    <row r="30" spans="1:6" x14ac:dyDescent="0.25">
      <c r="A30">
        <v>66</v>
      </c>
      <c r="B30" s="131">
        <v>45400</v>
      </c>
    </row>
    <row r="31" spans="1:6" x14ac:dyDescent="0.25">
      <c r="A31">
        <v>36</v>
      </c>
      <c r="B31" s="131">
        <v>53900</v>
      </c>
    </row>
    <row r="32" spans="1:6" x14ac:dyDescent="0.25">
      <c r="A32">
        <v>41</v>
      </c>
      <c r="B32" s="131">
        <v>44100</v>
      </c>
    </row>
    <row r="33" spans="1:2" x14ac:dyDescent="0.25">
      <c r="A33">
        <v>28</v>
      </c>
      <c r="B33" s="131">
        <v>31000</v>
      </c>
    </row>
  </sheetData>
  <printOptions gridLines="1"/>
  <pageMargins left="0.78740157499999996" right="0.78740157499999996" top="0.984251969" bottom="0.984251969" header="0.5" footer="0.5"/>
  <pageSetup scale="52" orientation="portrait" horizontalDpi="300" verticalDpi="300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workbookViewId="0"/>
  </sheetViews>
  <sheetFormatPr defaultColWidth="9.1796875" defaultRowHeight="12.5" x14ac:dyDescent="0.25"/>
  <cols>
    <col min="1" max="2" width="8.7265625" customWidth="1"/>
    <col min="3" max="3" width="9.54296875" customWidth="1"/>
    <col min="4" max="4" width="8.7265625" customWidth="1"/>
    <col min="5" max="5" width="4.7265625" customWidth="1"/>
    <col min="6" max="6" width="13.7265625" customWidth="1"/>
    <col min="7" max="7" width="9.54296875" customWidth="1"/>
    <col min="8" max="8" width="11.54296875" customWidth="1"/>
    <col min="9" max="9" width="11.453125" customWidth="1"/>
    <col min="10" max="10" width="9.7265625" customWidth="1"/>
    <col min="11" max="11" width="11.26953125" bestFit="1" customWidth="1"/>
    <col min="12" max="12" width="11" bestFit="1" customWidth="1"/>
  </cols>
  <sheetData>
    <row r="1" spans="1:20" ht="13" x14ac:dyDescent="0.3">
      <c r="A1" s="2" t="s">
        <v>337</v>
      </c>
    </row>
    <row r="3" spans="1:20" ht="25.5" thickBot="1" x14ac:dyDescent="0.3">
      <c r="A3" s="3" t="s">
        <v>8</v>
      </c>
      <c r="B3" s="3" t="s">
        <v>12</v>
      </c>
      <c r="C3" s="22" t="s">
        <v>338</v>
      </c>
      <c r="D3" s="22" t="s">
        <v>339</v>
      </c>
    </row>
    <row r="4" spans="1:20" ht="13" x14ac:dyDescent="0.3">
      <c r="A4">
        <v>58</v>
      </c>
      <c r="B4" s="131">
        <v>65400</v>
      </c>
      <c r="C4" s="131">
        <f t="shared" ref="C4:C33" si="0">$G$12+$G$13*A4</f>
        <v>57376.936878160173</v>
      </c>
      <c r="D4" s="131">
        <f t="shared" ref="D4:D33" si="1">B4-C4</f>
        <v>8023.0631218398266</v>
      </c>
      <c r="F4" s="5" t="s">
        <v>340</v>
      </c>
      <c r="G4" s="5"/>
    </row>
    <row r="5" spans="1:20" x14ac:dyDescent="0.25">
      <c r="A5">
        <v>48</v>
      </c>
      <c r="B5" s="131">
        <v>62000</v>
      </c>
      <c r="C5" s="131">
        <f t="shared" si="0"/>
        <v>51037.758930027732</v>
      </c>
      <c r="D5" s="131">
        <f t="shared" si="1"/>
        <v>10962.241069972268</v>
      </c>
      <c r="F5" s="134" t="s">
        <v>341</v>
      </c>
      <c r="G5" s="135">
        <v>0.58570476090139667</v>
      </c>
      <c r="T5" s="3"/>
    </row>
    <row r="6" spans="1:20" x14ac:dyDescent="0.25">
      <c r="A6">
        <v>58</v>
      </c>
      <c r="B6" s="131">
        <v>63200</v>
      </c>
      <c r="C6" s="131">
        <f t="shared" si="0"/>
        <v>57376.936878160173</v>
      </c>
      <c r="D6" s="131">
        <f t="shared" si="1"/>
        <v>5823.0631218398266</v>
      </c>
      <c r="F6" s="134" t="s">
        <v>342</v>
      </c>
      <c r="G6" s="135">
        <v>0.34305006694256224</v>
      </c>
      <c r="O6" s="3"/>
      <c r="P6" s="3"/>
      <c r="Q6" s="3"/>
      <c r="R6" s="3"/>
      <c r="S6" s="3"/>
      <c r="T6" s="42"/>
    </row>
    <row r="7" spans="1:20" x14ac:dyDescent="0.25">
      <c r="A7">
        <v>56</v>
      </c>
      <c r="B7" s="131">
        <v>52000</v>
      </c>
      <c r="C7" s="131">
        <f t="shared" si="0"/>
        <v>56109.101288533682</v>
      </c>
      <c r="D7" s="131">
        <f t="shared" si="1"/>
        <v>-4109.1012885336822</v>
      </c>
      <c r="F7" s="134" t="s">
        <v>343</v>
      </c>
      <c r="G7" s="135">
        <v>0.31958756933336802</v>
      </c>
      <c r="T7" s="42"/>
    </row>
    <row r="8" spans="1:20" x14ac:dyDescent="0.25">
      <c r="A8">
        <v>68</v>
      </c>
      <c r="B8" s="131">
        <v>81400</v>
      </c>
      <c r="C8" s="131">
        <f t="shared" si="0"/>
        <v>63716.114826292614</v>
      </c>
      <c r="D8" s="131">
        <f t="shared" si="1"/>
        <v>17683.885173707386</v>
      </c>
      <c r="F8" s="134" t="s">
        <v>22</v>
      </c>
      <c r="G8" s="136">
        <v>9479.9562180710782</v>
      </c>
      <c r="T8" s="42"/>
    </row>
    <row r="9" spans="1:20" ht="13" thickBot="1" x14ac:dyDescent="0.3">
      <c r="A9">
        <v>60</v>
      </c>
      <c r="B9" s="131">
        <v>46300</v>
      </c>
      <c r="C9" s="131">
        <f t="shared" si="0"/>
        <v>58644.772467786664</v>
      </c>
      <c r="D9" s="131">
        <f t="shared" si="1"/>
        <v>-12344.772467786664</v>
      </c>
      <c r="F9" s="11" t="s">
        <v>344</v>
      </c>
      <c r="G9" s="11">
        <v>30</v>
      </c>
      <c r="T9" s="42"/>
    </row>
    <row r="10" spans="1:20" ht="13" thickBot="1" x14ac:dyDescent="0.3">
      <c r="A10">
        <v>28</v>
      </c>
      <c r="B10" s="131">
        <v>49600</v>
      </c>
      <c r="C10" s="131">
        <f t="shared" si="0"/>
        <v>38359.403033762843</v>
      </c>
      <c r="D10" s="131">
        <f t="shared" si="1"/>
        <v>11240.596966237157</v>
      </c>
      <c r="T10" s="42"/>
    </row>
    <row r="11" spans="1:20" ht="26" x14ac:dyDescent="0.3">
      <c r="A11">
        <v>48</v>
      </c>
      <c r="B11" s="131">
        <v>45900</v>
      </c>
      <c r="C11" s="131">
        <f t="shared" si="0"/>
        <v>51037.758930027732</v>
      </c>
      <c r="D11" s="131">
        <f t="shared" si="1"/>
        <v>-5137.7589300277323</v>
      </c>
      <c r="F11" s="137"/>
      <c r="G11" s="138" t="s">
        <v>345</v>
      </c>
      <c r="H11" s="31" t="s">
        <v>22</v>
      </c>
      <c r="I11" s="137" t="s">
        <v>346</v>
      </c>
      <c r="J11" s="137" t="s">
        <v>347</v>
      </c>
      <c r="K11" s="137" t="s">
        <v>348</v>
      </c>
      <c r="L11" s="137" t="s">
        <v>349</v>
      </c>
      <c r="T11" s="42"/>
    </row>
    <row r="12" spans="1:20" x14ac:dyDescent="0.25">
      <c r="A12">
        <v>53</v>
      </c>
      <c r="B12" s="131">
        <v>47700</v>
      </c>
      <c r="C12" s="131">
        <f t="shared" si="0"/>
        <v>54207.347904093949</v>
      </c>
      <c r="D12" s="131">
        <f t="shared" si="1"/>
        <v>-6507.3479040939492</v>
      </c>
      <c r="F12" s="7" t="s">
        <v>350</v>
      </c>
      <c r="G12" s="136">
        <v>20609.704778992003</v>
      </c>
      <c r="H12" s="136">
        <v>8457.1254323226203</v>
      </c>
      <c r="I12" s="135">
        <v>2.4369633563932922</v>
      </c>
      <c r="J12" s="139">
        <v>2.1421739770947405E-2</v>
      </c>
      <c r="K12" s="136">
        <v>3286.0491906682764</v>
      </c>
      <c r="L12" s="136">
        <v>37933.360367315734</v>
      </c>
      <c r="T12" s="42"/>
    </row>
    <row r="13" spans="1:20" ht="13" thickBot="1" x14ac:dyDescent="0.3">
      <c r="A13">
        <v>61</v>
      </c>
      <c r="B13" s="131">
        <v>59900</v>
      </c>
      <c r="C13" s="131">
        <f t="shared" si="0"/>
        <v>59278.690262599906</v>
      </c>
      <c r="D13" s="131">
        <f t="shared" si="1"/>
        <v>621.30973740009358</v>
      </c>
      <c r="F13" s="30" t="s">
        <v>8</v>
      </c>
      <c r="G13" s="140">
        <v>633.91779481324431</v>
      </c>
      <c r="H13" s="140">
        <v>165.78350206620374</v>
      </c>
      <c r="I13" s="141">
        <v>3.8237688727319594</v>
      </c>
      <c r="J13" s="142">
        <v>6.726645643071634E-4</v>
      </c>
      <c r="K13" s="140">
        <v>294.32530384171991</v>
      </c>
      <c r="L13" s="140">
        <v>973.51028578476871</v>
      </c>
      <c r="T13" s="42"/>
    </row>
    <row r="14" spans="1:20" x14ac:dyDescent="0.25">
      <c r="A14">
        <v>36</v>
      </c>
      <c r="B14" s="131">
        <v>48100</v>
      </c>
      <c r="C14" s="131">
        <f t="shared" si="0"/>
        <v>43430.7453922688</v>
      </c>
      <c r="D14" s="131">
        <f t="shared" si="1"/>
        <v>4669.2546077311999</v>
      </c>
      <c r="T14" s="42"/>
    </row>
    <row r="15" spans="1:20" ht="25" x14ac:dyDescent="0.25">
      <c r="A15">
        <v>55</v>
      </c>
      <c r="B15" s="131">
        <v>58100</v>
      </c>
      <c r="C15" s="131">
        <f t="shared" si="0"/>
        <v>55475.18349372044</v>
      </c>
      <c r="D15" s="131">
        <f t="shared" si="1"/>
        <v>2624.8165062795597</v>
      </c>
      <c r="G15" s="85" t="s">
        <v>116</v>
      </c>
      <c r="H15" s="143" t="s">
        <v>351</v>
      </c>
      <c r="T15" s="42"/>
    </row>
    <row r="16" spans="1:20" x14ac:dyDescent="0.25">
      <c r="A16">
        <v>48</v>
      </c>
      <c r="B16" s="131">
        <v>56000</v>
      </c>
      <c r="C16" s="131">
        <f t="shared" si="0"/>
        <v>51037.758930027732</v>
      </c>
      <c r="D16" s="131">
        <f t="shared" si="1"/>
        <v>4962.2410699722677</v>
      </c>
      <c r="F16" t="s">
        <v>12</v>
      </c>
      <c r="G16" s="13">
        <f>AVERAGE(B4:B33)</f>
        <v>52263.333333333336</v>
      </c>
      <c r="H16" s="13">
        <f>STDEV(B4:B33)</f>
        <v>11492.650825136294</v>
      </c>
      <c r="T16" s="42"/>
    </row>
    <row r="17" spans="1:20" x14ac:dyDescent="0.25">
      <c r="A17">
        <v>51</v>
      </c>
      <c r="B17" s="131">
        <v>53400</v>
      </c>
      <c r="C17" s="131">
        <f t="shared" si="0"/>
        <v>52939.512314467458</v>
      </c>
      <c r="D17" s="131">
        <f t="shared" si="1"/>
        <v>460.48768553254195</v>
      </c>
      <c r="F17" t="s">
        <v>8</v>
      </c>
      <c r="G17" s="42">
        <f>AVERAGE(A4:A33)</f>
        <v>49.93333333333333</v>
      </c>
      <c r="H17" s="42">
        <f>STDEV(A4:A33)</f>
        <v>10.618569724238091</v>
      </c>
      <c r="R17" s="42"/>
      <c r="S17" s="132"/>
      <c r="T17" s="42"/>
    </row>
    <row r="18" spans="1:20" x14ac:dyDescent="0.25">
      <c r="A18">
        <v>39</v>
      </c>
      <c r="B18" s="131">
        <v>39000</v>
      </c>
      <c r="C18" s="131">
        <f t="shared" si="0"/>
        <v>45332.498776708533</v>
      </c>
      <c r="D18" s="131">
        <f t="shared" si="1"/>
        <v>-6332.4987767085331</v>
      </c>
      <c r="F18" t="s">
        <v>352</v>
      </c>
      <c r="H18" s="89">
        <f>CORREL(B4:B33,A4:A33)</f>
        <v>0.58570476090139656</v>
      </c>
      <c r="P18" s="42"/>
      <c r="Q18" s="42"/>
      <c r="T18" s="42"/>
    </row>
    <row r="19" spans="1:20" x14ac:dyDescent="0.25">
      <c r="A19">
        <v>45</v>
      </c>
      <c r="B19" s="131">
        <v>61500</v>
      </c>
      <c r="C19" s="131">
        <f t="shared" si="0"/>
        <v>49136.005545587999</v>
      </c>
      <c r="D19" s="131">
        <f t="shared" si="1"/>
        <v>12363.994454412001</v>
      </c>
    </row>
    <row r="20" spans="1:20" x14ac:dyDescent="0.25">
      <c r="A20">
        <v>43</v>
      </c>
      <c r="B20" s="131">
        <v>37700</v>
      </c>
      <c r="C20" s="131">
        <f t="shared" si="0"/>
        <v>47868.169955961508</v>
      </c>
      <c r="D20" s="131">
        <f t="shared" si="1"/>
        <v>-10168.169955961508</v>
      </c>
    </row>
    <row r="21" spans="1:20" x14ac:dyDescent="0.25">
      <c r="A21">
        <v>36</v>
      </c>
      <c r="B21" s="131">
        <v>36700</v>
      </c>
      <c r="C21" s="131">
        <f t="shared" si="0"/>
        <v>43430.7453922688</v>
      </c>
      <c r="D21" s="131">
        <f t="shared" si="1"/>
        <v>-6730.7453922688001</v>
      </c>
    </row>
    <row r="22" spans="1:20" x14ac:dyDescent="0.25">
      <c r="A22">
        <v>49</v>
      </c>
      <c r="B22" s="131">
        <v>45200</v>
      </c>
      <c r="C22" s="131">
        <f t="shared" si="0"/>
        <v>51671.676724840974</v>
      </c>
      <c r="D22" s="131">
        <f t="shared" si="1"/>
        <v>-6471.6767248409742</v>
      </c>
    </row>
    <row r="23" spans="1:20" x14ac:dyDescent="0.25">
      <c r="A23">
        <v>53</v>
      </c>
      <c r="B23" s="131">
        <v>59000</v>
      </c>
      <c r="C23" s="131">
        <f t="shared" si="0"/>
        <v>54207.347904093949</v>
      </c>
      <c r="D23" s="131">
        <f t="shared" si="1"/>
        <v>4792.6520959060508</v>
      </c>
    </row>
    <row r="24" spans="1:20" x14ac:dyDescent="0.25">
      <c r="A24">
        <v>61</v>
      </c>
      <c r="B24" s="131">
        <v>54300</v>
      </c>
      <c r="C24" s="131">
        <f t="shared" si="0"/>
        <v>59278.690262599906</v>
      </c>
      <c r="D24" s="131">
        <f t="shared" si="1"/>
        <v>-4978.6902625999064</v>
      </c>
    </row>
    <row r="25" spans="1:20" x14ac:dyDescent="0.25">
      <c r="A25">
        <v>62</v>
      </c>
      <c r="B25" s="131">
        <v>62100</v>
      </c>
      <c r="C25" s="131">
        <f t="shared" si="0"/>
        <v>59912.608057413148</v>
      </c>
      <c r="D25" s="131">
        <f t="shared" si="1"/>
        <v>2187.3919425868517</v>
      </c>
      <c r="E25" s="133"/>
    </row>
    <row r="26" spans="1:20" x14ac:dyDescent="0.25">
      <c r="A26">
        <v>59</v>
      </c>
      <c r="B26" s="131">
        <v>78000</v>
      </c>
      <c r="C26" s="131">
        <f t="shared" si="0"/>
        <v>58010.854672973415</v>
      </c>
      <c r="D26" s="131">
        <f t="shared" si="1"/>
        <v>19989.145327026585</v>
      </c>
    </row>
    <row r="27" spans="1:20" x14ac:dyDescent="0.25">
      <c r="A27">
        <v>44</v>
      </c>
      <c r="B27" s="131">
        <v>43200</v>
      </c>
      <c r="C27" s="131">
        <f t="shared" si="0"/>
        <v>48502.08775077475</v>
      </c>
      <c r="D27" s="131">
        <f t="shared" si="1"/>
        <v>-5302.08775077475</v>
      </c>
    </row>
    <row r="28" spans="1:20" x14ac:dyDescent="0.25">
      <c r="A28">
        <v>53</v>
      </c>
      <c r="B28" s="131">
        <v>44500</v>
      </c>
      <c r="C28" s="131">
        <f t="shared" si="0"/>
        <v>54207.347904093949</v>
      </c>
      <c r="D28" s="131">
        <f t="shared" si="1"/>
        <v>-9707.3479040939492</v>
      </c>
    </row>
    <row r="29" spans="1:20" x14ac:dyDescent="0.25">
      <c r="A29">
        <v>55</v>
      </c>
      <c r="B29" s="131">
        <v>43300</v>
      </c>
      <c r="C29" s="131">
        <f t="shared" si="0"/>
        <v>55475.18349372044</v>
      </c>
      <c r="D29" s="131">
        <f t="shared" si="1"/>
        <v>-12175.18349372044</v>
      </c>
    </row>
    <row r="30" spans="1:20" x14ac:dyDescent="0.25">
      <c r="A30">
        <v>66</v>
      </c>
      <c r="B30" s="131">
        <v>45400</v>
      </c>
      <c r="C30" s="131">
        <f t="shared" si="0"/>
        <v>62448.279236666131</v>
      </c>
      <c r="D30" s="131">
        <f t="shared" si="1"/>
        <v>-17048.279236666131</v>
      </c>
    </row>
    <row r="31" spans="1:20" x14ac:dyDescent="0.25">
      <c r="A31">
        <v>36</v>
      </c>
      <c r="B31" s="131">
        <v>53900</v>
      </c>
      <c r="C31" s="131">
        <f t="shared" si="0"/>
        <v>43430.7453922688</v>
      </c>
      <c r="D31" s="131">
        <f t="shared" si="1"/>
        <v>10469.2546077312</v>
      </c>
    </row>
    <row r="32" spans="1:20" x14ac:dyDescent="0.25">
      <c r="A32">
        <v>41</v>
      </c>
      <c r="B32" s="131">
        <v>44100</v>
      </c>
      <c r="C32" s="131">
        <f t="shared" si="0"/>
        <v>46600.334366335024</v>
      </c>
      <c r="D32" s="131">
        <f t="shared" si="1"/>
        <v>-2500.3343663350242</v>
      </c>
    </row>
    <row r="33" spans="1:4" x14ac:dyDescent="0.25">
      <c r="A33">
        <v>28</v>
      </c>
      <c r="B33" s="131">
        <v>31000</v>
      </c>
      <c r="C33" s="131">
        <f t="shared" si="0"/>
        <v>38359.403033762843</v>
      </c>
      <c r="D33" s="131">
        <f t="shared" si="1"/>
        <v>-7359.4030337628428</v>
      </c>
    </row>
  </sheetData>
  <pageMargins left="0.78740157499999996" right="0.78740157499999996" top="0.984251969" bottom="0.984251969" header="0.5" footer="0.5"/>
  <pageSetup scale="75" orientation="portrait" horizontalDpi="300" verticalDpi="300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U46"/>
  <sheetViews>
    <sheetView workbookViewId="0"/>
  </sheetViews>
  <sheetFormatPr defaultColWidth="9.1796875" defaultRowHeight="12.5" x14ac:dyDescent="0.25"/>
  <cols>
    <col min="1" max="3" width="8.7265625" customWidth="1"/>
    <col min="4" max="4" width="9.54296875" customWidth="1"/>
    <col min="5" max="5" width="8.7265625" customWidth="1"/>
    <col min="6" max="6" width="4.7265625" customWidth="1"/>
    <col min="7" max="7" width="13.54296875" customWidth="1"/>
    <col min="8" max="8" width="11.26953125" customWidth="1"/>
    <col min="9" max="10" width="11.453125" customWidth="1"/>
    <col min="11" max="11" width="9.7265625" customWidth="1"/>
    <col min="12" max="12" width="11.26953125" bestFit="1" customWidth="1"/>
    <col min="13" max="13" width="11" bestFit="1" customWidth="1"/>
  </cols>
  <sheetData>
    <row r="1" spans="1:21" ht="13" x14ac:dyDescent="0.3">
      <c r="A1" s="2" t="s">
        <v>353</v>
      </c>
    </row>
    <row r="3" spans="1:21" ht="25.5" thickBot="1" x14ac:dyDescent="0.3">
      <c r="A3" s="3" t="s">
        <v>8</v>
      </c>
      <c r="B3" s="3" t="s">
        <v>354</v>
      </c>
      <c r="C3" s="3" t="s">
        <v>12</v>
      </c>
      <c r="D3" s="22" t="s">
        <v>338</v>
      </c>
      <c r="E3" s="22" t="s">
        <v>339</v>
      </c>
    </row>
    <row r="4" spans="1:21" ht="13" x14ac:dyDescent="0.3">
      <c r="A4">
        <v>58</v>
      </c>
      <c r="B4">
        <v>14</v>
      </c>
      <c r="C4" s="131">
        <v>65400</v>
      </c>
      <c r="D4" s="131">
        <f t="shared" ref="D4:D33" si="0">$H$12+$H$13*A4+$H$14*B4</f>
        <v>60597.277502637582</v>
      </c>
      <c r="E4" s="131">
        <f t="shared" ref="E4:E33" si="1">C4-D4</f>
        <v>4802.7224973624179</v>
      </c>
      <c r="G4" s="5" t="s">
        <v>340</v>
      </c>
      <c r="H4" s="5"/>
    </row>
    <row r="5" spans="1:21" x14ac:dyDescent="0.25">
      <c r="A5">
        <v>48</v>
      </c>
      <c r="B5">
        <v>16</v>
      </c>
      <c r="C5" s="131">
        <v>62000</v>
      </c>
      <c r="D5" s="131">
        <f t="shared" si="0"/>
        <v>56367.4240402617</v>
      </c>
      <c r="E5" s="131">
        <f t="shared" si="1"/>
        <v>5632.5759597383003</v>
      </c>
      <c r="G5" s="134" t="s">
        <v>341</v>
      </c>
      <c r="H5" s="135">
        <v>0.72926093428585825</v>
      </c>
      <c r="R5" s="3"/>
      <c r="S5" s="3"/>
      <c r="T5" s="3"/>
      <c r="U5" s="3"/>
    </row>
    <row r="6" spans="1:21" x14ac:dyDescent="0.25">
      <c r="A6">
        <v>58</v>
      </c>
      <c r="B6">
        <v>18</v>
      </c>
      <c r="C6" s="131">
        <v>63200</v>
      </c>
      <c r="D6" s="131">
        <f t="shared" si="0"/>
        <v>66599.548693272998</v>
      </c>
      <c r="E6" s="131">
        <f t="shared" si="1"/>
        <v>-3399.5486932729982</v>
      </c>
      <c r="G6" s="134" t="s">
        <v>342</v>
      </c>
      <c r="H6" s="135">
        <v>0.53182151027548286</v>
      </c>
      <c r="P6" s="3"/>
      <c r="Q6" s="3"/>
      <c r="U6" s="42"/>
    </row>
    <row r="7" spans="1:21" x14ac:dyDescent="0.25">
      <c r="A7">
        <v>56</v>
      </c>
      <c r="B7">
        <v>8</v>
      </c>
      <c r="C7" s="131">
        <v>52000</v>
      </c>
      <c r="D7" s="131">
        <f t="shared" si="0"/>
        <v>50147.672905145744</v>
      </c>
      <c r="E7" s="131">
        <f t="shared" si="1"/>
        <v>1852.3270948542558</v>
      </c>
      <c r="G7" s="134" t="s">
        <v>343</v>
      </c>
      <c r="H7" s="135">
        <v>0.49714162214774082</v>
      </c>
      <c r="U7" s="42"/>
    </row>
    <row r="8" spans="1:21" x14ac:dyDescent="0.25">
      <c r="A8">
        <v>68</v>
      </c>
      <c r="B8">
        <v>14</v>
      </c>
      <c r="C8" s="131">
        <v>81400</v>
      </c>
      <c r="D8" s="131">
        <f t="shared" si="0"/>
        <v>67828.266560331176</v>
      </c>
      <c r="E8" s="131">
        <f t="shared" si="1"/>
        <v>13571.733439668824</v>
      </c>
      <c r="G8" s="134" t="s">
        <v>22</v>
      </c>
      <c r="H8" s="136">
        <v>8149.7269257973894</v>
      </c>
      <c r="U8" s="42"/>
    </row>
    <row r="9" spans="1:21" ht="13" thickBot="1" x14ac:dyDescent="0.3">
      <c r="A9">
        <v>60</v>
      </c>
      <c r="B9">
        <v>9</v>
      </c>
      <c r="C9" s="131">
        <v>46300</v>
      </c>
      <c r="D9" s="131">
        <f t="shared" si="0"/>
        <v>54540.636325882042</v>
      </c>
      <c r="E9" s="131">
        <f t="shared" si="1"/>
        <v>-8240.636325882042</v>
      </c>
      <c r="G9" s="11" t="s">
        <v>344</v>
      </c>
      <c r="H9" s="11">
        <v>30</v>
      </c>
      <c r="U9" s="42"/>
    </row>
    <row r="10" spans="1:21" ht="13" thickBot="1" x14ac:dyDescent="0.3">
      <c r="A10">
        <v>28</v>
      </c>
      <c r="B10">
        <v>17</v>
      </c>
      <c r="C10" s="131">
        <v>49600</v>
      </c>
      <c r="D10" s="131">
        <f t="shared" si="0"/>
        <v>43406.01372253336</v>
      </c>
      <c r="E10" s="131">
        <f t="shared" si="1"/>
        <v>6193.9862774666399</v>
      </c>
      <c r="U10" s="42"/>
    </row>
    <row r="11" spans="1:21" ht="26" x14ac:dyDescent="0.3">
      <c r="A11">
        <v>48</v>
      </c>
      <c r="B11">
        <v>14</v>
      </c>
      <c r="C11" s="131">
        <v>45900</v>
      </c>
      <c r="D11" s="131">
        <f t="shared" si="0"/>
        <v>53366.288444943988</v>
      </c>
      <c r="E11" s="131">
        <f t="shared" si="1"/>
        <v>-7466.288444943988</v>
      </c>
      <c r="G11" s="137"/>
      <c r="H11" s="138" t="s">
        <v>345</v>
      </c>
      <c r="I11" s="31" t="s">
        <v>22</v>
      </c>
      <c r="J11" s="137" t="s">
        <v>346</v>
      </c>
      <c r="K11" s="137" t="s">
        <v>347</v>
      </c>
      <c r="L11" s="137" t="s">
        <v>348</v>
      </c>
      <c r="M11" s="137" t="s">
        <v>349</v>
      </c>
      <c r="U11" s="42"/>
    </row>
    <row r="12" spans="1:21" x14ac:dyDescent="0.25">
      <c r="A12">
        <v>53</v>
      </c>
      <c r="B12">
        <v>8</v>
      </c>
      <c r="C12" s="131">
        <v>47700</v>
      </c>
      <c r="D12" s="131">
        <f t="shared" si="0"/>
        <v>47978.376187837668</v>
      </c>
      <c r="E12" s="131">
        <f t="shared" si="1"/>
        <v>-278.37618783766811</v>
      </c>
      <c r="G12" s="7" t="s">
        <v>350</v>
      </c>
      <c r="H12" s="136">
        <v>-2350.4081992092028</v>
      </c>
      <c r="I12" s="136">
        <v>10063.939082981738</v>
      </c>
      <c r="J12" s="135">
        <v>-0.23354753837727177</v>
      </c>
      <c r="K12" s="139">
        <v>0.81709793504176909</v>
      </c>
      <c r="L12" s="136">
        <v>-22999.891694460712</v>
      </c>
      <c r="M12" s="136">
        <v>18299.075296042305</v>
      </c>
      <c r="U12" s="42"/>
    </row>
    <row r="13" spans="1:21" x14ac:dyDescent="0.25">
      <c r="A13">
        <v>61</v>
      </c>
      <c r="B13">
        <v>15</v>
      </c>
      <c r="C13" s="131">
        <v>59900</v>
      </c>
      <c r="D13" s="131">
        <f t="shared" si="0"/>
        <v>64267.142017604521</v>
      </c>
      <c r="E13" s="131">
        <f t="shared" si="1"/>
        <v>-4367.1420176045212</v>
      </c>
      <c r="G13" s="7" t="s">
        <v>8</v>
      </c>
      <c r="H13" s="136">
        <v>723.09890576935936</v>
      </c>
      <c r="I13" s="136">
        <v>145.0610916294535</v>
      </c>
      <c r="J13" s="135">
        <v>4.9847888061979804</v>
      </c>
      <c r="K13" s="139">
        <v>3.1726379973623211E-5</v>
      </c>
      <c r="L13" s="136">
        <v>425.4583305724276</v>
      </c>
      <c r="M13" s="136">
        <v>1020.7394809662911</v>
      </c>
      <c r="U13" s="42"/>
    </row>
    <row r="14" spans="1:21" ht="13" thickBot="1" x14ac:dyDescent="0.3">
      <c r="A14">
        <v>36</v>
      </c>
      <c r="B14">
        <v>10</v>
      </c>
      <c r="C14" s="131">
        <v>48100</v>
      </c>
      <c r="D14" s="131">
        <f t="shared" si="0"/>
        <v>38686.830385076268</v>
      </c>
      <c r="E14" s="131">
        <f t="shared" si="1"/>
        <v>9413.1696149237323</v>
      </c>
      <c r="G14" s="30" t="s">
        <v>354</v>
      </c>
      <c r="H14" s="140">
        <v>1500.5677976588534</v>
      </c>
      <c r="I14" s="140">
        <v>454.79043281144368</v>
      </c>
      <c r="J14" s="141">
        <v>3.2994708977991838</v>
      </c>
      <c r="K14" s="142">
        <v>2.7243438358709811E-3</v>
      </c>
      <c r="L14" s="140">
        <v>567.41553404680258</v>
      </c>
      <c r="M14" s="140">
        <v>2433.7200612709039</v>
      </c>
      <c r="U14" s="42"/>
    </row>
    <row r="15" spans="1:21" x14ac:dyDescent="0.25">
      <c r="A15">
        <v>55</v>
      </c>
      <c r="B15">
        <v>8</v>
      </c>
      <c r="C15" s="131">
        <v>58100</v>
      </c>
      <c r="D15" s="131">
        <f t="shared" si="0"/>
        <v>49424.573999376385</v>
      </c>
      <c r="E15" s="131">
        <f t="shared" si="1"/>
        <v>8675.4260006236145</v>
      </c>
      <c r="U15" s="42"/>
    </row>
    <row r="16" spans="1:21" ht="25" x14ac:dyDescent="0.25">
      <c r="A16">
        <v>48</v>
      </c>
      <c r="B16">
        <v>11</v>
      </c>
      <c r="C16" s="131">
        <v>56000</v>
      </c>
      <c r="D16" s="131">
        <f t="shared" si="0"/>
        <v>48864.585051967428</v>
      </c>
      <c r="E16" s="131">
        <f t="shared" si="1"/>
        <v>7135.4149480325723</v>
      </c>
      <c r="H16" s="85" t="s">
        <v>116</v>
      </c>
      <c r="I16" s="143" t="s">
        <v>351</v>
      </c>
      <c r="S16" s="42"/>
      <c r="T16" s="132"/>
      <c r="U16" s="42"/>
    </row>
    <row r="17" spans="1:21" x14ac:dyDescent="0.25">
      <c r="A17">
        <v>51</v>
      </c>
      <c r="B17">
        <v>16</v>
      </c>
      <c r="C17" s="131">
        <v>53400</v>
      </c>
      <c r="D17" s="131">
        <f t="shared" si="0"/>
        <v>58536.720757569783</v>
      </c>
      <c r="E17" s="131">
        <f t="shared" si="1"/>
        <v>-5136.720757569783</v>
      </c>
      <c r="G17" t="s">
        <v>12</v>
      </c>
      <c r="H17" s="13">
        <f>AVERAGE(C4:C33)</f>
        <v>52263.333333333336</v>
      </c>
      <c r="I17" s="13">
        <f>STDEV(C4:C33)</f>
        <v>11492.650825136294</v>
      </c>
      <c r="R17" s="42"/>
      <c r="U17" s="42"/>
    </row>
    <row r="18" spans="1:21" x14ac:dyDescent="0.25">
      <c r="A18">
        <v>39</v>
      </c>
      <c r="B18">
        <v>14</v>
      </c>
      <c r="C18" s="131">
        <v>39000</v>
      </c>
      <c r="D18" s="131">
        <f t="shared" si="0"/>
        <v>46858.398293019753</v>
      </c>
      <c r="E18" s="131">
        <f t="shared" si="1"/>
        <v>-7858.3982930197526</v>
      </c>
      <c r="G18" t="s">
        <v>8</v>
      </c>
      <c r="H18" s="42">
        <f>AVERAGE(A4:A33)</f>
        <v>49.93333333333333</v>
      </c>
      <c r="I18" s="42">
        <f>STDEV(A4:A33)</f>
        <v>10.618569724238091</v>
      </c>
      <c r="Q18" s="42"/>
      <c r="U18" s="42"/>
    </row>
    <row r="19" spans="1:21" x14ac:dyDescent="0.25">
      <c r="A19">
        <v>45</v>
      </c>
      <c r="B19">
        <v>14</v>
      </c>
      <c r="C19" s="131">
        <v>61500</v>
      </c>
      <c r="D19" s="131">
        <f t="shared" si="0"/>
        <v>51196.991727635912</v>
      </c>
      <c r="E19" s="131">
        <f t="shared" si="1"/>
        <v>10303.008272364088</v>
      </c>
      <c r="G19" t="s">
        <v>354</v>
      </c>
      <c r="H19" s="42">
        <f>AVERAGE(B4:B33)</f>
        <v>12.333333333333334</v>
      </c>
      <c r="I19" s="42">
        <f>STDEV(B4:B33)</f>
        <v>3.3869255037299095</v>
      </c>
    </row>
    <row r="20" spans="1:21" x14ac:dyDescent="0.25">
      <c r="A20">
        <v>43</v>
      </c>
      <c r="B20">
        <v>10</v>
      </c>
      <c r="C20" s="131">
        <v>37700</v>
      </c>
      <c r="D20" s="131">
        <f t="shared" si="0"/>
        <v>43748.522725461778</v>
      </c>
      <c r="E20" s="131">
        <f t="shared" si="1"/>
        <v>-6048.5227254617785</v>
      </c>
    </row>
    <row r="21" spans="1:21" x14ac:dyDescent="0.25">
      <c r="A21">
        <v>36</v>
      </c>
      <c r="B21">
        <v>12</v>
      </c>
      <c r="C21" s="131">
        <v>36700</v>
      </c>
      <c r="D21" s="131">
        <f t="shared" si="0"/>
        <v>41687.965980393972</v>
      </c>
      <c r="E21" s="131">
        <f t="shared" si="1"/>
        <v>-4987.9659803939721</v>
      </c>
      <c r="G21" t="s">
        <v>355</v>
      </c>
      <c r="H21" s="3" t="s">
        <v>12</v>
      </c>
      <c r="I21" s="3" t="s">
        <v>8</v>
      </c>
    </row>
    <row r="22" spans="1:21" x14ac:dyDescent="0.25">
      <c r="A22">
        <v>49</v>
      </c>
      <c r="B22">
        <v>8</v>
      </c>
      <c r="C22" s="131">
        <v>45200</v>
      </c>
      <c r="D22" s="131">
        <f t="shared" si="0"/>
        <v>45085.980564760233</v>
      </c>
      <c r="E22" s="131">
        <f t="shared" si="1"/>
        <v>114.01943523976661</v>
      </c>
      <c r="G22" t="s">
        <v>8</v>
      </c>
      <c r="H22" s="14">
        <f>CORREL(C4:C33,A4:A33)</f>
        <v>0.58570476090139656</v>
      </c>
    </row>
    <row r="23" spans="1:21" x14ac:dyDescent="0.25">
      <c r="A23">
        <v>53</v>
      </c>
      <c r="B23">
        <v>18</v>
      </c>
      <c r="C23" s="131">
        <v>59000</v>
      </c>
      <c r="D23" s="131">
        <f t="shared" si="0"/>
        <v>62984.054164426205</v>
      </c>
      <c r="E23" s="131">
        <f t="shared" si="1"/>
        <v>-3984.0541644262048</v>
      </c>
      <c r="G23" t="s">
        <v>354</v>
      </c>
      <c r="H23" s="14">
        <f>CORREL($C$4:$C$33,B4:B33)</f>
        <v>0.31773654031593307</v>
      </c>
      <c r="I23" s="14">
        <f>CORREL(A4:A33,B4:B33)</f>
        <v>-0.18632779077903566</v>
      </c>
    </row>
    <row r="24" spans="1:21" x14ac:dyDescent="0.25">
      <c r="A24">
        <v>61</v>
      </c>
      <c r="B24">
        <v>11</v>
      </c>
      <c r="C24" s="131">
        <v>54300</v>
      </c>
      <c r="D24" s="131">
        <f t="shared" si="0"/>
        <v>58264.870826969105</v>
      </c>
      <c r="E24" s="131">
        <f t="shared" si="1"/>
        <v>-3964.8708269691051</v>
      </c>
    </row>
    <row r="25" spans="1:21" x14ac:dyDescent="0.25">
      <c r="A25">
        <v>62</v>
      </c>
      <c r="B25">
        <v>11</v>
      </c>
      <c r="C25" s="131">
        <v>62100</v>
      </c>
      <c r="D25" s="131">
        <f t="shared" si="0"/>
        <v>58987.969732738464</v>
      </c>
      <c r="E25" s="131">
        <f t="shared" si="1"/>
        <v>3112.0302672615362</v>
      </c>
      <c r="G25" s="3" t="s">
        <v>356</v>
      </c>
      <c r="H25" s="3" t="s">
        <v>357</v>
      </c>
      <c r="I25" s="3" t="s">
        <v>358</v>
      </c>
      <c r="J25" s="3" t="s">
        <v>359</v>
      </c>
    </row>
    <row r="26" spans="1:21" x14ac:dyDescent="0.25">
      <c r="A26">
        <v>59</v>
      </c>
      <c r="B26">
        <v>16</v>
      </c>
      <c r="C26" s="131">
        <v>78000</v>
      </c>
      <c r="D26" s="131">
        <f t="shared" si="0"/>
        <v>64321.512003724652</v>
      </c>
      <c r="E26" s="131">
        <f t="shared" si="1"/>
        <v>13678.487996275348</v>
      </c>
      <c r="G26" t="s">
        <v>360</v>
      </c>
      <c r="H26">
        <f t="array" ref="H26">SUM(($A$4:$A$33&gt;=25)*($A$4:$A$33&lt;=40)*($B$4:$B$33&gt;=6)*($B$4:$B$33&lt;=10))</f>
        <v>2</v>
      </c>
      <c r="I26">
        <f t="array" ref="I26">SUM(($A$4:$A$33&gt;=25)*($A$4:$A$33&lt;=40)*($B$4:$B$33&gt;10)*($B$4:$B$33&lt;=14))</f>
        <v>2</v>
      </c>
      <c r="J26">
        <f t="array" ref="J26">SUM(($A$4:$A$33&gt;=25)*($A$4:$A$33&lt;=40)*($B$4:$B$33&gt;14)*($B$4:$B$33&lt;=18))</f>
        <v>2</v>
      </c>
      <c r="K26">
        <f>SUM(H26:J26)</f>
        <v>6</v>
      </c>
    </row>
    <row r="27" spans="1:21" x14ac:dyDescent="0.25">
      <c r="A27">
        <v>44</v>
      </c>
      <c r="B27">
        <v>15</v>
      </c>
      <c r="C27" s="131">
        <v>43200</v>
      </c>
      <c r="D27" s="131">
        <f t="shared" si="0"/>
        <v>51974.460619525409</v>
      </c>
      <c r="E27" s="131">
        <f t="shared" si="1"/>
        <v>-8774.4606195254091</v>
      </c>
      <c r="G27" t="s">
        <v>361</v>
      </c>
      <c r="H27">
        <f t="array" ref="H27">SUM(($A$4:$A$33&gt;40)*($A$4:$A$33&lt;=55)*($B$4:$B$33&gt;=6)*($B$4:$B$33&lt;=10))</f>
        <v>6</v>
      </c>
      <c r="I27">
        <f t="array" ref="I27">SUM(($A$4:$A$33&gt;40)*($A$4:$A$33&lt;=55)*($B$4:$B$33&gt;10)*($B$4:$B$33&lt;=14))</f>
        <v>4</v>
      </c>
      <c r="J27">
        <f t="array" ref="J27">SUM(($A$4:$A$33&gt;40)*($A$4:$A$33&lt;=55)*($B$4:$B$33&gt;14)*($B$4:$B$33&lt;=18))</f>
        <v>4</v>
      </c>
      <c r="K27">
        <f>SUM(H27:J27)</f>
        <v>14</v>
      </c>
    </row>
    <row r="28" spans="1:21" x14ac:dyDescent="0.25">
      <c r="A28">
        <v>53</v>
      </c>
      <c r="B28">
        <v>12</v>
      </c>
      <c r="C28" s="131">
        <v>44500</v>
      </c>
      <c r="D28" s="131">
        <f t="shared" si="0"/>
        <v>53980.647378473084</v>
      </c>
      <c r="E28" s="131">
        <f t="shared" si="1"/>
        <v>-9480.6473784730842</v>
      </c>
      <c r="G28" t="s">
        <v>362</v>
      </c>
      <c r="H28">
        <f t="array" ref="H28">SUM(($A$4:$A$33&gt;55)*($A$4:$A$33&lt;=70)*($B$4:$B$33&gt;=6)*($B$4:$B$33&lt;=10))</f>
        <v>3</v>
      </c>
      <c r="I28">
        <f t="array" ref="I28">SUM(($A$4:$A$33&gt;55)*($A$4:$A$33&lt;=70)*($B$4:$B$33&gt;10)*($B$4:$B$33&lt;=14))</f>
        <v>4</v>
      </c>
      <c r="J28">
        <f t="array" ref="J28">SUM(($A$4:$A$33&gt;55)*($A$4:$A$33&lt;=70)*($B$4:$B$33&gt;14)*($B$4:$B$33&lt;=18))</f>
        <v>3</v>
      </c>
      <c r="K28">
        <f>SUM(K26:K27)</f>
        <v>20</v>
      </c>
    </row>
    <row r="29" spans="1:21" x14ac:dyDescent="0.25">
      <c r="A29">
        <v>55</v>
      </c>
      <c r="B29">
        <v>9</v>
      </c>
      <c r="C29" s="131">
        <v>43300</v>
      </c>
      <c r="D29" s="131">
        <f t="shared" si="0"/>
        <v>50925.141797035241</v>
      </c>
      <c r="E29" s="131">
        <f t="shared" si="1"/>
        <v>-7625.1417970352413</v>
      </c>
      <c r="H29">
        <f>SUM(H26:H28)</f>
        <v>11</v>
      </c>
      <c r="I29">
        <f>SUM(I26:I28)</f>
        <v>10</v>
      </c>
      <c r="J29">
        <f>SUM(J26:J28)</f>
        <v>9</v>
      </c>
    </row>
    <row r="30" spans="1:21" x14ac:dyDescent="0.25">
      <c r="A30">
        <v>66</v>
      </c>
      <c r="B30">
        <v>6</v>
      </c>
      <c r="C30" s="131">
        <v>45400</v>
      </c>
      <c r="D30" s="131">
        <f t="shared" si="0"/>
        <v>54377.526367521634</v>
      </c>
      <c r="E30" s="131">
        <f t="shared" si="1"/>
        <v>-8977.5263675216338</v>
      </c>
    </row>
    <row r="31" spans="1:21" x14ac:dyDescent="0.25">
      <c r="A31">
        <v>36</v>
      </c>
      <c r="B31">
        <v>10</v>
      </c>
      <c r="C31" s="131">
        <v>53900</v>
      </c>
      <c r="D31" s="131">
        <f t="shared" si="0"/>
        <v>38686.830385076268</v>
      </c>
      <c r="E31" s="131">
        <f t="shared" si="1"/>
        <v>15213.169614923732</v>
      </c>
      <c r="G31" s="3" t="s">
        <v>363</v>
      </c>
      <c r="H31" s="3" t="s">
        <v>357</v>
      </c>
      <c r="I31" s="3" t="s">
        <v>358</v>
      </c>
      <c r="J31" s="3" t="s">
        <v>359</v>
      </c>
    </row>
    <row r="32" spans="1:21" x14ac:dyDescent="0.25">
      <c r="A32">
        <v>41</v>
      </c>
      <c r="B32">
        <v>10</v>
      </c>
      <c r="C32" s="131">
        <v>44100</v>
      </c>
      <c r="D32" s="131">
        <f t="shared" si="0"/>
        <v>42302.324913923061</v>
      </c>
      <c r="E32" s="131">
        <f t="shared" si="1"/>
        <v>1797.6750860769389</v>
      </c>
      <c r="G32" t="s">
        <v>360</v>
      </c>
      <c r="H32" s="13">
        <f t="array" ref="H32">SUM($C$4:$C$33*(($A$4:$A$33&gt;=25)*($A$4:$A$33&lt;=40)*($B$4:$B$33&gt;=6)*($B$4:$B$33&lt;=10)))/H26</f>
        <v>51000</v>
      </c>
      <c r="I32" s="13">
        <f t="array" ref="I32">SUM($C$4:$C$33*(($A$4:$A$33&gt;=25)*($A$4:$A$33&lt;=40)*($B$4:$B$33&gt;10)*($B$4:$B$33&lt;=14)))/I26</f>
        <v>37850</v>
      </c>
      <c r="J32" s="13">
        <f t="array" ref="J32">SUM($C$4:$C$33*(($A$4:$A$33&gt;=25)*($A$4:$A$33&lt;=40)*($B$4:$B$33&gt;14)*($B$4:$B$33&lt;=18)))/J26</f>
        <v>40300</v>
      </c>
      <c r="K32" s="13"/>
    </row>
    <row r="33" spans="1:11" x14ac:dyDescent="0.25">
      <c r="A33">
        <v>28</v>
      </c>
      <c r="B33">
        <v>16</v>
      </c>
      <c r="C33" s="131">
        <v>31000</v>
      </c>
      <c r="D33" s="131">
        <f t="shared" si="0"/>
        <v>41905.445924874512</v>
      </c>
      <c r="E33" s="131">
        <f t="shared" si="1"/>
        <v>-10905.445924874512</v>
      </c>
      <c r="G33" t="s">
        <v>361</v>
      </c>
      <c r="H33" s="13">
        <f t="array" ref="H33">SUM($C$4:$C$33*(($A$4:$A$33&gt;40)*($A$4:$A$33&lt;=55)*($B$4:$B$33&gt;=6)*($B$4:$B$33&lt;=10)))/H27</f>
        <v>46016.666666666664</v>
      </c>
      <c r="I33" s="13">
        <f t="array" ref="I33">SUM($C$4:$C$33*(($A$4:$A$33&gt;40)*($A$4:$A$33&lt;=55)*($B$4:$B$33&gt;10)*($B$4:$B$33&lt;=14)))/I27</f>
        <v>51975</v>
      </c>
      <c r="J33" s="13">
        <f t="array" ref="J33">SUM($C$4:$C$33*(($A$4:$A$33&gt;40)*($A$4:$A$33&lt;=55)*($B$4:$B$33&gt;14)*($B$4:$B$33&lt;=18)))/J27</f>
        <v>54400</v>
      </c>
      <c r="K33" s="13"/>
    </row>
    <row r="34" spans="1:11" x14ac:dyDescent="0.25">
      <c r="G34" t="s">
        <v>362</v>
      </c>
      <c r="H34" s="13">
        <f t="array" ref="H34">SUM($C$4:$C$33*(($A$4:$A$33&gt;55)*($A$4:$A$33&lt;=70)*($B$4:$B$33&gt;=6)*($B$4:$B$33&lt;=10)))/H28</f>
        <v>47900</v>
      </c>
      <c r="I34" s="13">
        <f t="array" ref="I34">SUM($C$4:$C$33*(($A$4:$A$33&gt;55)*($A$4:$A$33&lt;=70)*($B$4:$B$33&gt;10)*($B$4:$B$33&lt;=14)))/I28</f>
        <v>65800</v>
      </c>
      <c r="J34" s="13">
        <f t="array" ref="J34">SUM($C$4:$C$33*(($A$4:$A$33&gt;55)*($A$4:$A$33&lt;=70)*($B$4:$B$33&gt;14)*($B$4:$B$33&lt;=18)))/J28</f>
        <v>67033.333333333328</v>
      </c>
      <c r="K34" s="13"/>
    </row>
    <row r="35" spans="1:11" x14ac:dyDescent="0.25">
      <c r="H35" s="13"/>
      <c r="I35" s="13"/>
      <c r="J35" s="13"/>
      <c r="K35" s="13"/>
    </row>
    <row r="37" spans="1:11" x14ac:dyDescent="0.25">
      <c r="A37" s="3" t="s">
        <v>354</v>
      </c>
      <c r="B37" s="3" t="s">
        <v>8</v>
      </c>
      <c r="C37" s="18" t="s">
        <v>350</v>
      </c>
    </row>
    <row r="38" spans="1:11" x14ac:dyDescent="0.25">
      <c r="A38" s="13">
        <f t="array" ref="A38:C42">LINEST(C4:C33,A4:B33,1,1)</f>
        <v>1500.5677976588543</v>
      </c>
      <c r="B38" s="13">
        <v>723.0989057693597</v>
      </c>
      <c r="C38" s="13">
        <v>-2350.4081992092288</v>
      </c>
      <c r="D38" t="s">
        <v>345</v>
      </c>
    </row>
    <row r="39" spans="1:11" x14ac:dyDescent="0.25">
      <c r="A39" s="13">
        <v>454.79043281144396</v>
      </c>
      <c r="B39" s="13">
        <v>145.06109162945359</v>
      </c>
      <c r="C39" s="13">
        <v>10063.939082981748</v>
      </c>
      <c r="D39" t="s">
        <v>22</v>
      </c>
    </row>
    <row r="40" spans="1:11" x14ac:dyDescent="0.25">
      <c r="A40" s="14">
        <v>0.53182151027548297</v>
      </c>
      <c r="B40" s="13">
        <v>8149.7269257973885</v>
      </c>
      <c r="C40" t="e">
        <v>#N/A</v>
      </c>
    </row>
    <row r="41" spans="1:11" x14ac:dyDescent="0.25">
      <c r="A41">
        <v>15.335156454846086</v>
      </c>
      <c r="B41">
        <v>27</v>
      </c>
      <c r="C41" t="e">
        <v>#N/A</v>
      </c>
    </row>
    <row r="42" spans="1:11" x14ac:dyDescent="0.25">
      <c r="A42">
        <v>2037062344.6098597</v>
      </c>
      <c r="B42">
        <v>1793287322.0568078</v>
      </c>
      <c r="C42" t="e">
        <v>#N/A</v>
      </c>
    </row>
    <row r="43" spans="1:11" x14ac:dyDescent="0.25">
      <c r="A43" s="14">
        <f>A38/A39</f>
        <v>3.2994708977991833</v>
      </c>
      <c r="B43" s="14">
        <f>B38/B39</f>
        <v>4.9847888061979795</v>
      </c>
      <c r="C43" s="14">
        <f>C38/C39</f>
        <v>-0.23354753837727413</v>
      </c>
      <c r="D43" t="s">
        <v>346</v>
      </c>
    </row>
    <row r="44" spans="1:11" x14ac:dyDescent="0.25">
      <c r="A44" s="29">
        <f>TDIST(ABS(A43),$B$41,2)</f>
        <v>2.7243438408933642E-3</v>
      </c>
      <c r="B44" s="29">
        <f>TDIST(ABS(B43),$B$41,2)</f>
        <v>3.1726380066727657E-5</v>
      </c>
      <c r="C44" s="29">
        <f>TDIST(ABS(C43),$B$41,2)</f>
        <v>0.81709793502984629</v>
      </c>
      <c r="D44" t="s">
        <v>347</v>
      </c>
    </row>
    <row r="45" spans="1:11" x14ac:dyDescent="0.25">
      <c r="A45" s="13">
        <f>A38-TINV(0.05,$B$41)*A39</f>
        <v>567.41490901305644</v>
      </c>
      <c r="B45" s="13">
        <f>B38-TINV(0.05,$B$41)*B39</f>
        <v>425.45813121010389</v>
      </c>
      <c r="C45" s="13">
        <f>C38-TINV(0.05,$B$41)*C39</f>
        <v>-22999.905525669801</v>
      </c>
      <c r="D45" t="s">
        <v>348</v>
      </c>
    </row>
    <row r="46" spans="1:11" x14ac:dyDescent="0.25">
      <c r="A46" s="13">
        <f>A38+TINV(0.05,$B$41)*A39</f>
        <v>2433.7206863046522</v>
      </c>
      <c r="B46" s="13">
        <f>B38+TINV(0.05,$B$41)*B39</f>
        <v>1020.7396803286156</v>
      </c>
      <c r="C46" s="13">
        <f>C38+TINV(0.05,$B$41)*C39</f>
        <v>18299.089127251344</v>
      </c>
      <c r="D46" t="s">
        <v>349</v>
      </c>
    </row>
  </sheetData>
  <pageMargins left="0.78740157499999996" right="0.78740157499999996" top="0.984251969" bottom="0.984251969" header="0.5" footer="0.5"/>
  <pageSetup scale="70" orientation="portrait" horizontalDpi="300" verticalDpi="300" r:id="rId1"/>
  <headerFooter alignWithMargins="0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4"/>
  <sheetViews>
    <sheetView workbookViewId="0"/>
  </sheetViews>
  <sheetFormatPr defaultColWidth="9.1796875" defaultRowHeight="12.5" x14ac:dyDescent="0.25"/>
  <cols>
    <col min="1" max="4" width="8.7265625" customWidth="1"/>
    <col min="5" max="6" width="9.54296875" customWidth="1"/>
    <col min="7" max="7" width="8.7265625" customWidth="1"/>
    <col min="8" max="8" width="4.7265625" customWidth="1"/>
    <col min="9" max="9" width="13.7265625" customWidth="1"/>
    <col min="10" max="10" width="9.54296875" customWidth="1"/>
    <col min="11" max="11" width="11.54296875" customWidth="1"/>
    <col min="12" max="12" width="11.453125" customWidth="1"/>
    <col min="13" max="13" width="9.7265625" customWidth="1"/>
    <col min="14" max="14" width="11.26953125" bestFit="1" customWidth="1"/>
    <col min="15" max="15" width="11" bestFit="1" customWidth="1"/>
  </cols>
  <sheetData>
    <row r="1" spans="1:23" ht="13" x14ac:dyDescent="0.3">
      <c r="A1" s="2" t="s">
        <v>364</v>
      </c>
    </row>
    <row r="3" spans="1:23" ht="25.5" thickBot="1" x14ac:dyDescent="0.3">
      <c r="A3" s="3" t="s">
        <v>8</v>
      </c>
      <c r="B3" s="3" t="s">
        <v>354</v>
      </c>
      <c r="C3" s="3" t="s">
        <v>365</v>
      </c>
      <c r="D3" s="3" t="s">
        <v>9</v>
      </c>
      <c r="E3" s="3" t="s">
        <v>12</v>
      </c>
      <c r="F3" s="22" t="s">
        <v>338</v>
      </c>
      <c r="G3" s="22" t="s">
        <v>339</v>
      </c>
    </row>
    <row r="4" spans="1:23" ht="13" x14ac:dyDescent="0.3">
      <c r="A4">
        <v>58</v>
      </c>
      <c r="B4">
        <v>14</v>
      </c>
      <c r="C4" s="3">
        <f t="shared" ref="C4:C33" si="0">IF(D4="Male",0,1)</f>
        <v>0</v>
      </c>
      <c r="D4" s="3" t="s">
        <v>15</v>
      </c>
      <c r="E4" s="131">
        <v>65400</v>
      </c>
      <c r="F4" s="131">
        <f t="shared" ref="F4:F33" si="1">$J$12+$J$13*A4+$J$14*B4+$J$15*C4</f>
        <v>62599.326500850788</v>
      </c>
      <c r="G4" s="131">
        <f t="shared" ref="G4:G33" si="2">E4-F4</f>
        <v>2800.6734991492121</v>
      </c>
      <c r="I4" s="5" t="s">
        <v>340</v>
      </c>
      <c r="J4" s="5"/>
      <c r="Q4" s="3" t="s">
        <v>15</v>
      </c>
      <c r="R4" s="3" t="s">
        <v>18</v>
      </c>
    </row>
    <row r="5" spans="1:23" x14ac:dyDescent="0.25">
      <c r="A5">
        <v>48</v>
      </c>
      <c r="B5">
        <v>16</v>
      </c>
      <c r="C5" s="3">
        <f t="shared" si="0"/>
        <v>0</v>
      </c>
      <c r="D5" s="3" t="s">
        <v>15</v>
      </c>
      <c r="E5" s="131">
        <v>62000</v>
      </c>
      <c r="F5" s="131">
        <f t="shared" si="1"/>
        <v>58663.570206167584</v>
      </c>
      <c r="G5" s="131">
        <f t="shared" si="2"/>
        <v>3336.4297938324162</v>
      </c>
      <c r="I5" s="134" t="s">
        <v>341</v>
      </c>
      <c r="J5" s="135">
        <v>0.76815229700977727</v>
      </c>
      <c r="Q5">
        <f t="shared" ref="Q5:Q34" si="3">IF(D4=$Q$4,E4,"")</f>
        <v>65400</v>
      </c>
      <c r="R5" t="str">
        <f t="shared" ref="R5:R34" si="4">IF(D4=$R$4,E4,"")</f>
        <v/>
      </c>
    </row>
    <row r="6" spans="1:23" x14ac:dyDescent="0.25">
      <c r="A6">
        <v>58</v>
      </c>
      <c r="B6">
        <v>18</v>
      </c>
      <c r="C6" s="3">
        <f t="shared" si="0"/>
        <v>1</v>
      </c>
      <c r="D6" s="3" t="s">
        <v>18</v>
      </c>
      <c r="E6" s="131">
        <v>63200</v>
      </c>
      <c r="F6" s="131">
        <f t="shared" si="1"/>
        <v>62998.649929617117</v>
      </c>
      <c r="G6" s="131">
        <f t="shared" si="2"/>
        <v>201.35007038288313</v>
      </c>
      <c r="I6" s="134" t="s">
        <v>342</v>
      </c>
      <c r="J6" s="135">
        <v>0.59005795140139716</v>
      </c>
      <c r="Q6">
        <f t="shared" si="3"/>
        <v>62000</v>
      </c>
      <c r="R6" t="str">
        <f t="shared" si="4"/>
        <v/>
      </c>
      <c r="S6" s="3"/>
      <c r="T6" s="3"/>
      <c r="U6" s="3"/>
      <c r="V6" s="3"/>
      <c r="W6" s="3"/>
    </row>
    <row r="7" spans="1:23" x14ac:dyDescent="0.25">
      <c r="A7">
        <v>56</v>
      </c>
      <c r="B7">
        <v>8</v>
      </c>
      <c r="C7" s="3">
        <f t="shared" si="0"/>
        <v>0</v>
      </c>
      <c r="D7" s="3" t="s">
        <v>15</v>
      </c>
      <c r="E7" s="131">
        <v>52000</v>
      </c>
      <c r="F7" s="131">
        <f t="shared" si="1"/>
        <v>52211.02228718689</v>
      </c>
      <c r="G7" s="131">
        <f t="shared" si="2"/>
        <v>-211.02228718689003</v>
      </c>
      <c r="I7" s="134" t="s">
        <v>343</v>
      </c>
      <c r="J7" s="135">
        <v>0.54275694579386602</v>
      </c>
      <c r="Q7" t="str">
        <f t="shared" si="3"/>
        <v/>
      </c>
      <c r="R7">
        <f t="shared" si="4"/>
        <v>63200</v>
      </c>
      <c r="W7" s="42"/>
    </row>
    <row r="8" spans="1:23" x14ac:dyDescent="0.25">
      <c r="A8">
        <v>68</v>
      </c>
      <c r="B8">
        <v>14</v>
      </c>
      <c r="C8" s="3">
        <f t="shared" si="0"/>
        <v>0</v>
      </c>
      <c r="D8" s="3" t="s">
        <v>15</v>
      </c>
      <c r="E8" s="131">
        <v>81400</v>
      </c>
      <c r="F8" s="131">
        <f t="shared" si="1"/>
        <v>69535.44309388625</v>
      </c>
      <c r="G8" s="131">
        <f t="shared" si="2"/>
        <v>11864.55690611375</v>
      </c>
      <c r="I8" s="134" t="s">
        <v>22</v>
      </c>
      <c r="J8" s="136">
        <v>7771.3017155387151</v>
      </c>
      <c r="Q8">
        <f t="shared" si="3"/>
        <v>52000</v>
      </c>
      <c r="R8" t="str">
        <f t="shared" si="4"/>
        <v/>
      </c>
      <c r="W8" s="42"/>
    </row>
    <row r="9" spans="1:23" ht="13" thickBot="1" x14ac:dyDescent="0.3">
      <c r="A9">
        <v>60</v>
      </c>
      <c r="B9">
        <v>9</v>
      </c>
      <c r="C9" s="3">
        <f t="shared" si="0"/>
        <v>1</v>
      </c>
      <c r="D9" s="3" t="s">
        <v>18</v>
      </c>
      <c r="E9" s="131">
        <v>46300</v>
      </c>
      <c r="F9" s="131">
        <f t="shared" si="1"/>
        <v>50884.251905639001</v>
      </c>
      <c r="G9" s="131">
        <f t="shared" si="2"/>
        <v>-4584.2519056390011</v>
      </c>
      <c r="I9" s="11" t="s">
        <v>344</v>
      </c>
      <c r="J9" s="11">
        <v>30</v>
      </c>
      <c r="Q9">
        <f t="shared" si="3"/>
        <v>81400</v>
      </c>
      <c r="R9" t="str">
        <f t="shared" si="4"/>
        <v/>
      </c>
      <c r="W9" s="42"/>
    </row>
    <row r="10" spans="1:23" ht="13" thickBot="1" x14ac:dyDescent="0.3">
      <c r="A10">
        <v>28</v>
      </c>
      <c r="B10">
        <v>17</v>
      </c>
      <c r="C10" s="3">
        <f t="shared" si="0"/>
        <v>0</v>
      </c>
      <c r="D10" s="3" t="s">
        <v>15</v>
      </c>
      <c r="E10" s="131">
        <v>49600</v>
      </c>
      <c r="F10" s="131">
        <f t="shared" si="1"/>
        <v>46291.517169272789</v>
      </c>
      <c r="G10" s="131">
        <f t="shared" si="2"/>
        <v>3308.482830727211</v>
      </c>
      <c r="Q10" t="str">
        <f t="shared" si="3"/>
        <v/>
      </c>
      <c r="R10">
        <f t="shared" si="4"/>
        <v>46300</v>
      </c>
      <c r="W10" s="42"/>
    </row>
    <row r="11" spans="1:23" ht="26" x14ac:dyDescent="0.3">
      <c r="A11">
        <v>48</v>
      </c>
      <c r="B11">
        <v>14</v>
      </c>
      <c r="C11" s="3">
        <f t="shared" si="0"/>
        <v>0</v>
      </c>
      <c r="D11" s="3" t="s">
        <v>15</v>
      </c>
      <c r="E11" s="131">
        <v>45900</v>
      </c>
      <c r="F11" s="131">
        <f t="shared" si="1"/>
        <v>55663.209907815319</v>
      </c>
      <c r="G11" s="131">
        <f t="shared" si="2"/>
        <v>-9763.2099078153187</v>
      </c>
      <c r="I11" s="137"/>
      <c r="J11" s="138" t="s">
        <v>345</v>
      </c>
      <c r="K11" s="31" t="s">
        <v>22</v>
      </c>
      <c r="L11" s="137" t="s">
        <v>346</v>
      </c>
      <c r="M11" s="137" t="s">
        <v>347</v>
      </c>
      <c r="N11" s="137" t="s">
        <v>348</v>
      </c>
      <c r="O11" s="137" t="s">
        <v>349</v>
      </c>
      <c r="Q11">
        <f t="shared" si="3"/>
        <v>49600</v>
      </c>
      <c r="R11" t="str">
        <f t="shared" si="4"/>
        <v/>
      </c>
      <c r="W11" s="42"/>
    </row>
    <row r="12" spans="1:23" x14ac:dyDescent="0.25">
      <c r="A12">
        <v>53</v>
      </c>
      <c r="B12">
        <v>8</v>
      </c>
      <c r="C12" s="3">
        <f t="shared" si="0"/>
        <v>0</v>
      </c>
      <c r="D12" s="3" t="s">
        <v>15</v>
      </c>
      <c r="E12" s="131">
        <v>47700</v>
      </c>
      <c r="F12" s="131">
        <f t="shared" si="1"/>
        <v>50130.187309276254</v>
      </c>
      <c r="G12" s="131">
        <f t="shared" si="2"/>
        <v>-2430.1873092762544</v>
      </c>
      <c r="I12" s="7" t="s">
        <v>350</v>
      </c>
      <c r="J12" s="136">
        <v>1367.3281727792119</v>
      </c>
      <c r="K12" s="136">
        <v>9789.6556367822086</v>
      </c>
      <c r="L12" s="135">
        <v>0.13967071197497638</v>
      </c>
      <c r="M12" s="139">
        <v>0.88999650157543631</v>
      </c>
      <c r="N12" s="136">
        <v>-18755.610368882371</v>
      </c>
      <c r="O12" s="136">
        <v>21490.266714440797</v>
      </c>
      <c r="Q12">
        <f t="shared" si="3"/>
        <v>45900</v>
      </c>
      <c r="R12" t="str">
        <f t="shared" si="4"/>
        <v/>
      </c>
      <c r="S12" s="42"/>
      <c r="W12" s="42"/>
    </row>
    <row r="13" spans="1:23" x14ac:dyDescent="0.25">
      <c r="A13">
        <v>61</v>
      </c>
      <c r="B13">
        <v>15</v>
      </c>
      <c r="C13" s="3">
        <f t="shared" si="0"/>
        <v>1</v>
      </c>
      <c r="D13" s="3" t="s">
        <v>18</v>
      </c>
      <c r="E13" s="131">
        <v>59900</v>
      </c>
      <c r="F13" s="131">
        <f t="shared" si="1"/>
        <v>60578.944459999351</v>
      </c>
      <c r="G13" s="131">
        <f t="shared" si="2"/>
        <v>-678.94445999935124</v>
      </c>
      <c r="I13" s="7" t="s">
        <v>8</v>
      </c>
      <c r="J13" s="136">
        <v>693.61165930354662</v>
      </c>
      <c r="K13" s="136">
        <v>139.17363413559505</v>
      </c>
      <c r="L13" s="135">
        <v>4.9837863587565003</v>
      </c>
      <c r="M13" s="139">
        <v>3.5073557773570591E-5</v>
      </c>
      <c r="N13" s="136">
        <v>407.53596979637149</v>
      </c>
      <c r="O13" s="136">
        <v>979.68734881072169</v>
      </c>
      <c r="Q13">
        <f t="shared" si="3"/>
        <v>47700</v>
      </c>
      <c r="R13" t="str">
        <f t="shared" si="4"/>
        <v/>
      </c>
      <c r="W13" s="42"/>
    </row>
    <row r="14" spans="1:23" x14ac:dyDescent="0.25">
      <c r="A14">
        <v>36</v>
      </c>
      <c r="B14">
        <v>10</v>
      </c>
      <c r="C14" s="3">
        <f t="shared" si="0"/>
        <v>1</v>
      </c>
      <c r="D14" s="3" t="s">
        <v>18</v>
      </c>
      <c r="E14" s="131">
        <v>48100</v>
      </c>
      <c r="F14" s="131">
        <f t="shared" si="1"/>
        <v>35737.752231530008</v>
      </c>
      <c r="G14" s="131">
        <f t="shared" si="2"/>
        <v>12362.247768469992</v>
      </c>
      <c r="I14" s="7" t="s">
        <v>354</v>
      </c>
      <c r="J14" s="136">
        <v>1500.1801491761337</v>
      </c>
      <c r="K14" s="136">
        <v>433.67269666551061</v>
      </c>
      <c r="L14" s="135">
        <v>3.4592450959236074</v>
      </c>
      <c r="M14" s="139">
        <v>1.8809587679860624E-3</v>
      </c>
      <c r="N14" s="136">
        <v>608.75257031339606</v>
      </c>
      <c r="O14" s="136">
        <v>2391.6077280388713</v>
      </c>
      <c r="Q14" t="str">
        <f t="shared" si="3"/>
        <v/>
      </c>
      <c r="R14">
        <f t="shared" si="4"/>
        <v>59900</v>
      </c>
      <c r="W14" s="42"/>
    </row>
    <row r="15" spans="1:23" ht="13" thickBot="1" x14ac:dyDescent="0.3">
      <c r="A15">
        <v>55</v>
      </c>
      <c r="B15">
        <v>8</v>
      </c>
      <c r="C15" s="3">
        <f t="shared" si="0"/>
        <v>0</v>
      </c>
      <c r="D15" s="3" t="s">
        <v>15</v>
      </c>
      <c r="E15" s="131">
        <v>58100</v>
      </c>
      <c r="F15" s="131">
        <f t="shared" si="1"/>
        <v>51517.410627883342</v>
      </c>
      <c r="G15" s="131">
        <f t="shared" si="2"/>
        <v>6582.5893721166576</v>
      </c>
      <c r="I15" s="30" t="s">
        <v>365</v>
      </c>
      <c r="J15" s="140">
        <v>-5601.3971679382175</v>
      </c>
      <c r="K15" s="140">
        <v>2914.5634444196335</v>
      </c>
      <c r="L15" s="141">
        <v>-1.9218648949512243</v>
      </c>
      <c r="M15" s="142">
        <v>6.5646794257340366E-2</v>
      </c>
      <c r="N15" s="140">
        <v>-11592.372054477484</v>
      </c>
      <c r="O15" s="140">
        <v>389.57771860104822</v>
      </c>
      <c r="Q15" t="str">
        <f t="shared" si="3"/>
        <v/>
      </c>
      <c r="R15">
        <f t="shared" si="4"/>
        <v>48100</v>
      </c>
      <c r="W15" s="42"/>
    </row>
    <row r="16" spans="1:23" x14ac:dyDescent="0.25">
      <c r="A16">
        <v>48</v>
      </c>
      <c r="B16">
        <v>11</v>
      </c>
      <c r="C16" s="3">
        <f t="shared" si="0"/>
        <v>1</v>
      </c>
      <c r="D16" s="3" t="s">
        <v>18</v>
      </c>
      <c r="E16" s="131">
        <v>56000</v>
      </c>
      <c r="F16" s="131">
        <f t="shared" si="1"/>
        <v>45561.272292348702</v>
      </c>
      <c r="G16" s="131">
        <f t="shared" si="2"/>
        <v>10438.727707651298</v>
      </c>
      <c r="Q16">
        <f t="shared" si="3"/>
        <v>58100</v>
      </c>
      <c r="R16" t="str">
        <f t="shared" si="4"/>
        <v/>
      </c>
      <c r="W16" s="42"/>
    </row>
    <row r="17" spans="1:23" ht="25" x14ac:dyDescent="0.25">
      <c r="A17">
        <v>51</v>
      </c>
      <c r="B17">
        <v>16</v>
      </c>
      <c r="C17" s="3">
        <f t="shared" si="0"/>
        <v>1</v>
      </c>
      <c r="D17" s="3" t="s">
        <v>18</v>
      </c>
      <c r="E17" s="131">
        <v>53400</v>
      </c>
      <c r="F17" s="131">
        <f t="shared" si="1"/>
        <v>55143.008016140018</v>
      </c>
      <c r="G17" s="131">
        <f t="shared" si="2"/>
        <v>-1743.0080161400183</v>
      </c>
      <c r="J17" s="85" t="s">
        <v>116</v>
      </c>
      <c r="K17" s="143" t="s">
        <v>351</v>
      </c>
      <c r="Q17" t="str">
        <f t="shared" si="3"/>
        <v/>
      </c>
      <c r="R17">
        <f t="shared" si="4"/>
        <v>56000</v>
      </c>
      <c r="U17" s="42"/>
      <c r="V17" s="132"/>
      <c r="W17" s="42"/>
    </row>
    <row r="18" spans="1:23" x14ac:dyDescent="0.25">
      <c r="A18">
        <v>39</v>
      </c>
      <c r="B18">
        <v>14</v>
      </c>
      <c r="C18" s="3">
        <f t="shared" si="0"/>
        <v>1</v>
      </c>
      <c r="D18" s="3" t="s">
        <v>18</v>
      </c>
      <c r="E18" s="131">
        <v>39000</v>
      </c>
      <c r="F18" s="131">
        <f t="shared" si="1"/>
        <v>43819.307806145189</v>
      </c>
      <c r="G18" s="131">
        <f t="shared" si="2"/>
        <v>-4819.3078061451888</v>
      </c>
      <c r="I18" t="s">
        <v>12</v>
      </c>
      <c r="J18" s="13">
        <f>AVERAGE(E4:E33)</f>
        <v>52263.333333333336</v>
      </c>
      <c r="K18" s="13">
        <f>STDEV(E4:E33)</f>
        <v>11492.650825136294</v>
      </c>
      <c r="Q18" t="str">
        <f t="shared" si="3"/>
        <v/>
      </c>
      <c r="R18">
        <f t="shared" si="4"/>
        <v>53400</v>
      </c>
      <c r="T18" s="42"/>
      <c r="W18" s="42"/>
    </row>
    <row r="19" spans="1:23" x14ac:dyDescent="0.25">
      <c r="A19">
        <v>45</v>
      </c>
      <c r="B19">
        <v>14</v>
      </c>
      <c r="C19" s="3">
        <f t="shared" si="0"/>
        <v>0</v>
      </c>
      <c r="D19" s="3" t="s">
        <v>15</v>
      </c>
      <c r="E19" s="131">
        <v>61500</v>
      </c>
      <c r="F19" s="131">
        <f t="shared" si="1"/>
        <v>53582.374929904676</v>
      </c>
      <c r="G19" s="131">
        <f t="shared" si="2"/>
        <v>7917.6250700953242</v>
      </c>
      <c r="I19" t="s">
        <v>8</v>
      </c>
      <c r="J19" s="42">
        <f>AVERAGE(A4:A33)</f>
        <v>49.93333333333333</v>
      </c>
      <c r="K19" s="42">
        <f>STDEV(A4:A33)</f>
        <v>10.618569724238091</v>
      </c>
      <c r="Q19" t="str">
        <f t="shared" si="3"/>
        <v/>
      </c>
      <c r="R19">
        <f t="shared" si="4"/>
        <v>39000</v>
      </c>
      <c r="W19" s="42"/>
    </row>
    <row r="20" spans="1:23" x14ac:dyDescent="0.25">
      <c r="A20">
        <v>43</v>
      </c>
      <c r="B20">
        <v>10</v>
      </c>
      <c r="C20" s="3">
        <f t="shared" si="0"/>
        <v>0</v>
      </c>
      <c r="D20" s="3" t="s">
        <v>15</v>
      </c>
      <c r="E20" s="131">
        <v>37700</v>
      </c>
      <c r="F20" s="131">
        <f t="shared" si="1"/>
        <v>46194.43101459305</v>
      </c>
      <c r="G20" s="131">
        <f t="shared" si="2"/>
        <v>-8494.4310145930503</v>
      </c>
      <c r="I20" t="s">
        <v>354</v>
      </c>
      <c r="J20" s="42">
        <f>AVERAGE(B4:B33)</f>
        <v>12.333333333333334</v>
      </c>
      <c r="K20" s="42">
        <f>STDEV(B4:B33)</f>
        <v>3.3869255037299095</v>
      </c>
      <c r="Q20">
        <f t="shared" si="3"/>
        <v>61500</v>
      </c>
      <c r="R20" t="str">
        <f t="shared" si="4"/>
        <v/>
      </c>
    </row>
    <row r="21" spans="1:23" x14ac:dyDescent="0.25">
      <c r="A21">
        <v>36</v>
      </c>
      <c r="B21">
        <v>12</v>
      </c>
      <c r="C21" s="3">
        <f t="shared" si="0"/>
        <v>1</v>
      </c>
      <c r="D21" s="3" t="s">
        <v>18</v>
      </c>
      <c r="E21" s="131">
        <v>36700</v>
      </c>
      <c r="F21" s="131">
        <f t="shared" si="1"/>
        <v>38738.112529882281</v>
      </c>
      <c r="G21" s="131">
        <f t="shared" si="2"/>
        <v>-2038.1125298822808</v>
      </c>
      <c r="Q21">
        <f t="shared" si="3"/>
        <v>37700</v>
      </c>
      <c r="R21" t="str">
        <f t="shared" si="4"/>
        <v/>
      </c>
    </row>
    <row r="22" spans="1:23" x14ac:dyDescent="0.25">
      <c r="A22">
        <v>49</v>
      </c>
      <c r="B22">
        <v>8</v>
      </c>
      <c r="C22" s="3">
        <f t="shared" si="0"/>
        <v>1</v>
      </c>
      <c r="D22" s="3" t="s">
        <v>18</v>
      </c>
      <c r="E22" s="131">
        <v>45200</v>
      </c>
      <c r="F22" s="131">
        <f t="shared" si="1"/>
        <v>41754.343504123848</v>
      </c>
      <c r="G22" s="131">
        <f t="shared" si="2"/>
        <v>3445.6564958761519</v>
      </c>
      <c r="Q22" t="str">
        <f t="shared" si="3"/>
        <v/>
      </c>
      <c r="R22">
        <f t="shared" si="4"/>
        <v>36700</v>
      </c>
    </row>
    <row r="23" spans="1:23" x14ac:dyDescent="0.25">
      <c r="A23">
        <v>53</v>
      </c>
      <c r="B23">
        <v>18</v>
      </c>
      <c r="C23" s="3">
        <f t="shared" si="0"/>
        <v>0</v>
      </c>
      <c r="D23" s="3" t="s">
        <v>15</v>
      </c>
      <c r="E23" s="131">
        <v>59000</v>
      </c>
      <c r="F23" s="131">
        <f t="shared" si="1"/>
        <v>65131.988801037594</v>
      </c>
      <c r="G23" s="131">
        <f t="shared" si="2"/>
        <v>-6131.9888010375944</v>
      </c>
      <c r="Q23" t="str">
        <f t="shared" si="3"/>
        <v/>
      </c>
      <c r="R23">
        <f t="shared" si="4"/>
        <v>45200</v>
      </c>
    </row>
    <row r="24" spans="1:23" x14ac:dyDescent="0.25">
      <c r="A24">
        <v>61</v>
      </c>
      <c r="B24">
        <v>11</v>
      </c>
      <c r="C24" s="3">
        <f t="shared" si="0"/>
        <v>1</v>
      </c>
      <c r="D24" s="3" t="s">
        <v>18</v>
      </c>
      <c r="E24" s="131">
        <v>54300</v>
      </c>
      <c r="F24" s="131">
        <f t="shared" si="1"/>
        <v>54578.223863294807</v>
      </c>
      <c r="G24" s="131">
        <f t="shared" si="2"/>
        <v>-278.22386329480651</v>
      </c>
      <c r="Q24">
        <f t="shared" si="3"/>
        <v>59000</v>
      </c>
      <c r="R24" t="str">
        <f t="shared" si="4"/>
        <v/>
      </c>
    </row>
    <row r="25" spans="1:23" x14ac:dyDescent="0.25">
      <c r="A25">
        <v>62</v>
      </c>
      <c r="B25">
        <v>11</v>
      </c>
      <c r="C25" s="3">
        <f t="shared" si="0"/>
        <v>0</v>
      </c>
      <c r="D25" s="3" t="s">
        <v>15</v>
      </c>
      <c r="E25" s="131">
        <v>62100</v>
      </c>
      <c r="F25" s="131">
        <f t="shared" si="1"/>
        <v>60873.23269053657</v>
      </c>
      <c r="G25" s="131">
        <f t="shared" si="2"/>
        <v>1226.7673094634301</v>
      </c>
      <c r="H25" s="133"/>
      <c r="Q25" t="str">
        <f t="shared" si="3"/>
        <v/>
      </c>
      <c r="R25">
        <f t="shared" si="4"/>
        <v>54300</v>
      </c>
    </row>
    <row r="26" spans="1:23" x14ac:dyDescent="0.25">
      <c r="A26">
        <v>59</v>
      </c>
      <c r="B26">
        <v>16</v>
      </c>
      <c r="C26" s="3">
        <f t="shared" si="0"/>
        <v>0</v>
      </c>
      <c r="D26" s="3" t="s">
        <v>15</v>
      </c>
      <c r="E26" s="131">
        <v>78000</v>
      </c>
      <c r="F26" s="131">
        <f t="shared" si="1"/>
        <v>66293.298458506601</v>
      </c>
      <c r="G26" s="131">
        <f t="shared" si="2"/>
        <v>11706.701541493399</v>
      </c>
      <c r="Q26">
        <f t="shared" si="3"/>
        <v>62100</v>
      </c>
      <c r="R26" t="str">
        <f t="shared" si="4"/>
        <v/>
      </c>
    </row>
    <row r="27" spans="1:23" x14ac:dyDescent="0.25">
      <c r="A27">
        <v>44</v>
      </c>
      <c r="B27">
        <v>15</v>
      </c>
      <c r="C27" s="3">
        <f t="shared" si="0"/>
        <v>0</v>
      </c>
      <c r="D27" s="3" t="s">
        <v>15</v>
      </c>
      <c r="E27" s="131">
        <v>43200</v>
      </c>
      <c r="F27" s="131">
        <f t="shared" si="1"/>
        <v>54388.943419777272</v>
      </c>
      <c r="G27" s="131">
        <f t="shared" si="2"/>
        <v>-11188.943419777272</v>
      </c>
      <c r="Q27">
        <f t="shared" si="3"/>
        <v>78000</v>
      </c>
      <c r="R27" t="str">
        <f t="shared" si="4"/>
        <v/>
      </c>
    </row>
    <row r="28" spans="1:23" x14ac:dyDescent="0.25">
      <c r="A28">
        <v>53</v>
      </c>
      <c r="B28">
        <v>12</v>
      </c>
      <c r="C28" s="3">
        <f t="shared" si="0"/>
        <v>0</v>
      </c>
      <c r="D28" s="3" t="s">
        <v>15</v>
      </c>
      <c r="E28" s="131">
        <v>44500</v>
      </c>
      <c r="F28" s="131">
        <f t="shared" si="1"/>
        <v>56130.907905980792</v>
      </c>
      <c r="G28" s="131">
        <f t="shared" si="2"/>
        <v>-11630.907905980792</v>
      </c>
      <c r="Q28">
        <f t="shared" si="3"/>
        <v>43200</v>
      </c>
      <c r="R28" t="str">
        <f t="shared" si="4"/>
        <v/>
      </c>
    </row>
    <row r="29" spans="1:23" x14ac:dyDescent="0.25">
      <c r="A29">
        <v>55</v>
      </c>
      <c r="B29">
        <v>9</v>
      </c>
      <c r="C29" s="3">
        <f t="shared" si="0"/>
        <v>1</v>
      </c>
      <c r="D29" s="3" t="s">
        <v>18</v>
      </c>
      <c r="E29" s="131">
        <v>43300</v>
      </c>
      <c r="F29" s="131">
        <f t="shared" si="1"/>
        <v>47416.193609121263</v>
      </c>
      <c r="G29" s="131">
        <f t="shared" si="2"/>
        <v>-4116.1936091212629</v>
      </c>
      <c r="Q29">
        <f t="shared" si="3"/>
        <v>44500</v>
      </c>
      <c r="R29" t="str">
        <f t="shared" si="4"/>
        <v/>
      </c>
    </row>
    <row r="30" spans="1:23" x14ac:dyDescent="0.25">
      <c r="A30">
        <v>66</v>
      </c>
      <c r="B30">
        <v>6</v>
      </c>
      <c r="C30" s="3">
        <f t="shared" si="0"/>
        <v>0</v>
      </c>
      <c r="D30" s="3" t="s">
        <v>15</v>
      </c>
      <c r="E30" s="131">
        <v>45400</v>
      </c>
      <c r="F30" s="131">
        <f t="shared" si="1"/>
        <v>56146.778581870094</v>
      </c>
      <c r="G30" s="131">
        <f t="shared" si="2"/>
        <v>-10746.778581870094</v>
      </c>
      <c r="Q30" t="str">
        <f t="shared" si="3"/>
        <v/>
      </c>
      <c r="R30">
        <f t="shared" si="4"/>
        <v>43300</v>
      </c>
    </row>
    <row r="31" spans="1:23" x14ac:dyDescent="0.25">
      <c r="A31">
        <v>36</v>
      </c>
      <c r="B31">
        <v>10</v>
      </c>
      <c r="C31" s="3">
        <f t="shared" si="0"/>
        <v>0</v>
      </c>
      <c r="D31" s="3" t="s">
        <v>15</v>
      </c>
      <c r="E31" s="131">
        <v>53900</v>
      </c>
      <c r="F31" s="131">
        <f t="shared" si="1"/>
        <v>41339.149399468224</v>
      </c>
      <c r="G31" s="131">
        <f t="shared" si="2"/>
        <v>12560.850600531776</v>
      </c>
      <c r="Q31">
        <f t="shared" si="3"/>
        <v>45400</v>
      </c>
      <c r="R31" t="str">
        <f t="shared" si="4"/>
        <v/>
      </c>
    </row>
    <row r="32" spans="1:23" x14ac:dyDescent="0.25">
      <c r="A32">
        <v>41</v>
      </c>
      <c r="B32">
        <v>10</v>
      </c>
      <c r="C32" s="3">
        <f t="shared" si="0"/>
        <v>0</v>
      </c>
      <c r="D32" s="3" t="s">
        <v>15</v>
      </c>
      <c r="E32" s="131">
        <v>44100</v>
      </c>
      <c r="F32" s="131">
        <f t="shared" si="1"/>
        <v>44807.207695985955</v>
      </c>
      <c r="G32" s="131">
        <f t="shared" si="2"/>
        <v>-707.20769598595507</v>
      </c>
      <c r="Q32">
        <f t="shared" si="3"/>
        <v>53900</v>
      </c>
      <c r="R32" t="str">
        <f t="shared" si="4"/>
        <v/>
      </c>
    </row>
    <row r="33" spans="1:18" x14ac:dyDescent="0.25">
      <c r="A33">
        <v>28</v>
      </c>
      <c r="B33">
        <v>16</v>
      </c>
      <c r="C33" s="3">
        <f t="shared" si="0"/>
        <v>1</v>
      </c>
      <c r="D33" s="3" t="s">
        <v>18</v>
      </c>
      <c r="E33" s="131">
        <v>31000</v>
      </c>
      <c r="F33" s="131">
        <f t="shared" si="1"/>
        <v>39189.939852158444</v>
      </c>
      <c r="G33" s="131">
        <f t="shared" si="2"/>
        <v>-8189.9398521584444</v>
      </c>
      <c r="Q33">
        <f t="shared" si="3"/>
        <v>44100</v>
      </c>
      <c r="R33" t="str">
        <f t="shared" si="4"/>
        <v/>
      </c>
    </row>
    <row r="34" spans="1:18" x14ac:dyDescent="0.25">
      <c r="Q34" t="str">
        <f t="shared" si="3"/>
        <v/>
      </c>
      <c r="R34">
        <f t="shared" si="4"/>
        <v>31000</v>
      </c>
    </row>
  </sheetData>
  <pageMargins left="0.78740157499999996" right="0.78740157499999996" top="0.984251969" bottom="0.984251969" header="0.5" footer="0.5"/>
  <pageSetup scale="53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credits</vt:lpstr>
      <vt:lpstr>coding</vt:lpstr>
      <vt:lpstr>returns</vt:lpstr>
      <vt:lpstr>shoes</vt:lpstr>
      <vt:lpstr>otis</vt:lpstr>
      <vt:lpstr>DAX (histogram)</vt:lpstr>
      <vt:lpstr>DAX (summary+rules of  thumb)</vt:lpstr>
      <vt:lpstr>arrival</vt:lpstr>
      <vt:lpstr>RR</vt:lpstr>
      <vt:lpstr>expected value, etc.</vt:lpstr>
      <vt:lpstr>normal distribution</vt:lpstr>
      <vt:lpstr>personnel</vt:lpstr>
      <vt:lpstr>quantiles&amp;probabilities</vt:lpstr>
      <vt:lpstr>project duration</vt:lpstr>
      <vt:lpstr>project duration+correlations</vt:lpstr>
      <vt:lpstr>lognormal distribution</vt:lpstr>
      <vt:lpstr>overbooking</vt:lpstr>
      <vt:lpstr>conf.intervals&amp;hypothesis tests</vt:lpstr>
      <vt:lpstr>random sampling</vt:lpstr>
      <vt:lpstr>stratified sampling</vt:lpstr>
      <vt:lpstr>clustered sampling</vt:lpstr>
      <vt:lpstr>correlation</vt:lpstr>
      <vt:lpstr>simple regression</vt:lpstr>
      <vt:lpstr>multiple regression (1)</vt:lpstr>
      <vt:lpstr>multiple regression (2)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Alois Geyer</dc:creator>
  <cp:lastModifiedBy>Alois Geyer</cp:lastModifiedBy>
  <dcterms:created xsi:type="dcterms:W3CDTF">2020-04-30T09:15:57Z</dcterms:created>
  <dcterms:modified xsi:type="dcterms:W3CDTF">2020-05-02T11:22:25Z</dcterms:modified>
</cp:coreProperties>
</file>