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omments4.xml" ContentType="application/vnd.openxmlformats-officedocument.spreadsheetml.comments+xml"/>
  <Override PartName="/xl/drawings/drawing15.xml" ContentType="application/vnd.openxmlformats-officedocument.drawing+xml"/>
  <Override PartName="/xl/worksheets/sheet3.xml" ContentType="application/vnd.openxmlformats-officedocument.spreadsheetml.worksheet+xml"/>
  <Override PartName="/xl/comments2.xml" ContentType="application/vnd.openxmlformats-officedocument.spreadsheetml.comments+xml"/>
  <Override PartName="/xl/drawings/drawing13.xml" ContentType="application/vnd.openxmlformats-officedocument.drawing+xml"/>
  <Override PartName="/xl/charts/chart18.xml" ContentType="application/vnd.openxmlformats-officedocument.drawingml.chart+xml"/>
  <Override PartName="/xl/worksheets/sheet1.xml" ContentType="application/vnd.openxmlformats-officedocument.spreadsheetml.worksheet+xml"/>
  <Override PartName="/xl/drawings/drawing11.xml" ContentType="application/vnd.openxmlformats-officedocument.drawing+xml"/>
  <Override PartName="/xl/charts/chart16.xml" ContentType="application/vnd.openxmlformats-officedocument.drawingml.chart+xml"/>
  <Override PartName="/xl/worksheets/sheet29.xml" ContentType="application/vnd.openxmlformats-officedocument.spreadsheetml.worksheet+xml"/>
  <Override PartName="/xl/sharedStrings.xml" ContentType="application/vnd.openxmlformats-officedocument.spreadsheetml.sharedStrings+xml"/>
  <Override PartName="/xl/charts/chart14.xml" ContentType="application/vnd.openxmlformats-officedocument.drawingml.chart+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drawings/drawing18.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xl/drawings/drawing16.xml" ContentType="application/vnd.openxmlformats-officedocument.drawing+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3.xml" ContentType="application/vnd.openxmlformats-officedocument.spreadsheetml.comments+xml"/>
  <Override PartName="/xl/drawings/drawing14.xml" ContentType="application/vnd.openxmlformats-officedocument.drawing+xml"/>
  <Override PartName="/xl/charts/chart19.xml" ContentType="application/vnd.openxmlformats-officedocument.drawingml.chart+xml"/>
  <Default Extension="vml" ContentType="application/vnd.openxmlformats-officedocument.vmlDrawing"/>
  <Override PartName="/xl/comments1.xml" ContentType="application/vnd.openxmlformats-officedocument.spreadsheetml.comments+xml"/>
  <Override PartName="/xl/drawings/drawing12.xml" ContentType="application/vnd.openxmlformats-officedocument.drawing+xml"/>
  <Override PartName="/xl/charts/chart17.xml" ContentType="application/vnd.openxmlformats-officedocument.drawingml.char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drawings/drawing10.xml" ContentType="application/vnd.openxmlformats-officedocument.drawing+xml"/>
  <Override PartName="/xl/charts/chart13.xml" ContentType="application/vnd.openxmlformats-officedocument.drawingml.chart+xml"/>
  <Override PartName="/xl/charts/chart15.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DieseArbeitsmappe" hidePivotFieldList="1"/>
  <bookViews>
    <workbookView xWindow="120" yWindow="120" windowWidth="11820" windowHeight="6825"/>
  </bookViews>
  <sheets>
    <sheet name="credits" sheetId="1" r:id="rId1"/>
    <sheet name="statistical functions en+de" sheetId="2" r:id="rId2"/>
    <sheet name="coding" sheetId="45" r:id="rId3"/>
    <sheet name="returns" sheetId="55" r:id="rId4"/>
    <sheet name="shoes" sheetId="4" r:id="rId5"/>
    <sheet name="otis" sheetId="5" r:id="rId6"/>
    <sheet name="DAX (histogram)" sheetId="23" r:id="rId7"/>
    <sheet name="DAX (summary+rules of  thumb)" sheetId="24" r:id="rId8"/>
    <sheet name="arrival" sheetId="8" r:id="rId9"/>
    <sheet name="RR" sheetId="59" r:id="rId10"/>
    <sheet name="expected value, etc." sheetId="44" r:id="rId11"/>
    <sheet name="normal distribution" sheetId="9" r:id="rId12"/>
    <sheet name="personnel" sheetId="10" r:id="rId13"/>
    <sheet name="quantiles&amp;probabilities" sheetId="26" r:id="rId14"/>
    <sheet name="project duration" sheetId="43" r:id="rId15"/>
    <sheet name="project duration+correlations" sheetId="60" r:id="rId16"/>
    <sheet name="lognormal distribution" sheetId="56" r:id="rId17"/>
    <sheet name="VaR lognormal" sheetId="30" r:id="rId18"/>
    <sheet name="VaR" sheetId="57" r:id="rId19"/>
    <sheet name="overbooking" sheetId="34" r:id="rId20"/>
    <sheet name="binomial distribution" sheetId="54" r:id="rId21"/>
    <sheet name="conf.intervals&amp;hypothesis tests" sheetId="46" r:id="rId22"/>
    <sheet name="random sampling" sheetId="58" r:id="rId23"/>
    <sheet name="stratified sampling" sheetId="51" r:id="rId24"/>
    <sheet name="clustered sampling" sheetId="37" r:id="rId25"/>
    <sheet name="correlation" sheetId="50" r:id="rId26"/>
    <sheet name="simple regression" sheetId="47" r:id="rId27"/>
    <sheet name="CAPM" sheetId="31" r:id="rId28"/>
    <sheet name="multiple regression (1)" sheetId="48" r:id="rId29"/>
    <sheet name="multiple regression (2)" sheetId="49" r:id="rId30"/>
    <sheet name="NEWDEC" sheetId="41" r:id="rId31"/>
    <sheet name="expected utility" sheetId="53" r:id="rId32"/>
    <sheet name="SciTools" sheetId="42" r:id="rId33"/>
  </sheets>
  <definedNames>
    <definedName name="_xlnm._FilterDatabase" localSheetId="9" hidden="1">RR!$A$2:$E$1163</definedName>
    <definedName name="anscount" localSheetId="27" hidden="1">1</definedName>
    <definedName name="anscount" localSheetId="31" hidden="1">2</definedName>
    <definedName name="anscount" localSheetId="10" hidden="1">1</definedName>
    <definedName name="anscount" localSheetId="18" hidden="1">1</definedName>
    <definedName name="anscount" localSheetId="17" hidden="1">1</definedName>
    <definedName name="anscount" hidden="1">6</definedName>
    <definedName name="sencount" localSheetId="27" hidden="1">1</definedName>
    <definedName name="sencount" localSheetId="10" hidden="1">1</definedName>
    <definedName name="sencount" localSheetId="18" hidden="1">1</definedName>
    <definedName name="sencount" localSheetId="17" hidden="1">1</definedName>
    <definedName name="sencount" hidden="1">21</definedName>
    <definedName name="solver_adj" localSheetId="31" hidden="1">'expected utility'!$C$9</definedName>
    <definedName name="solver_adj" localSheetId="30" hidden="1">NEWDEC!#REF!</definedName>
    <definedName name="solver_cvg" localSheetId="31" hidden="1">0.000001</definedName>
    <definedName name="solver_cvg" localSheetId="30" hidden="1">0.0001</definedName>
    <definedName name="solver_drv" localSheetId="31" hidden="1">1</definedName>
    <definedName name="solver_drv" localSheetId="30" hidden="1">1</definedName>
    <definedName name="solver_est" localSheetId="31" hidden="1">1</definedName>
    <definedName name="solver_est" localSheetId="30" hidden="1">1</definedName>
    <definedName name="solver_itr" localSheetId="31" hidden="1">100</definedName>
    <definedName name="solver_itr" localSheetId="30" hidden="1">100</definedName>
    <definedName name="solver_lhs1" localSheetId="30" hidden="1">NEWDEC!$I$57</definedName>
    <definedName name="solver_lhs2" localSheetId="30" hidden="1">NEWDEC!$I$69</definedName>
    <definedName name="solver_lin" localSheetId="31" hidden="1">2</definedName>
    <definedName name="solver_lin" localSheetId="30" hidden="1">2</definedName>
    <definedName name="solver_neg" localSheetId="31" hidden="1">2</definedName>
    <definedName name="solver_neg" localSheetId="30" hidden="1">2</definedName>
    <definedName name="solver_num" localSheetId="31" hidden="1">0</definedName>
    <definedName name="solver_num" localSheetId="30" hidden="1">2</definedName>
    <definedName name="solver_nwt" localSheetId="31" hidden="1">1</definedName>
    <definedName name="solver_nwt" localSheetId="30" hidden="1">1</definedName>
    <definedName name="solver_opt" localSheetId="31" hidden="1">'expected utility'!$C$12</definedName>
    <definedName name="solver_opt" localSheetId="30" hidden="1">NEWDEC!$I$37</definedName>
    <definedName name="solver_pre" localSheetId="31" hidden="1">0.00000001</definedName>
    <definedName name="solver_pre" localSheetId="30" hidden="1">0.000001</definedName>
    <definedName name="solver_rel1" localSheetId="30" hidden="1">2</definedName>
    <definedName name="solver_rel2" localSheetId="30" hidden="1">2</definedName>
    <definedName name="solver_rhs1" localSheetId="30" hidden="1">0.75</definedName>
    <definedName name="solver_rhs2" localSheetId="30" hidden="1">1</definedName>
    <definedName name="solver_scl" localSheetId="31" hidden="1">2</definedName>
    <definedName name="solver_scl" localSheetId="30" hidden="1">2</definedName>
    <definedName name="solver_sho" localSheetId="31" hidden="1">2</definedName>
    <definedName name="solver_sho" localSheetId="30" hidden="1">2</definedName>
    <definedName name="solver_tim" localSheetId="31" hidden="1">100</definedName>
    <definedName name="solver_tim" localSheetId="30" hidden="1">100</definedName>
    <definedName name="solver_tol" localSheetId="31" hidden="1">0.01</definedName>
    <definedName name="solver_tol" localSheetId="30" hidden="1">0.05</definedName>
    <definedName name="solver_typ" localSheetId="31" hidden="1">1</definedName>
    <definedName name="solver_typ" localSheetId="30" hidden="1">3</definedName>
    <definedName name="solver_val" localSheetId="31" hidden="1">0</definedName>
    <definedName name="solver_val" localSheetId="30" hidden="1">0</definedName>
  </definedNames>
  <calcPr calcId="125725"/>
</workbook>
</file>

<file path=xl/calcChain.xml><?xml version="1.0" encoding="utf-8"?>
<calcChain xmlns="http://schemas.openxmlformats.org/spreadsheetml/2006/main">
  <c r="F27" i="60" a="1"/>
  <c r="N27" s="1"/>
  <c r="B17"/>
  <c r="D16"/>
  <c r="O15"/>
  <c r="F26" s="1" a="1"/>
  <c r="D15"/>
  <c r="N14" a="1"/>
  <c r="N14" s="1"/>
  <c r="D14"/>
  <c r="O13"/>
  <c r="M13"/>
  <c r="M13" a="1"/>
  <c r="N13" s="1"/>
  <c r="D13"/>
  <c r="N12"/>
  <c r="L12"/>
  <c r="L12" a="1"/>
  <c r="O12" s="1"/>
  <c r="D12"/>
  <c r="K11" a="1"/>
  <c r="O11" s="1"/>
  <c r="D11"/>
  <c r="J10" a="1"/>
  <c r="N10" s="1"/>
  <c r="D10"/>
  <c r="O9"/>
  <c r="M9"/>
  <c r="K9"/>
  <c r="I9"/>
  <c r="I9" a="1"/>
  <c r="N9" s="1"/>
  <c r="D9"/>
  <c r="N8"/>
  <c r="L8"/>
  <c r="J8"/>
  <c r="H8"/>
  <c r="H8" a="1"/>
  <c r="O8" s="1"/>
  <c r="D8"/>
  <c r="G7" a="1"/>
  <c r="O7" s="1"/>
  <c r="D7"/>
  <c r="Q5" i="59" a="1"/>
  <c r="Q5" s="1"/>
  <c r="R5" a="1"/>
  <c r="R5" s="1"/>
  <c r="S5" a="1"/>
  <c r="S5" s="1"/>
  <c r="T5" a="1"/>
  <c r="T5" s="1"/>
  <c r="Q6" a="1"/>
  <c r="Q6" s="1"/>
  <c r="R6" a="1"/>
  <c r="R6" s="1"/>
  <c r="S6" a="1"/>
  <c r="S6" s="1"/>
  <c r="T6" a="1"/>
  <c r="T6" s="1"/>
  <c r="Q7" a="1"/>
  <c r="Q7" s="1"/>
  <c r="R7" a="1"/>
  <c r="R7" s="1"/>
  <c r="S7" a="1"/>
  <c r="S7" s="1"/>
  <c r="T7" a="1"/>
  <c r="T7" s="1"/>
  <c r="Q8" a="1"/>
  <c r="Q8" s="1"/>
  <c r="R8" a="1"/>
  <c r="R8" s="1"/>
  <c r="S8" a="1"/>
  <c r="S8" s="1"/>
  <c r="T8" a="1"/>
  <c r="T8" s="1"/>
  <c r="Q9" a="1"/>
  <c r="Q9" s="1"/>
  <c r="R9" a="1"/>
  <c r="R9" s="1"/>
  <c r="S9" a="1"/>
  <c r="S9" s="1"/>
  <c r="T9" a="1"/>
  <c r="T9" s="1"/>
  <c r="Q10" a="1"/>
  <c r="Q10" s="1"/>
  <c r="R10" a="1"/>
  <c r="R10" s="1"/>
  <c r="S10" a="1"/>
  <c r="S10" s="1"/>
  <c r="T10" a="1"/>
  <c r="T10" s="1"/>
  <c r="Q11" a="1"/>
  <c r="Q11" s="1"/>
  <c r="R11" a="1"/>
  <c r="R11" s="1"/>
  <c r="S11" a="1"/>
  <c r="S11" s="1"/>
  <c r="T11" a="1"/>
  <c r="T11" s="1"/>
  <c r="Q12" a="1"/>
  <c r="Q12" s="1"/>
  <c r="R12" a="1"/>
  <c r="R12" s="1"/>
  <c r="S12" a="1"/>
  <c r="S12" s="1"/>
  <c r="T12" a="1"/>
  <c r="T12" s="1"/>
  <c r="Q13" a="1"/>
  <c r="Q13" s="1"/>
  <c r="R13" a="1"/>
  <c r="R13" s="1"/>
  <c r="S13" a="1"/>
  <c r="S13" s="1"/>
  <c r="T13" a="1"/>
  <c r="T13" s="1"/>
  <c r="Q14" a="1"/>
  <c r="Q14" s="1"/>
  <c r="R14" a="1"/>
  <c r="R14" s="1"/>
  <c r="S14" a="1"/>
  <c r="S14" s="1"/>
  <c r="T14" a="1"/>
  <c r="T14" s="1"/>
  <c r="Q15" a="1"/>
  <c r="Q15" s="1"/>
  <c r="R15" a="1"/>
  <c r="R15" s="1"/>
  <c r="S15" a="1"/>
  <c r="S15" s="1"/>
  <c r="T15" a="1"/>
  <c r="T15" s="1"/>
  <c r="Q16" a="1"/>
  <c r="Q16" s="1"/>
  <c r="R16" a="1"/>
  <c r="R16" s="1"/>
  <c r="S16" a="1"/>
  <c r="S16" s="1"/>
  <c r="T16" a="1"/>
  <c r="T16" s="1"/>
  <c r="Q17" a="1"/>
  <c r="Q17" s="1"/>
  <c r="R17" a="1"/>
  <c r="R17" s="1"/>
  <c r="S17" a="1"/>
  <c r="S17" s="1"/>
  <c r="T17" a="1"/>
  <c r="T17" s="1"/>
  <c r="Q18" a="1"/>
  <c r="Q18" s="1"/>
  <c r="R18" a="1"/>
  <c r="R18" s="1"/>
  <c r="S18" a="1"/>
  <c r="S18" s="1"/>
  <c r="T18" a="1"/>
  <c r="T18" s="1"/>
  <c r="Q19" a="1"/>
  <c r="Q19" s="1"/>
  <c r="R19" a="1"/>
  <c r="R19" s="1"/>
  <c r="S19" a="1"/>
  <c r="S19" s="1"/>
  <c r="T19" a="1"/>
  <c r="T19" s="1"/>
  <c r="Q20" a="1"/>
  <c r="Q20" s="1"/>
  <c r="R20" a="1"/>
  <c r="R20" s="1"/>
  <c r="S20" a="1"/>
  <c r="S20" s="1"/>
  <c r="T20" a="1"/>
  <c r="T20" s="1"/>
  <c r="Q21" a="1"/>
  <c r="Q21" s="1"/>
  <c r="R21" a="1"/>
  <c r="R21" s="1"/>
  <c r="S21" a="1"/>
  <c r="S21" s="1"/>
  <c r="T21" a="1"/>
  <c r="T21" s="1"/>
  <c r="Q22" a="1"/>
  <c r="Q22" s="1"/>
  <c r="R22" a="1"/>
  <c r="R22" s="1"/>
  <c r="S22" a="1"/>
  <c r="S22" s="1"/>
  <c r="T22" a="1"/>
  <c r="T22" s="1"/>
  <c r="Q23" a="1"/>
  <c r="Q23" s="1"/>
  <c r="R23" a="1"/>
  <c r="R23" s="1"/>
  <c r="S23" a="1"/>
  <c r="S23" s="1"/>
  <c r="T23" a="1"/>
  <c r="T23" s="1"/>
  <c r="T4" a="1"/>
  <c r="T4" s="1"/>
  <c r="S4" a="1"/>
  <c r="S4" s="1"/>
  <c r="R4" a="1"/>
  <c r="R4" s="1"/>
  <c r="Q4" a="1"/>
  <c r="Q4" s="1"/>
  <c r="L23" a="1"/>
  <c r="L23" s="1"/>
  <c r="K23" a="1"/>
  <c r="K23" s="1"/>
  <c r="J23" a="1"/>
  <c r="J23" s="1"/>
  <c r="L22" a="1"/>
  <c r="L22" s="1"/>
  <c r="K22" a="1"/>
  <c r="K22" s="1"/>
  <c r="J22" a="1"/>
  <c r="J22" s="1"/>
  <c r="K21" a="1"/>
  <c r="K21" s="1"/>
  <c r="J21" a="1"/>
  <c r="J21" s="1"/>
  <c r="I21" a="1"/>
  <c r="I21" s="1"/>
  <c r="K20" a="1"/>
  <c r="K20" s="1"/>
  <c r="J20" a="1"/>
  <c r="J20" s="1"/>
  <c r="I20" a="1"/>
  <c r="I20" s="1"/>
  <c r="K19" a="1"/>
  <c r="K19" s="1"/>
  <c r="J19" a="1"/>
  <c r="J19" s="1"/>
  <c r="I19" a="1"/>
  <c r="I19" s="1"/>
  <c r="K18" a="1"/>
  <c r="K18" s="1"/>
  <c r="J18" a="1"/>
  <c r="J18" s="1"/>
  <c r="I18" a="1"/>
  <c r="I18" s="1"/>
  <c r="L17" a="1"/>
  <c r="L17" s="1"/>
  <c r="K17" a="1"/>
  <c r="K17" s="1"/>
  <c r="J17" a="1"/>
  <c r="J17" s="1"/>
  <c r="I17" a="1"/>
  <c r="I17" s="1"/>
  <c r="K16" a="1"/>
  <c r="K16" s="1"/>
  <c r="J16" a="1"/>
  <c r="J16" s="1"/>
  <c r="I16" a="1"/>
  <c r="I16" s="1"/>
  <c r="L15" a="1"/>
  <c r="L15" s="1"/>
  <c r="K15" a="1"/>
  <c r="K15" s="1"/>
  <c r="J15" a="1"/>
  <c r="J15" s="1"/>
  <c r="I15" a="1"/>
  <c r="I15" s="1"/>
  <c r="L14" a="1"/>
  <c r="L14" s="1"/>
  <c r="K14" a="1"/>
  <c r="K14" s="1"/>
  <c r="J14" a="1"/>
  <c r="J14" s="1"/>
  <c r="I14" a="1"/>
  <c r="I14" s="1"/>
  <c r="L13" a="1"/>
  <c r="L13" s="1"/>
  <c r="K13" a="1"/>
  <c r="K13" s="1"/>
  <c r="J13" a="1"/>
  <c r="J13" s="1"/>
  <c r="I13" a="1"/>
  <c r="I13" s="1"/>
  <c r="L12" a="1"/>
  <c r="L12" s="1"/>
  <c r="K12" a="1"/>
  <c r="K12" s="1"/>
  <c r="J12" a="1"/>
  <c r="J12" s="1"/>
  <c r="I12" a="1"/>
  <c r="I12" s="1"/>
  <c r="J11" a="1"/>
  <c r="J11" s="1"/>
  <c r="I11" a="1"/>
  <c r="I11" s="1"/>
  <c r="K10" a="1"/>
  <c r="K10" s="1"/>
  <c r="J10" a="1"/>
  <c r="J10" s="1"/>
  <c r="I10" a="1"/>
  <c r="I10" s="1"/>
  <c r="K9" a="1"/>
  <c r="K9" s="1"/>
  <c r="J9" a="1"/>
  <c r="J9" s="1"/>
  <c r="I9" a="1"/>
  <c r="I9" s="1"/>
  <c r="K8" a="1"/>
  <c r="K8" s="1"/>
  <c r="J8" a="1"/>
  <c r="J8" s="1"/>
  <c r="I8" a="1"/>
  <c r="I8" s="1"/>
  <c r="K7" a="1"/>
  <c r="K7" s="1"/>
  <c r="J7" a="1"/>
  <c r="J7" s="1"/>
  <c r="I7" a="1"/>
  <c r="I7" s="1"/>
  <c r="L6" a="1"/>
  <c r="L6" s="1"/>
  <c r="K6" a="1"/>
  <c r="K6" s="1"/>
  <c r="J6" a="1"/>
  <c r="J6" s="1"/>
  <c r="J5" a="1"/>
  <c r="J5" s="1"/>
  <c r="I5" a="1"/>
  <c r="I5" s="1"/>
  <c r="K4" a="1"/>
  <c r="K4" s="1"/>
  <c r="J4" a="1"/>
  <c r="J4" s="1"/>
  <c r="I4" a="1"/>
  <c r="I4" s="1"/>
  <c r="L31" a="1"/>
  <c r="L31" s="1"/>
  <c r="K31" a="1"/>
  <c r="K31" s="1"/>
  <c r="J31" a="1"/>
  <c r="J31" s="1"/>
  <c r="I31" a="1"/>
  <c r="I31" s="1"/>
  <c r="L30" a="1"/>
  <c r="L30" s="1"/>
  <c r="K30" a="1"/>
  <c r="K30" s="1"/>
  <c r="J30" a="1"/>
  <c r="J30" s="1"/>
  <c r="I30" a="1"/>
  <c r="I30" s="1"/>
  <c r="L29" a="1"/>
  <c r="L29" s="1"/>
  <c r="K29" a="1"/>
  <c r="K29" s="1"/>
  <c r="J29" a="1"/>
  <c r="J29" s="1"/>
  <c r="I29" a="1"/>
  <c r="I29" s="1"/>
  <c r="F24" i="60" l="1" a="1"/>
  <c r="O26"/>
  <c r="M26"/>
  <c r="K26"/>
  <c r="I26"/>
  <c r="G26"/>
  <c r="N26"/>
  <c r="L26"/>
  <c r="J26"/>
  <c r="H26"/>
  <c r="F26"/>
  <c r="J7"/>
  <c r="L7"/>
  <c r="N7"/>
  <c r="L11"/>
  <c r="N11"/>
  <c r="O14"/>
  <c r="F25" s="1" a="1"/>
  <c r="G27"/>
  <c r="I27"/>
  <c r="K27"/>
  <c r="M27"/>
  <c r="O27"/>
  <c r="H7"/>
  <c r="K10"/>
  <c r="M10"/>
  <c r="O10"/>
  <c r="G7"/>
  <c r="I7"/>
  <c r="K7"/>
  <c r="M7"/>
  <c r="I8"/>
  <c r="F19" s="1" a="1"/>
  <c r="K8"/>
  <c r="M8"/>
  <c r="J9"/>
  <c r="F20" s="1" a="1"/>
  <c r="L9"/>
  <c r="J10"/>
  <c r="F21" s="1" a="1"/>
  <c r="L10"/>
  <c r="K11"/>
  <c r="F22" s="1" a="1"/>
  <c r="M11"/>
  <c r="M12"/>
  <c r="F23" s="1" a="1"/>
  <c r="F27"/>
  <c r="H27"/>
  <c r="J27"/>
  <c r="L27"/>
  <c r="Q24" i="59"/>
  <c r="S24"/>
  <c r="R24"/>
  <c r="T24"/>
  <c r="I25"/>
  <c r="I24"/>
  <c r="K25"/>
  <c r="K24"/>
  <c r="J25"/>
  <c r="J24"/>
  <c r="L25"/>
  <c r="L24"/>
  <c r="M24" s="1"/>
  <c r="U24"/>
  <c r="N23" i="60" l="1"/>
  <c r="L23"/>
  <c r="J23"/>
  <c r="H23"/>
  <c r="F23"/>
  <c r="O23"/>
  <c r="M23"/>
  <c r="K23"/>
  <c r="I23"/>
  <c r="G23"/>
  <c r="O19"/>
  <c r="M19"/>
  <c r="K19"/>
  <c r="I19"/>
  <c r="G19"/>
  <c r="N19"/>
  <c r="L19"/>
  <c r="J19"/>
  <c r="H19"/>
  <c r="F19"/>
  <c r="N25"/>
  <c r="L25"/>
  <c r="J25"/>
  <c r="H25"/>
  <c r="F25"/>
  <c r="O25"/>
  <c r="M25"/>
  <c r="K25"/>
  <c r="I25"/>
  <c r="G25"/>
  <c r="N20"/>
  <c r="L20"/>
  <c r="J20"/>
  <c r="H20"/>
  <c r="F20"/>
  <c r="O20"/>
  <c r="M20"/>
  <c r="K20"/>
  <c r="I20"/>
  <c r="G20"/>
  <c r="N22"/>
  <c r="L22"/>
  <c r="J22"/>
  <c r="H22"/>
  <c r="F22"/>
  <c r="O22"/>
  <c r="M22"/>
  <c r="K22"/>
  <c r="I22"/>
  <c r="G22"/>
  <c r="F18" a="1"/>
  <c r="O21"/>
  <c r="M21"/>
  <c r="K21"/>
  <c r="I21"/>
  <c r="G21"/>
  <c r="N21"/>
  <c r="L21"/>
  <c r="J21"/>
  <c r="H21"/>
  <c r="F21"/>
  <c r="N24"/>
  <c r="L24"/>
  <c r="J24"/>
  <c r="H24"/>
  <c r="F24"/>
  <c r="O24"/>
  <c r="M24"/>
  <c r="K24"/>
  <c r="I24"/>
  <c r="G24"/>
  <c r="H18" i="47"/>
  <c r="I9" i="45"/>
  <c r="J15" i="46"/>
  <c r="J14"/>
  <c r="H14" i="56"/>
  <c r="H13"/>
  <c r="H12"/>
  <c r="H11"/>
  <c r="H10"/>
  <c r="H9"/>
  <c r="H8"/>
  <c r="H7"/>
  <c r="H6"/>
  <c r="H5"/>
  <c r="H4"/>
  <c r="H3"/>
  <c r="B503" i="58"/>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F3"/>
  <c r="D2"/>
  <c r="C11" i="57"/>
  <c r="D11"/>
  <c r="B7"/>
  <c r="C7"/>
  <c r="D7"/>
  <c r="C10"/>
  <c r="D10"/>
  <c r="B6"/>
  <c r="C6"/>
  <c r="C2" i="56"/>
  <c r="C33"/>
  <c r="I14"/>
  <c r="C3"/>
  <c r="C4"/>
  <c r="C5"/>
  <c r="C6"/>
  <c r="C7"/>
  <c r="C8"/>
  <c r="C9"/>
  <c r="C10"/>
  <c r="C11"/>
  <c r="C12"/>
  <c r="C13"/>
  <c r="C14"/>
  <c r="C15"/>
  <c r="C16"/>
  <c r="C17"/>
  <c r="C18"/>
  <c r="C19"/>
  <c r="C20"/>
  <c r="C21"/>
  <c r="C22"/>
  <c r="C23"/>
  <c r="C24"/>
  <c r="C25"/>
  <c r="C26"/>
  <c r="C27"/>
  <c r="C28"/>
  <c r="C29"/>
  <c r="C30"/>
  <c r="C31"/>
  <c r="C32"/>
  <c r="I13"/>
  <c r="B32"/>
  <c r="B33"/>
  <c r="C4" i="55"/>
  <c r="C8"/>
  <c r="D8"/>
  <c r="C9"/>
  <c r="D9"/>
  <c r="C10"/>
  <c r="D10"/>
  <c r="C11"/>
  <c r="D11"/>
  <c r="C12"/>
  <c r="D12"/>
  <c r="C13"/>
  <c r="D13"/>
  <c r="C15"/>
  <c r="D15"/>
  <c r="D19"/>
  <c r="E19"/>
  <c r="F19"/>
  <c r="D20"/>
  <c r="E20"/>
  <c r="F20"/>
  <c r="B23"/>
  <c r="E23"/>
  <c r="C23"/>
  <c r="D23"/>
  <c r="B24"/>
  <c r="E24"/>
  <c r="C24"/>
  <c r="D24"/>
  <c r="J27"/>
  <c r="J30"/>
  <c r="C28"/>
  <c r="C29"/>
  <c r="E30"/>
  <c r="D29"/>
  <c r="E29"/>
  <c r="F29"/>
  <c r="H29"/>
  <c r="I29"/>
  <c r="J29"/>
  <c r="C30"/>
  <c r="D30"/>
  <c r="F30"/>
  <c r="F41"/>
  <c r="H30"/>
  <c r="I30"/>
  <c r="C31"/>
  <c r="E32"/>
  <c r="D31"/>
  <c r="E31"/>
  <c r="F31"/>
  <c r="H31"/>
  <c r="I31"/>
  <c r="J31"/>
  <c r="C32"/>
  <c r="D32"/>
  <c r="F32"/>
  <c r="H32"/>
  <c r="I32"/>
  <c r="C33"/>
  <c r="E34"/>
  <c r="D33"/>
  <c r="E33"/>
  <c r="F33"/>
  <c r="H33"/>
  <c r="I33"/>
  <c r="J33"/>
  <c r="C34"/>
  <c r="D34"/>
  <c r="F34"/>
  <c r="H34"/>
  <c r="I34"/>
  <c r="C35"/>
  <c r="E36"/>
  <c r="D35"/>
  <c r="E35"/>
  <c r="F35"/>
  <c r="H35"/>
  <c r="I35"/>
  <c r="J35"/>
  <c r="C36"/>
  <c r="D36"/>
  <c r="F36"/>
  <c r="H36"/>
  <c r="I36"/>
  <c r="C37"/>
  <c r="E38"/>
  <c r="D37"/>
  <c r="E37"/>
  <c r="F37"/>
  <c r="H37"/>
  <c r="I37"/>
  <c r="J37"/>
  <c r="C38"/>
  <c r="D38"/>
  <c r="F38"/>
  <c r="H38"/>
  <c r="I38"/>
  <c r="C39"/>
  <c r="E40"/>
  <c r="D39"/>
  <c r="E39"/>
  <c r="F39"/>
  <c r="H39"/>
  <c r="I39"/>
  <c r="J39"/>
  <c r="C40"/>
  <c r="D40"/>
  <c r="F40"/>
  <c r="H40"/>
  <c r="I40"/>
  <c r="E43"/>
  <c r="F43"/>
  <c r="L6" i="54"/>
  <c r="H7"/>
  <c r="L8"/>
  <c r="D9"/>
  <c r="L10"/>
  <c r="H11"/>
  <c r="L12"/>
  <c r="L14"/>
  <c r="H15"/>
  <c r="L16"/>
  <c r="D17"/>
  <c r="L18"/>
  <c r="H19"/>
  <c r="L20"/>
  <c r="C10" i="53"/>
  <c r="A14"/>
  <c r="A15"/>
  <c r="A1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B14"/>
  <c r="B15"/>
  <c r="B1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G4"/>
  <c r="G5"/>
  <c r="G6"/>
  <c r="G7"/>
  <c r="G8"/>
  <c r="G3"/>
  <c r="F4"/>
  <c r="F5"/>
  <c r="F6"/>
  <c r="F7"/>
  <c r="F8"/>
  <c r="F3"/>
  <c r="O11" i="5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O74"/>
  <c r="O75"/>
  <c r="O76"/>
  <c r="O77"/>
  <c r="O78"/>
  <c r="O79"/>
  <c r="O80"/>
  <c r="O81"/>
  <c r="O82"/>
  <c r="O83"/>
  <c r="O84"/>
  <c r="O85"/>
  <c r="O86"/>
  <c r="O87"/>
  <c r="O88"/>
  <c r="O89"/>
  <c r="O90"/>
  <c r="O91"/>
  <c r="O92"/>
  <c r="O93"/>
  <c r="O94"/>
  <c r="O95"/>
  <c r="O96"/>
  <c r="O97"/>
  <c r="O98"/>
  <c r="O99"/>
  <c r="O100"/>
  <c r="O101"/>
  <c r="O102"/>
  <c r="O103"/>
  <c r="O104"/>
  <c r="O105"/>
  <c r="O106"/>
  <c r="O107"/>
  <c r="O108"/>
  <c r="O109"/>
  <c r="O110"/>
  <c r="O111"/>
  <c r="O112"/>
  <c r="O113"/>
  <c r="O114"/>
  <c r="O115"/>
  <c r="O116"/>
  <c r="O117"/>
  <c r="O118"/>
  <c r="O119"/>
  <c r="O120"/>
  <c r="O121"/>
  <c r="O122"/>
  <c r="O123"/>
  <c r="O124"/>
  <c r="O125"/>
  <c r="O126"/>
  <c r="O127"/>
  <c r="O128"/>
  <c r="O129"/>
  <c r="O130"/>
  <c r="O131"/>
  <c r="O132"/>
  <c r="O133"/>
  <c r="O134"/>
  <c r="O135"/>
  <c r="O136"/>
  <c r="O137"/>
  <c r="O138"/>
  <c r="O139"/>
  <c r="O140"/>
  <c r="O141"/>
  <c r="O142"/>
  <c r="O143"/>
  <c r="O144"/>
  <c r="O145"/>
  <c r="O146"/>
  <c r="O147"/>
  <c r="O148"/>
  <c r="O149"/>
  <c r="O150"/>
  <c r="O151"/>
  <c r="O152"/>
  <c r="O153"/>
  <c r="O154"/>
  <c r="O155"/>
  <c r="O156"/>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7"/>
  <c r="O198"/>
  <c r="O199"/>
  <c r="O200"/>
  <c r="O201"/>
  <c r="O202"/>
  <c r="O203"/>
  <c r="O204"/>
  <c r="O205"/>
  <c r="O206"/>
  <c r="O207"/>
  <c r="O208"/>
  <c r="O209"/>
  <c r="O210"/>
  <c r="N11"/>
  <c r="N12"/>
  <c r="N13"/>
  <c r="N14"/>
  <c r="N15"/>
  <c r="N16"/>
  <c r="N17"/>
  <c r="N18"/>
  <c r="N19"/>
  <c r="N20"/>
  <c r="N21"/>
  <c r="N22"/>
  <c r="N23"/>
  <c r="N24"/>
  <c r="N25"/>
  <c r="N26"/>
  <c r="N27"/>
  <c r="N28"/>
  <c r="N29"/>
  <c r="N30"/>
  <c r="N31"/>
  <c r="N32"/>
  <c r="N33"/>
  <c r="N34"/>
  <c r="N35"/>
  <c r="N36"/>
  <c r="N37"/>
  <c r="N38"/>
  <c r="N39"/>
  <c r="N40"/>
  <c r="N41"/>
  <c r="N42"/>
  <c r="N43"/>
  <c r="N44"/>
  <c r="N45"/>
  <c r="N46"/>
  <c r="N47"/>
  <c r="N48"/>
  <c r="N49"/>
  <c r="N50"/>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C14" i="53"/>
  <c r="C15"/>
  <c r="C12"/>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B118" a="1"/>
  <c r="B118"/>
  <c r="C118"/>
  <c r="D118"/>
  <c r="B119"/>
  <c r="C119"/>
  <c r="D119"/>
  <c r="D120"/>
  <c r="B121"/>
  <c r="C121"/>
  <c r="D121"/>
  <c r="D122"/>
  <c r="B123"/>
  <c r="C123"/>
  <c r="D123"/>
  <c r="D124"/>
  <c r="B125"/>
  <c r="C125"/>
  <c r="D125"/>
  <c r="D126"/>
  <c r="B127"/>
  <c r="C127"/>
  <c r="D127"/>
  <c r="D128"/>
  <c r="B129"/>
  <c r="C129"/>
  <c r="D129"/>
  <c r="D130"/>
  <c r="B131"/>
  <c r="C131"/>
  <c r="D131"/>
  <c r="D132"/>
  <c r="B133"/>
  <c r="C133"/>
  <c r="D133"/>
  <c r="D134"/>
  <c r="B135"/>
  <c r="C135"/>
  <c r="D135"/>
  <c r="D136"/>
  <c r="B137"/>
  <c r="C137"/>
  <c r="D137"/>
  <c r="D138"/>
  <c r="B139"/>
  <c r="C139"/>
  <c r="D139"/>
  <c r="D140"/>
  <c r="B141"/>
  <c r="C141"/>
  <c r="D141"/>
  <c r="D142"/>
  <c r="B143"/>
  <c r="C143"/>
  <c r="H50" i="42"/>
  <c r="H42"/>
  <c r="H32"/>
  <c r="G46"/>
  <c r="G49"/>
  <c r="I50"/>
  <c r="J50"/>
  <c r="H48"/>
  <c r="B20"/>
  <c r="J46"/>
  <c r="G37"/>
  <c r="G41"/>
  <c r="I42"/>
  <c r="J42"/>
  <c r="H40"/>
  <c r="B19"/>
  <c r="J37"/>
  <c r="G27"/>
  <c r="G31"/>
  <c r="I32"/>
  <c r="J32"/>
  <c r="H30"/>
  <c r="B18"/>
  <c r="J27"/>
  <c r="A38" i="48" a="1"/>
  <c r="C42"/>
  <c r="B42"/>
  <c r="A42"/>
  <c r="C41"/>
  <c r="B41"/>
  <c r="B45"/>
  <c r="A41"/>
  <c r="C40"/>
  <c r="B40"/>
  <c r="A40"/>
  <c r="C39"/>
  <c r="B39"/>
  <c r="B43"/>
  <c r="B44"/>
  <c r="A39"/>
  <c r="C38"/>
  <c r="C45"/>
  <c r="B38"/>
  <c r="B46"/>
  <c r="A38"/>
  <c r="A45"/>
  <c r="J28" a="1"/>
  <c r="I28" a="1"/>
  <c r="I28"/>
  <c r="I34" a="1"/>
  <c r="I34"/>
  <c r="H28" a="1"/>
  <c r="J27" a="1"/>
  <c r="J27"/>
  <c r="J33" a="1"/>
  <c r="J33"/>
  <c r="I27" a="1"/>
  <c r="H27" a="1"/>
  <c r="H27"/>
  <c r="J26" a="1"/>
  <c r="I26" a="1"/>
  <c r="I26"/>
  <c r="H26" a="1"/>
  <c r="J28"/>
  <c r="J34" a="1"/>
  <c r="J34"/>
  <c r="H28"/>
  <c r="H34" a="1"/>
  <c r="H34"/>
  <c r="I27"/>
  <c r="I33" a="1"/>
  <c r="I33"/>
  <c r="J26"/>
  <c r="H26"/>
  <c r="H29"/>
  <c r="H22"/>
  <c r="I23"/>
  <c r="H23"/>
  <c r="B6" i="30"/>
  <c r="C6"/>
  <c r="B7"/>
  <c r="C7"/>
  <c r="C11"/>
  <c r="C10"/>
  <c r="D3" i="51"/>
  <c r="F3"/>
  <c r="E3"/>
  <c r="D4"/>
  <c r="F4"/>
  <c r="E4"/>
  <c r="D5"/>
  <c r="E5"/>
  <c r="D7"/>
  <c r="E7"/>
  <c r="K14" i="50"/>
  <c r="M4"/>
  <c r="O4"/>
  <c r="L14"/>
  <c r="N4"/>
  <c r="P4"/>
  <c r="Q4"/>
  <c r="R4"/>
  <c r="M5"/>
  <c r="N5"/>
  <c r="O5"/>
  <c r="P5"/>
  <c r="Q5"/>
  <c r="R5"/>
  <c r="M6"/>
  <c r="N6"/>
  <c r="O6"/>
  <c r="P6"/>
  <c r="Q6"/>
  <c r="R6"/>
  <c r="M7"/>
  <c r="N7"/>
  <c r="O7"/>
  <c r="P7"/>
  <c r="Q7"/>
  <c r="R7"/>
  <c r="M8"/>
  <c r="N8"/>
  <c r="O8"/>
  <c r="P8"/>
  <c r="Q8"/>
  <c r="R8"/>
  <c r="M9"/>
  <c r="N9"/>
  <c r="O9"/>
  <c r="P9"/>
  <c r="Q9"/>
  <c r="R9"/>
  <c r="M10"/>
  <c r="N10"/>
  <c r="O10"/>
  <c r="P10"/>
  <c r="Q10"/>
  <c r="R10"/>
  <c r="M11"/>
  <c r="N11"/>
  <c r="O11"/>
  <c r="P11"/>
  <c r="Q11"/>
  <c r="R11"/>
  <c r="M12"/>
  <c r="N12"/>
  <c r="O12"/>
  <c r="P12"/>
  <c r="Q12"/>
  <c r="R12"/>
  <c r="M13"/>
  <c r="N13"/>
  <c r="O13"/>
  <c r="P13"/>
  <c r="Q13"/>
  <c r="R13"/>
  <c r="K15"/>
  <c r="L15"/>
  <c r="R16"/>
  <c r="F19"/>
  <c r="J40" i="26"/>
  <c r="J39"/>
  <c r="J38"/>
  <c r="C4" i="47"/>
  <c r="D4"/>
  <c r="C5"/>
  <c r="D5"/>
  <c r="C6"/>
  <c r="D6"/>
  <c r="C7"/>
  <c r="D7"/>
  <c r="C8"/>
  <c r="D8"/>
  <c r="C9"/>
  <c r="D9"/>
  <c r="C10"/>
  <c r="D10"/>
  <c r="C11"/>
  <c r="D11"/>
  <c r="C12"/>
  <c r="D12"/>
  <c r="C13"/>
  <c r="D13"/>
  <c r="C14"/>
  <c r="D14"/>
  <c r="C15"/>
  <c r="D15"/>
  <c r="C16"/>
  <c r="D16"/>
  <c r="G16"/>
  <c r="H16"/>
  <c r="C17"/>
  <c r="D17"/>
  <c r="G17"/>
  <c r="H17"/>
  <c r="C18"/>
  <c r="D18"/>
  <c r="C19"/>
  <c r="D19"/>
  <c r="C20"/>
  <c r="D20"/>
  <c r="C21"/>
  <c r="D21"/>
  <c r="C22"/>
  <c r="D22"/>
  <c r="C23"/>
  <c r="D23"/>
  <c r="C24"/>
  <c r="D24"/>
  <c r="C25"/>
  <c r="D25"/>
  <c r="C26"/>
  <c r="D26"/>
  <c r="C27"/>
  <c r="D27"/>
  <c r="C28"/>
  <c r="D28"/>
  <c r="C29"/>
  <c r="D29"/>
  <c r="C30"/>
  <c r="D30"/>
  <c r="C31"/>
  <c r="D31"/>
  <c r="C32"/>
  <c r="D32"/>
  <c r="C33"/>
  <c r="D33"/>
  <c r="D4" i="48"/>
  <c r="E4"/>
  <c r="D5"/>
  <c r="E5"/>
  <c r="D6"/>
  <c r="E6"/>
  <c r="D7"/>
  <c r="E7"/>
  <c r="D8"/>
  <c r="E8"/>
  <c r="D9"/>
  <c r="E9"/>
  <c r="D10"/>
  <c r="E10"/>
  <c r="D11"/>
  <c r="E11"/>
  <c r="D12"/>
  <c r="E12"/>
  <c r="D13"/>
  <c r="E13"/>
  <c r="D14"/>
  <c r="E14"/>
  <c r="D15"/>
  <c r="E15"/>
  <c r="D16"/>
  <c r="E16"/>
  <c r="D17"/>
  <c r="E17"/>
  <c r="H17"/>
  <c r="I17"/>
  <c r="D18"/>
  <c r="E18"/>
  <c r="H18"/>
  <c r="I18"/>
  <c r="D19"/>
  <c r="E19"/>
  <c r="H19"/>
  <c r="I19"/>
  <c r="D20"/>
  <c r="E20"/>
  <c r="D21"/>
  <c r="E21"/>
  <c r="D22"/>
  <c r="E22"/>
  <c r="D23"/>
  <c r="E23"/>
  <c r="D24"/>
  <c r="E24"/>
  <c r="D25"/>
  <c r="E25"/>
  <c r="D26"/>
  <c r="E26"/>
  <c r="D27"/>
  <c r="E27"/>
  <c r="D28"/>
  <c r="E28"/>
  <c r="D29"/>
  <c r="E29"/>
  <c r="D30"/>
  <c r="E30"/>
  <c r="D31"/>
  <c r="E31"/>
  <c r="D32"/>
  <c r="E32"/>
  <c r="D33"/>
  <c r="E33"/>
  <c r="C4" i="49"/>
  <c r="F4"/>
  <c r="G4"/>
  <c r="C5"/>
  <c r="F5"/>
  <c r="G5"/>
  <c r="Q5"/>
  <c r="R5"/>
  <c r="C6"/>
  <c r="F6"/>
  <c r="G6"/>
  <c r="Q6"/>
  <c r="R6"/>
  <c r="C7"/>
  <c r="F7"/>
  <c r="G7"/>
  <c r="Q7"/>
  <c r="R7"/>
  <c r="C8"/>
  <c r="F8"/>
  <c r="G8"/>
  <c r="Q8"/>
  <c r="R8"/>
  <c r="C9"/>
  <c r="F9"/>
  <c r="G9"/>
  <c r="Q9"/>
  <c r="R9"/>
  <c r="C10"/>
  <c r="F10"/>
  <c r="G10"/>
  <c r="Q10"/>
  <c r="R10"/>
  <c r="C11"/>
  <c r="F11"/>
  <c r="G11"/>
  <c r="Q11"/>
  <c r="R11"/>
  <c r="C12"/>
  <c r="F12"/>
  <c r="G12"/>
  <c r="Q12"/>
  <c r="R12"/>
  <c r="C13"/>
  <c r="F13"/>
  <c r="G13"/>
  <c r="Q13"/>
  <c r="R13"/>
  <c r="C14"/>
  <c r="F14"/>
  <c r="G14"/>
  <c r="Q14"/>
  <c r="R14"/>
  <c r="C15"/>
  <c r="F15"/>
  <c r="G15"/>
  <c r="Q15"/>
  <c r="R15"/>
  <c r="C16"/>
  <c r="F16"/>
  <c r="G16"/>
  <c r="Q16"/>
  <c r="R16"/>
  <c r="C17"/>
  <c r="F17"/>
  <c r="G17"/>
  <c r="Q17"/>
  <c r="R17"/>
  <c r="C18"/>
  <c r="F18"/>
  <c r="G18"/>
  <c r="J18"/>
  <c r="K18"/>
  <c r="Q18"/>
  <c r="R18"/>
  <c r="C19"/>
  <c r="F19"/>
  <c r="G19"/>
  <c r="J19"/>
  <c r="K19"/>
  <c r="Q19"/>
  <c r="R19"/>
  <c r="C20"/>
  <c r="F20"/>
  <c r="G20"/>
  <c r="J20"/>
  <c r="K20"/>
  <c r="Q20"/>
  <c r="R20"/>
  <c r="C21"/>
  <c r="F21"/>
  <c r="G21"/>
  <c r="Q21"/>
  <c r="R21"/>
  <c r="C22"/>
  <c r="F22"/>
  <c r="G22"/>
  <c r="Q22"/>
  <c r="R22"/>
  <c r="C23"/>
  <c r="F23"/>
  <c r="G23"/>
  <c r="Q23"/>
  <c r="R23"/>
  <c r="C24"/>
  <c r="F24"/>
  <c r="G24"/>
  <c r="Q24"/>
  <c r="R24"/>
  <c r="C25"/>
  <c r="F25"/>
  <c r="G25"/>
  <c r="Q25"/>
  <c r="R25"/>
  <c r="C26"/>
  <c r="F26"/>
  <c r="G26"/>
  <c r="Q26"/>
  <c r="R26"/>
  <c r="C27"/>
  <c r="F27"/>
  <c r="G27"/>
  <c r="Q27"/>
  <c r="R27"/>
  <c r="C28"/>
  <c r="F28"/>
  <c r="G28"/>
  <c r="Q28"/>
  <c r="R28"/>
  <c r="C29"/>
  <c r="F29"/>
  <c r="G29"/>
  <c r="Q29"/>
  <c r="R29"/>
  <c r="C30"/>
  <c r="F30"/>
  <c r="G30"/>
  <c r="Q30"/>
  <c r="R30"/>
  <c r="C31"/>
  <c r="F31"/>
  <c r="G31"/>
  <c r="Q31"/>
  <c r="R31"/>
  <c r="C32"/>
  <c r="F32"/>
  <c r="G32"/>
  <c r="Q32"/>
  <c r="R32"/>
  <c r="C33"/>
  <c r="F33"/>
  <c r="G33"/>
  <c r="Q33"/>
  <c r="R33"/>
  <c r="Q34"/>
  <c r="R34"/>
  <c r="E6" i="46"/>
  <c r="C10"/>
  <c r="D10"/>
  <c r="E10"/>
  <c r="D14"/>
  <c r="E14"/>
  <c r="F14"/>
  <c r="G14"/>
  <c r="I14"/>
  <c r="K14"/>
  <c r="H14"/>
  <c r="D15"/>
  <c r="E15"/>
  <c r="F15"/>
  <c r="G15"/>
  <c r="K15"/>
  <c r="H15"/>
  <c r="I15"/>
  <c r="B24"/>
  <c r="C24"/>
  <c r="B26"/>
  <c r="B27"/>
  <c r="N30"/>
  <c r="O30"/>
  <c r="N31"/>
  <c r="O31"/>
  <c r="N32"/>
  <c r="O32"/>
  <c r="N33"/>
  <c r="O33"/>
  <c r="N34"/>
  <c r="O34"/>
  <c r="N35"/>
  <c r="O35"/>
  <c r="N36"/>
  <c r="O36"/>
  <c r="N37"/>
  <c r="O37"/>
  <c r="N38"/>
  <c r="O38"/>
  <c r="N39"/>
  <c r="O39"/>
  <c r="N40"/>
  <c r="O40"/>
  <c r="N41"/>
  <c r="O41"/>
  <c r="N42"/>
  <c r="O42"/>
  <c r="N43"/>
  <c r="O43"/>
  <c r="N44"/>
  <c r="O44"/>
  <c r="N45"/>
  <c r="O45"/>
  <c r="N46"/>
  <c r="O46"/>
  <c r="N47"/>
  <c r="O47"/>
  <c r="N48"/>
  <c r="O48"/>
  <c r="N49"/>
  <c r="O49"/>
  <c r="N50"/>
  <c r="O50"/>
  <c r="N51"/>
  <c r="O51"/>
  <c r="N52"/>
  <c r="O52"/>
  <c r="N53"/>
  <c r="O53"/>
  <c r="N54"/>
  <c r="O54"/>
  <c r="N55"/>
  <c r="O55"/>
  <c r="N56"/>
  <c r="O56"/>
  <c r="N57"/>
  <c r="O57"/>
  <c r="N58"/>
  <c r="O58"/>
  <c r="N59"/>
  <c r="O59"/>
  <c r="N60"/>
  <c r="O60"/>
  <c r="N61"/>
  <c r="O61"/>
  <c r="N62"/>
  <c r="O62"/>
  <c r="N63"/>
  <c r="O63"/>
  <c r="N64"/>
  <c r="O64"/>
  <c r="N65"/>
  <c r="O65"/>
  <c r="N66"/>
  <c r="O66"/>
  <c r="N67"/>
  <c r="O67"/>
  <c r="N68"/>
  <c r="O68"/>
  <c r="N69"/>
  <c r="O69"/>
  <c r="N70"/>
  <c r="O70"/>
  <c r="N71"/>
  <c r="O71"/>
  <c r="N72"/>
  <c r="O72"/>
  <c r="N73"/>
  <c r="O73"/>
  <c r="N74"/>
  <c r="O74"/>
  <c r="N75"/>
  <c r="O75"/>
  <c r="N76"/>
  <c r="O76"/>
  <c r="N77"/>
  <c r="O77"/>
  <c r="N78"/>
  <c r="O78"/>
  <c r="N79"/>
  <c r="O79"/>
  <c r="N80"/>
  <c r="O80"/>
  <c r="N81"/>
  <c r="O81"/>
  <c r="N82"/>
  <c r="O82"/>
  <c r="N83"/>
  <c r="O83"/>
  <c r="N84"/>
  <c r="O84"/>
  <c r="N85"/>
  <c r="O85"/>
  <c r="N86"/>
  <c r="O86"/>
  <c r="N87"/>
  <c r="O87"/>
  <c r="N88"/>
  <c r="O88"/>
  <c r="N89"/>
  <c r="O89"/>
  <c r="N90"/>
  <c r="O90"/>
  <c r="N91"/>
  <c r="O91"/>
  <c r="N92"/>
  <c r="O92"/>
  <c r="N93"/>
  <c r="O93"/>
  <c r="N94"/>
  <c r="O94"/>
  <c r="N95"/>
  <c r="O95"/>
  <c r="N96"/>
  <c r="O96"/>
  <c r="N97"/>
  <c r="O97"/>
  <c r="N98"/>
  <c r="O98"/>
  <c r="N99"/>
  <c r="O99"/>
  <c r="N100"/>
  <c r="O100"/>
  <c r="M4" i="45"/>
  <c r="M5"/>
  <c r="K6"/>
  <c r="M6"/>
  <c r="K10"/>
  <c r="K18"/>
  <c r="K7"/>
  <c r="M7"/>
  <c r="K8"/>
  <c r="M8"/>
  <c r="M9"/>
  <c r="M10"/>
  <c r="M11"/>
  <c r="M12"/>
  <c r="M13"/>
  <c r="M14"/>
  <c r="M15"/>
  <c r="M16"/>
  <c r="M17"/>
  <c r="M18"/>
  <c r="M19"/>
  <c r="M20"/>
  <c r="M21"/>
  <c r="M22"/>
  <c r="M23"/>
  <c r="M24"/>
  <c r="M25"/>
  <c r="M26"/>
  <c r="M27"/>
  <c r="M28"/>
  <c r="M29"/>
  <c r="M30"/>
  <c r="M31"/>
  <c r="M32"/>
  <c r="M33"/>
  <c r="O9"/>
  <c r="K9"/>
  <c r="K11"/>
  <c r="I12"/>
  <c r="K12"/>
  <c r="K13"/>
  <c r="K16"/>
  <c r="K15"/>
  <c r="K14"/>
  <c r="K17"/>
  <c r="I21"/>
  <c r="I24"/>
  <c r="K24"/>
  <c r="I25"/>
  <c r="K25"/>
  <c r="E36"/>
  <c r="E37"/>
  <c r="E43" a="1"/>
  <c r="E43"/>
  <c r="E39"/>
  <c r="E40"/>
  <c r="E42" a="1"/>
  <c r="E42"/>
  <c r="E45" a="1"/>
  <c r="E45"/>
  <c r="B18" i="26"/>
  <c r="E18"/>
  <c r="B17"/>
  <c r="E17"/>
  <c r="B16"/>
  <c r="E16"/>
  <c r="B15"/>
  <c r="E15"/>
  <c r="B14"/>
  <c r="E14"/>
  <c r="B13"/>
  <c r="E13"/>
  <c r="E12"/>
  <c r="B11"/>
  <c r="E11"/>
  <c r="E10"/>
  <c r="B9"/>
  <c r="E9"/>
  <c r="B8"/>
  <c r="E8"/>
  <c r="B7"/>
  <c r="E7"/>
  <c r="B6"/>
  <c r="E6"/>
  <c r="B5"/>
  <c r="E5"/>
  <c r="B4"/>
  <c r="E4"/>
  <c r="C6" i="44"/>
  <c r="D3"/>
  <c r="E3"/>
  <c r="G6"/>
  <c r="H3"/>
  <c r="M3"/>
  <c r="I3"/>
  <c r="G7"/>
  <c r="O3"/>
  <c r="O6"/>
  <c r="O4"/>
  <c r="O5"/>
  <c r="D4"/>
  <c r="E4"/>
  <c r="I4"/>
  <c r="D5"/>
  <c r="E5"/>
  <c r="I5"/>
  <c r="C7"/>
  <c r="P7"/>
  <c r="C8"/>
  <c r="D7" i="43"/>
  <c r="D17"/>
  <c r="C17"/>
  <c r="I7"/>
  <c r="J7"/>
  <c r="K7"/>
  <c r="D8"/>
  <c r="I8"/>
  <c r="J8"/>
  <c r="K8"/>
  <c r="D9"/>
  <c r="I9"/>
  <c r="J9"/>
  <c r="K9"/>
  <c r="D10"/>
  <c r="I10"/>
  <c r="J10"/>
  <c r="K10"/>
  <c r="D11"/>
  <c r="I11"/>
  <c r="J11"/>
  <c r="K11"/>
  <c r="D12"/>
  <c r="I12"/>
  <c r="J12"/>
  <c r="K12"/>
  <c r="D13"/>
  <c r="I13"/>
  <c r="J13"/>
  <c r="K13"/>
  <c r="D14"/>
  <c r="I14"/>
  <c r="J14"/>
  <c r="K14"/>
  <c r="D15"/>
  <c r="I15"/>
  <c r="J15"/>
  <c r="K15"/>
  <c r="D16"/>
  <c r="I16"/>
  <c r="J16"/>
  <c r="K16"/>
  <c r="B17"/>
  <c r="B23"/>
  <c r="F17"/>
  <c r="G17"/>
  <c r="H17"/>
  <c r="I17"/>
  <c r="E8" i="41"/>
  <c r="F8" a="1"/>
  <c r="F8"/>
  <c r="J8"/>
  <c r="D17" a="1"/>
  <c r="D17"/>
  <c r="B17"/>
  <c r="G8"/>
  <c r="H8"/>
  <c r="D14"/>
  <c r="B14"/>
  <c r="I8"/>
  <c r="E9"/>
  <c r="F9" a="1"/>
  <c r="F9"/>
  <c r="J9"/>
  <c r="G9"/>
  <c r="D13"/>
  <c r="B13"/>
  <c r="H9"/>
  <c r="I9"/>
  <c r="D15"/>
  <c r="B15"/>
  <c r="E10"/>
  <c r="F10" a="1"/>
  <c r="F10"/>
  <c r="J10"/>
  <c r="G10"/>
  <c r="H10"/>
  <c r="I10"/>
  <c r="I21"/>
  <c r="J21"/>
  <c r="I22"/>
  <c r="I23"/>
  <c r="J22"/>
  <c r="J23"/>
  <c r="D22"/>
  <c r="I25"/>
  <c r="J25"/>
  <c r="I26"/>
  <c r="I27"/>
  <c r="D26"/>
  <c r="J26"/>
  <c r="J27"/>
  <c r="I29"/>
  <c r="J29"/>
  <c r="I30"/>
  <c r="I31"/>
  <c r="J30"/>
  <c r="J31"/>
  <c r="D30"/>
  <c r="B39"/>
  <c r="C39"/>
  <c r="D39"/>
  <c r="E39"/>
  <c r="D44"/>
  <c r="B44"/>
  <c r="B40"/>
  <c r="C40"/>
  <c r="D40"/>
  <c r="E40"/>
  <c r="B41"/>
  <c r="C41"/>
  <c r="D41"/>
  <c r="E41"/>
  <c r="C18" i="42"/>
  <c r="D18"/>
  <c r="B55"/>
  <c r="E55"/>
  <c r="E18"/>
  <c r="F18"/>
  <c r="C19"/>
  <c r="D19"/>
  <c r="B56"/>
  <c r="E56"/>
  <c r="E19"/>
  <c r="F19"/>
  <c r="C20"/>
  <c r="D20"/>
  <c r="B57"/>
  <c r="E57"/>
  <c r="E20"/>
  <c r="F20"/>
  <c r="C55"/>
  <c r="D55"/>
  <c r="C56"/>
  <c r="D56"/>
  <c r="C57"/>
  <c r="D57"/>
  <c r="C70" i="34"/>
  <c r="B70"/>
  <c r="C69"/>
  <c r="B69"/>
  <c r="C68"/>
  <c r="B68"/>
  <c r="C67"/>
  <c r="B67"/>
  <c r="C66"/>
  <c r="B66"/>
  <c r="C65"/>
  <c r="B65"/>
  <c r="C64"/>
  <c r="B64"/>
  <c r="C63"/>
  <c r="B63"/>
  <c r="C62"/>
  <c r="B62"/>
  <c r="C61"/>
  <c r="B61"/>
  <c r="C60"/>
  <c r="B60"/>
  <c r="C59"/>
  <c r="B59"/>
  <c r="C58"/>
  <c r="B58"/>
  <c r="C57"/>
  <c r="B57"/>
  <c r="C56"/>
  <c r="B56"/>
  <c r="C55"/>
  <c r="B55"/>
  <c r="C54"/>
  <c r="B54"/>
  <c r="C53"/>
  <c r="B53"/>
  <c r="C52"/>
  <c r="B52"/>
  <c r="C51"/>
  <c r="B51"/>
  <c r="C50"/>
  <c r="B50"/>
  <c r="C49"/>
  <c r="B49"/>
  <c r="C48"/>
  <c r="B48"/>
  <c r="C47"/>
  <c r="B47"/>
  <c r="C46"/>
  <c r="B46"/>
  <c r="C45"/>
  <c r="B45"/>
  <c r="C44"/>
  <c r="B44"/>
  <c r="C43"/>
  <c r="B43"/>
  <c r="C42"/>
  <c r="B42"/>
  <c r="C41"/>
  <c r="B41"/>
  <c r="C40"/>
  <c r="B40"/>
  <c r="C39"/>
  <c r="B39"/>
  <c r="C38"/>
  <c r="B38"/>
  <c r="C37"/>
  <c r="B37"/>
  <c r="C36"/>
  <c r="B36"/>
  <c r="C35"/>
  <c r="B35"/>
  <c r="C34"/>
  <c r="B34"/>
  <c r="C33"/>
  <c r="B33"/>
  <c r="C32"/>
  <c r="B32"/>
  <c r="C31"/>
  <c r="B31"/>
  <c r="C30"/>
  <c r="B30"/>
  <c r="D4" i="4"/>
  <c r="E9" i="5"/>
  <c r="G9"/>
  <c r="C5" i="23"/>
  <c r="G5"/>
  <c r="C6"/>
  <c r="C7"/>
  <c r="H6"/>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G6"/>
  <c r="G7"/>
  <c r="G8"/>
  <c r="G9"/>
  <c r="G10"/>
  <c r="G11"/>
  <c r="G12"/>
  <c r="G13"/>
  <c r="G14"/>
  <c r="G15"/>
  <c r="G16"/>
  <c r="G17"/>
  <c r="G18"/>
  <c r="G19"/>
  <c r="G20"/>
  <c r="G21"/>
  <c r="G22"/>
  <c r="G23"/>
  <c r="G24"/>
  <c r="G25"/>
  <c r="G26"/>
  <c r="H30"/>
  <c r="G31"/>
  <c r="I31"/>
  <c r="F37"/>
  <c r="G37"/>
  <c r="H37"/>
  <c r="F39"/>
  <c r="G39"/>
  <c r="H39"/>
  <c r="F41"/>
  <c r="G41"/>
  <c r="H41"/>
  <c r="F43"/>
  <c r="G43"/>
  <c r="H43"/>
  <c r="F45"/>
  <c r="G45"/>
  <c r="H45"/>
  <c r="F47"/>
  <c r="G47"/>
  <c r="H47"/>
  <c r="F49"/>
  <c r="G49"/>
  <c r="H49"/>
  <c r="F51"/>
  <c r="G51"/>
  <c r="H51"/>
  <c r="F53"/>
  <c r="G53"/>
  <c r="H53"/>
  <c r="F55"/>
  <c r="G55"/>
  <c r="H55"/>
  <c r="F57"/>
  <c r="G57"/>
  <c r="C5" i="24"/>
  <c r="G2"/>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G3"/>
  <c r="G5"/>
  <c r="K19"/>
  <c r="L19"/>
  <c r="K20"/>
  <c r="L20"/>
  <c r="L21"/>
  <c r="J24"/>
  <c r="K24"/>
  <c r="L24"/>
  <c r="E4" i="8"/>
  <c r="E5"/>
  <c r="E6"/>
  <c r="E7"/>
  <c r="I7"/>
  <c r="E8"/>
  <c r="I8"/>
  <c r="E9"/>
  <c r="I9"/>
  <c r="E10"/>
  <c r="I10"/>
  <c r="E11"/>
  <c r="E12"/>
  <c r="E13"/>
  <c r="E14"/>
  <c r="E15"/>
  <c r="E16"/>
  <c r="E17"/>
  <c r="B4" i="9"/>
  <c r="B5" s="1"/>
  <c r="C4"/>
  <c r="D4"/>
  <c r="D5" s="1"/>
  <c r="E4"/>
  <c r="C5"/>
  <c r="E5"/>
  <c r="B7"/>
  <c r="C7"/>
  <c r="D7"/>
  <c r="E7"/>
  <c r="A8"/>
  <c r="B8"/>
  <c r="C8"/>
  <c r="E8"/>
  <c r="B10" i="10"/>
  <c r="B11"/>
  <c r="B17"/>
  <c r="B18"/>
  <c r="E22"/>
  <c r="E23"/>
  <c r="E24"/>
  <c r="E25"/>
  <c r="E26"/>
  <c r="E27"/>
  <c r="E28"/>
  <c r="E29"/>
  <c r="E30"/>
  <c r="E31"/>
  <c r="E32"/>
  <c r="E33"/>
  <c r="E34"/>
  <c r="E35"/>
  <c r="E36"/>
  <c r="A10" i="26"/>
  <c r="A12"/>
  <c r="B21"/>
  <c r="C21"/>
  <c r="C22"/>
  <c r="D21"/>
  <c r="B22"/>
  <c r="D22"/>
  <c r="B23"/>
  <c r="C23"/>
  <c r="D23"/>
  <c r="C27"/>
  <c r="D27"/>
  <c r="C28"/>
  <c r="D28"/>
  <c r="C29"/>
  <c r="D29"/>
  <c r="C30"/>
  <c r="D30"/>
  <c r="G30"/>
  <c r="H30"/>
  <c r="I30"/>
  <c r="C31"/>
  <c r="D31"/>
  <c r="G31"/>
  <c r="H31"/>
  <c r="I31"/>
  <c r="C32"/>
  <c r="D32"/>
  <c r="G32"/>
  <c r="H32"/>
  <c r="I32"/>
  <c r="C33"/>
  <c r="D33"/>
  <c r="G33"/>
  <c r="H33"/>
  <c r="I33"/>
  <c r="C34"/>
  <c r="D34"/>
  <c r="G34"/>
  <c r="H34"/>
  <c r="I34"/>
  <c r="C35"/>
  <c r="D35"/>
  <c r="C36"/>
  <c r="D36"/>
  <c r="C37"/>
  <c r="D37"/>
  <c r="C38"/>
  <c r="D38"/>
  <c r="I38"/>
  <c r="K38"/>
  <c r="C39"/>
  <c r="D39"/>
  <c r="I39"/>
  <c r="K39"/>
  <c r="C40"/>
  <c r="D40"/>
  <c r="I40"/>
  <c r="K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B10" i="34"/>
  <c r="C10"/>
  <c r="D10"/>
  <c r="E10"/>
  <c r="B15"/>
  <c r="C15"/>
  <c r="D15"/>
  <c r="E15"/>
  <c r="B16"/>
  <c r="C16"/>
  <c r="D16"/>
  <c r="E16"/>
  <c r="B17"/>
  <c r="C17"/>
  <c r="D17"/>
  <c r="E17"/>
  <c r="B18"/>
  <c r="C18"/>
  <c r="D18"/>
  <c r="E18"/>
  <c r="B19"/>
  <c r="C19"/>
  <c r="D19"/>
  <c r="E19"/>
  <c r="B20"/>
  <c r="C20"/>
  <c r="D20"/>
  <c r="E20"/>
  <c r="B21"/>
  <c r="C21"/>
  <c r="D21"/>
  <c r="E21"/>
  <c r="B22"/>
  <c r="C22"/>
  <c r="D22"/>
  <c r="E22"/>
  <c r="B23"/>
  <c r="C23"/>
  <c r="D23"/>
  <c r="E23"/>
  <c r="B24"/>
  <c r="C24"/>
  <c r="D24"/>
  <c r="E24"/>
  <c r="D3" i="37"/>
  <c r="D4"/>
  <c r="G8"/>
  <c r="D9"/>
  <c r="D11"/>
  <c r="D15"/>
  <c r="D19"/>
  <c r="B23"/>
  <c r="B24"/>
  <c r="B25"/>
  <c r="D5" i="31"/>
  <c r="E5"/>
  <c r="D6"/>
  <c r="E6"/>
  <c r="D7"/>
  <c r="E7"/>
  <c r="D8"/>
  <c r="E8"/>
  <c r="D9"/>
  <c r="E9"/>
  <c r="D10"/>
  <c r="E10"/>
  <c r="D11"/>
  <c r="E11"/>
  <c r="D12"/>
  <c r="E12"/>
  <c r="D13"/>
  <c r="E13"/>
  <c r="D14"/>
  <c r="E14"/>
  <c r="D15"/>
  <c r="E15"/>
  <c r="D16"/>
  <c r="E16"/>
  <c r="D17"/>
  <c r="E17"/>
  <c r="D18"/>
  <c r="E18"/>
  <c r="D19"/>
  <c r="E19"/>
  <c r="D20"/>
  <c r="E20"/>
  <c r="D21"/>
  <c r="E21"/>
  <c r="D22"/>
  <c r="E22"/>
  <c r="D23"/>
  <c r="E23"/>
  <c r="G17"/>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H17"/>
  <c r="E24"/>
  <c r="I18"/>
  <c r="G18"/>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I17"/>
  <c r="H18"/>
  <c r="D21" i="37"/>
  <c r="D17"/>
  <c r="D13"/>
  <c r="D8"/>
  <c r="D10"/>
  <c r="D12"/>
  <c r="D14"/>
  <c r="D16"/>
  <c r="D18"/>
  <c r="D20"/>
  <c r="D22"/>
  <c r="J25" i="24"/>
  <c r="L25"/>
  <c r="K26"/>
  <c r="K9"/>
  <c r="K10"/>
  <c r="J11"/>
  <c r="K11"/>
  <c r="K12"/>
  <c r="K13"/>
  <c r="K14"/>
  <c r="K15"/>
  <c r="K25"/>
  <c r="J26"/>
  <c r="L26"/>
  <c r="J55" i="23"/>
  <c r="J51"/>
  <c r="J47"/>
  <c r="J43"/>
  <c r="J39"/>
  <c r="I6"/>
  <c r="P3" i="44"/>
  <c r="P4"/>
  <c r="P5"/>
  <c r="B24" i="30"/>
  <c r="C24"/>
  <c r="B22"/>
  <c r="C22"/>
  <c r="B20"/>
  <c r="C20"/>
  <c r="B18"/>
  <c r="C18"/>
  <c r="B16"/>
  <c r="C16"/>
  <c r="B14"/>
  <c r="C14"/>
  <c r="D11"/>
  <c r="D10"/>
  <c r="B26"/>
  <c r="C26"/>
  <c r="D6"/>
  <c r="B25"/>
  <c r="C25"/>
  <c r="B23"/>
  <c r="C23"/>
  <c r="B21"/>
  <c r="C21"/>
  <c r="B19"/>
  <c r="C19"/>
  <c r="B17"/>
  <c r="C17"/>
  <c r="B15"/>
  <c r="C15"/>
  <c r="I32" i="48" a="1"/>
  <c r="I32"/>
  <c r="I29"/>
  <c r="H33" a="1"/>
  <c r="H33"/>
  <c r="K27"/>
  <c r="A9" i="9"/>
  <c r="D8"/>
  <c r="G4" i="24"/>
  <c r="H56" i="23"/>
  <c r="F56"/>
  <c r="G56"/>
  <c r="I56"/>
  <c r="H54"/>
  <c r="J54"/>
  <c r="F54"/>
  <c r="G54"/>
  <c r="I54"/>
  <c r="H52"/>
  <c r="J52"/>
  <c r="F52"/>
  <c r="G52"/>
  <c r="I52"/>
  <c r="H50"/>
  <c r="J50"/>
  <c r="F50"/>
  <c r="G50"/>
  <c r="I50"/>
  <c r="H48"/>
  <c r="J48"/>
  <c r="F48"/>
  <c r="G48"/>
  <c r="I48"/>
  <c r="H46"/>
  <c r="J46"/>
  <c r="F46"/>
  <c r="G46"/>
  <c r="I46"/>
  <c r="H44"/>
  <c r="J44"/>
  <c r="F44"/>
  <c r="G44"/>
  <c r="I44"/>
  <c r="H42"/>
  <c r="J42"/>
  <c r="F42"/>
  <c r="G42"/>
  <c r="I42"/>
  <c r="H40"/>
  <c r="J40"/>
  <c r="F40"/>
  <c r="G40"/>
  <c r="I40"/>
  <c r="H38"/>
  <c r="J38"/>
  <c r="F38"/>
  <c r="G38"/>
  <c r="I38"/>
  <c r="H36"/>
  <c r="J36"/>
  <c r="F36"/>
  <c r="G36"/>
  <c r="I36"/>
  <c r="H31"/>
  <c r="I30"/>
  <c r="G30"/>
  <c r="H25"/>
  <c r="H24"/>
  <c r="H22"/>
  <c r="I22"/>
  <c r="H20"/>
  <c r="H18"/>
  <c r="I18"/>
  <c r="H16"/>
  <c r="H14"/>
  <c r="I14"/>
  <c r="H12"/>
  <c r="H10"/>
  <c r="I10"/>
  <c r="H8"/>
  <c r="H5"/>
  <c r="I5"/>
  <c r="H7"/>
  <c r="I7"/>
  <c r="H9"/>
  <c r="I9"/>
  <c r="H11"/>
  <c r="I11"/>
  <c r="H13"/>
  <c r="I13"/>
  <c r="H15"/>
  <c r="I15"/>
  <c r="H17"/>
  <c r="I17"/>
  <c r="H19"/>
  <c r="I19"/>
  <c r="H21"/>
  <c r="I21"/>
  <c r="H23"/>
  <c r="I23"/>
  <c r="B31" i="43"/>
  <c r="B33"/>
  <c r="B35"/>
  <c r="B36"/>
  <c r="B37"/>
  <c r="B38"/>
  <c r="B39"/>
  <c r="B40"/>
  <c r="B41"/>
  <c r="B42"/>
  <c r="B43"/>
  <c r="B44"/>
  <c r="B45"/>
  <c r="B46"/>
  <c r="B47"/>
  <c r="B48"/>
  <c r="B49"/>
  <c r="B50"/>
  <c r="B51"/>
  <c r="B52"/>
  <c r="B53"/>
  <c r="B54"/>
  <c r="B55"/>
  <c r="B56"/>
  <c r="B57"/>
  <c r="B58"/>
  <c r="B59"/>
  <c r="B60"/>
  <c r="B61"/>
  <c r="B62"/>
  <c r="B63"/>
  <c r="B64"/>
  <c r="B65"/>
  <c r="B66"/>
  <c r="B67"/>
  <c r="B68"/>
  <c r="B69"/>
  <c r="B70"/>
  <c r="B71"/>
  <c r="B72"/>
  <c r="B74"/>
  <c r="G8" i="44"/>
  <c r="I19" i="43"/>
  <c r="K17"/>
  <c r="J17"/>
  <c r="O14" i="50"/>
  <c r="O15"/>
  <c r="O16"/>
  <c r="J29" i="48"/>
  <c r="D6" i="57"/>
  <c r="B14"/>
  <c r="C14"/>
  <c r="D14"/>
  <c r="E14"/>
  <c r="B15"/>
  <c r="C15"/>
  <c r="D15"/>
  <c r="E15"/>
  <c r="B16"/>
  <c r="C16"/>
  <c r="D16"/>
  <c r="E16"/>
  <c r="B17"/>
  <c r="C17"/>
  <c r="D17"/>
  <c r="E17"/>
  <c r="B18"/>
  <c r="C18"/>
  <c r="D18"/>
  <c r="E18"/>
  <c r="B19"/>
  <c r="C19"/>
  <c r="D19"/>
  <c r="E19"/>
  <c r="B20"/>
  <c r="C20"/>
  <c r="D20"/>
  <c r="E20"/>
  <c r="B21"/>
  <c r="C21"/>
  <c r="D21"/>
  <c r="E21"/>
  <c r="B22"/>
  <c r="C22"/>
  <c r="D22"/>
  <c r="E22"/>
  <c r="B23"/>
  <c r="C23"/>
  <c r="D23"/>
  <c r="E23"/>
  <c r="B24"/>
  <c r="C24"/>
  <c r="D24"/>
  <c r="E24"/>
  <c r="B25"/>
  <c r="C25"/>
  <c r="D25"/>
  <c r="E25"/>
  <c r="B26"/>
  <c r="C26"/>
  <c r="D26"/>
  <c r="E26"/>
  <c r="K26" i="48"/>
  <c r="K28"/>
  <c r="H32" a="1"/>
  <c r="H32"/>
  <c r="J32" a="1"/>
  <c r="J32"/>
  <c r="A43"/>
  <c r="A44"/>
  <c r="C43"/>
  <c r="C44"/>
  <c r="A46"/>
  <c r="C46"/>
  <c r="I30" i="42"/>
  <c r="J30"/>
  <c r="J34"/>
  <c r="I40"/>
  <c r="I48"/>
  <c r="J48"/>
  <c r="J52"/>
  <c r="D16" i="41"/>
  <c r="B16"/>
  <c r="B75" i="43"/>
  <c r="B73"/>
  <c r="B34"/>
  <c r="B32"/>
  <c r="B30"/>
  <c r="B25"/>
  <c r="B24"/>
  <c r="H5" i="44"/>
  <c r="M5"/>
  <c r="H4"/>
  <c r="M4"/>
  <c r="M7"/>
  <c r="E49" i="45" a="1"/>
  <c r="E49"/>
  <c r="E52" a="1"/>
  <c r="E52"/>
  <c r="E48" a="1"/>
  <c r="E48"/>
  <c r="E51" a="1"/>
  <c r="E51"/>
  <c r="E46" a="1"/>
  <c r="E46"/>
  <c r="J40" i="42"/>
  <c r="J44"/>
  <c r="B142" i="53"/>
  <c r="C142"/>
  <c r="B140"/>
  <c r="C140"/>
  <c r="B138"/>
  <c r="C138"/>
  <c r="B136"/>
  <c r="C136"/>
  <c r="B134"/>
  <c r="C134"/>
  <c r="B132"/>
  <c r="C132"/>
  <c r="B130"/>
  <c r="C130"/>
  <c r="B128"/>
  <c r="C128"/>
  <c r="B126"/>
  <c r="C126"/>
  <c r="B124"/>
  <c r="C124"/>
  <c r="B122"/>
  <c r="C122"/>
  <c r="B120"/>
  <c r="C120"/>
  <c r="E41" i="55"/>
  <c r="J13" i="56"/>
  <c r="J14"/>
  <c r="F42" i="55" a="1"/>
  <c r="F42"/>
  <c r="J40"/>
  <c r="J38"/>
  <c r="J36"/>
  <c r="J34"/>
  <c r="J32"/>
  <c r="I3" i="56"/>
  <c r="J3"/>
  <c r="I4"/>
  <c r="I5"/>
  <c r="J5"/>
  <c r="I6"/>
  <c r="I7"/>
  <c r="J7"/>
  <c r="I8"/>
  <c r="I9"/>
  <c r="J9"/>
  <c r="I10"/>
  <c r="I11"/>
  <c r="J11"/>
  <c r="I12"/>
  <c r="M8" i="44"/>
  <c r="P8"/>
  <c r="C35" i="43"/>
  <c r="C37"/>
  <c r="C39"/>
  <c r="C41"/>
  <c r="C43"/>
  <c r="C45"/>
  <c r="C47"/>
  <c r="C49"/>
  <c r="C51"/>
  <c r="C53"/>
  <c r="C55"/>
  <c r="C57"/>
  <c r="C59"/>
  <c r="C61"/>
  <c r="C63"/>
  <c r="C65"/>
  <c r="C67"/>
  <c r="C69"/>
  <c r="C71"/>
  <c r="I20"/>
  <c r="C36"/>
  <c r="C23"/>
  <c r="C24"/>
  <c r="C25"/>
  <c r="I25" i="23"/>
  <c r="I26"/>
  <c r="E17" i="30"/>
  <c r="D17"/>
  <c r="E21"/>
  <c r="D21"/>
  <c r="E25"/>
  <c r="D25"/>
  <c r="E26"/>
  <c r="D26"/>
  <c r="E16"/>
  <c r="D16"/>
  <c r="E20"/>
  <c r="D20"/>
  <c r="E24"/>
  <c r="D24"/>
  <c r="J16" i="24"/>
  <c r="J14"/>
  <c r="J12"/>
  <c r="L9"/>
  <c r="J10"/>
  <c r="I37" i="23"/>
  <c r="I41"/>
  <c r="I45"/>
  <c r="I49"/>
  <c r="I53"/>
  <c r="I57"/>
  <c r="J56"/>
  <c r="J57"/>
  <c r="C9" i="9"/>
  <c r="E9"/>
  <c r="B9"/>
  <c r="D9"/>
  <c r="A10"/>
  <c r="E15" i="30"/>
  <c r="D15"/>
  <c r="E19"/>
  <c r="D19"/>
  <c r="E23"/>
  <c r="D23"/>
  <c r="E14"/>
  <c r="D14"/>
  <c r="E18"/>
  <c r="D18"/>
  <c r="E22"/>
  <c r="D22"/>
  <c r="J15" i="24"/>
  <c r="J13"/>
  <c r="H9" i="37"/>
  <c r="G9"/>
  <c r="J12" i="56"/>
  <c r="J10"/>
  <c r="J8"/>
  <c r="J6"/>
  <c r="J4"/>
  <c r="I8" i="23"/>
  <c r="I12"/>
  <c r="I16"/>
  <c r="I20"/>
  <c r="I24"/>
  <c r="P6" i="44"/>
  <c r="J37" i="23"/>
  <c r="J41"/>
  <c r="J45"/>
  <c r="J49"/>
  <c r="J53"/>
  <c r="I39"/>
  <c r="I43"/>
  <c r="I47"/>
  <c r="I51"/>
  <c r="I55"/>
  <c r="G11" i="37"/>
  <c r="G10"/>
  <c r="B10" i="9"/>
  <c r="D10"/>
  <c r="A11"/>
  <c r="C10"/>
  <c r="E10"/>
  <c r="H10" i="37"/>
  <c r="H11"/>
  <c r="M9" i="24"/>
  <c r="L10"/>
  <c r="L11"/>
  <c r="M11"/>
  <c r="C70" i="43"/>
  <c r="C68"/>
  <c r="C66"/>
  <c r="C64"/>
  <c r="C62"/>
  <c r="C60"/>
  <c r="C58"/>
  <c r="C56"/>
  <c r="C54"/>
  <c r="C52"/>
  <c r="C50"/>
  <c r="C48"/>
  <c r="C46"/>
  <c r="C44"/>
  <c r="C42"/>
  <c r="C40"/>
  <c r="C38"/>
  <c r="M10" i="24"/>
  <c r="L12"/>
  <c r="C11" i="9"/>
  <c r="E11"/>
  <c r="B11"/>
  <c r="D11"/>
  <c r="A12"/>
  <c r="L13" i="24"/>
  <c r="M13"/>
  <c r="M12"/>
  <c r="B12" i="9"/>
  <c r="D12"/>
  <c r="A13"/>
  <c r="C12"/>
  <c r="E12"/>
  <c r="L14" i="24"/>
  <c r="M14"/>
  <c r="C13" i="9"/>
  <c r="E13"/>
  <c r="B13"/>
  <c r="D13"/>
  <c r="A14"/>
  <c r="M19" i="24"/>
  <c r="M20"/>
  <c r="L15"/>
  <c r="M15"/>
  <c r="M21"/>
  <c r="B14" i="9"/>
  <c r="D14"/>
  <c r="A15"/>
  <c r="C14"/>
  <c r="E14"/>
  <c r="L16" i="24"/>
  <c r="M16"/>
  <c r="C15" i="9"/>
  <c r="E15"/>
  <c r="B15"/>
  <c r="D15"/>
  <c r="A16"/>
  <c r="B16"/>
  <c r="D16"/>
  <c r="A17"/>
  <c r="C16"/>
  <c r="E16"/>
  <c r="C17"/>
  <c r="E17"/>
  <c r="B17"/>
  <c r="D17"/>
  <c r="A18"/>
  <c r="B18"/>
  <c r="D18"/>
  <c r="A19"/>
  <c r="C18"/>
  <c r="E18"/>
  <c r="C19"/>
  <c r="E19"/>
  <c r="B19"/>
  <c r="D19"/>
  <c r="A20"/>
  <c r="B20"/>
  <c r="D20"/>
  <c r="A21"/>
  <c r="C20"/>
  <c r="E20"/>
  <c r="C21"/>
  <c r="E21"/>
  <c r="B21"/>
  <c r="D21"/>
  <c r="A22"/>
  <c r="B22"/>
  <c r="D22"/>
  <c r="A23"/>
  <c r="C22"/>
  <c r="E22"/>
  <c r="C23"/>
  <c r="E23"/>
  <c r="B23"/>
  <c r="D23"/>
  <c r="A24"/>
  <c r="B24"/>
  <c r="D24"/>
  <c r="A25"/>
  <c r="C24"/>
  <c r="E24"/>
  <c r="C25"/>
  <c r="E25"/>
  <c r="B25"/>
  <c r="D25"/>
  <c r="A26"/>
  <c r="B26"/>
  <c r="D26"/>
  <c r="A27"/>
  <c r="C26"/>
  <c r="E26"/>
  <c r="C27"/>
  <c r="E27"/>
  <c r="B27"/>
  <c r="D27"/>
  <c r="A28"/>
  <c r="B28"/>
  <c r="D28"/>
  <c r="A29"/>
  <c r="C28"/>
  <c r="E28"/>
  <c r="C29"/>
  <c r="E29"/>
  <c r="B29"/>
  <c r="D29"/>
  <c r="A30"/>
  <c r="B30"/>
  <c r="D30"/>
  <c r="A31"/>
  <c r="C30"/>
  <c r="E30"/>
  <c r="C31"/>
  <c r="E31"/>
  <c r="B31"/>
  <c r="A32"/>
  <c r="D31"/>
  <c r="B32"/>
  <c r="D32"/>
  <c r="A33"/>
  <c r="E32"/>
  <c r="C32"/>
  <c r="C33"/>
  <c r="E33"/>
  <c r="D33"/>
  <c r="B33"/>
  <c r="A34"/>
  <c r="B34"/>
  <c r="D34"/>
  <c r="A35"/>
  <c r="C34"/>
  <c r="E34"/>
  <c r="C35"/>
  <c r="E35"/>
  <c r="B35"/>
  <c r="A36"/>
  <c r="D35"/>
  <c r="B36"/>
  <c r="D36"/>
  <c r="A37"/>
  <c r="E36"/>
  <c r="C36"/>
  <c r="C37"/>
  <c r="E37"/>
  <c r="D37"/>
  <c r="B37"/>
  <c r="A38"/>
  <c r="B38"/>
  <c r="D38"/>
  <c r="A39"/>
  <c r="C38"/>
  <c r="E38"/>
  <c r="C39"/>
  <c r="E39"/>
  <c r="B39"/>
  <c r="A40"/>
  <c r="D39"/>
  <c r="B40"/>
  <c r="D40"/>
  <c r="A41"/>
  <c r="E40"/>
  <c r="C40"/>
  <c r="C41"/>
  <c r="E41"/>
  <c r="D41"/>
  <c r="B41"/>
  <c r="A42"/>
  <c r="B42"/>
  <c r="D42"/>
  <c r="A43"/>
  <c r="C42"/>
  <c r="E42"/>
  <c r="C43"/>
  <c r="E43"/>
  <c r="B43"/>
  <c r="A44"/>
  <c r="D43"/>
  <c r="B44"/>
  <c r="D44"/>
  <c r="A45"/>
  <c r="E44"/>
  <c r="C44"/>
  <c r="C45"/>
  <c r="E45"/>
  <c r="D45"/>
  <c r="B45"/>
  <c r="A46"/>
  <c r="B46"/>
  <c r="D46"/>
  <c r="A47"/>
  <c r="C46"/>
  <c r="E46"/>
  <c r="C47"/>
  <c r="E47"/>
  <c r="B47"/>
  <c r="A48"/>
  <c r="D47"/>
  <c r="B48"/>
  <c r="D48"/>
  <c r="A49"/>
  <c r="E48"/>
  <c r="C48"/>
  <c r="C49"/>
  <c r="E49"/>
  <c r="D49"/>
  <c r="B49"/>
  <c r="A50"/>
  <c r="B50"/>
  <c r="D50"/>
  <c r="A51"/>
  <c r="C50"/>
  <c r="E50"/>
  <c r="C51"/>
  <c r="E51"/>
  <c r="B51"/>
  <c r="A52"/>
  <c r="D51"/>
  <c r="B52"/>
  <c r="D52"/>
  <c r="A53"/>
  <c r="E52"/>
  <c r="C52"/>
  <c r="C53"/>
  <c r="E53"/>
  <c r="D53"/>
  <c r="B53"/>
  <c r="A54"/>
  <c r="B54"/>
  <c r="D54"/>
  <c r="A55"/>
  <c r="C54"/>
  <c r="E54"/>
  <c r="C55"/>
  <c r="E55"/>
  <c r="B55"/>
  <c r="A56"/>
  <c r="D55"/>
  <c r="B56"/>
  <c r="D56"/>
  <c r="A57"/>
  <c r="E56"/>
  <c r="C56"/>
  <c r="C57"/>
  <c r="E57"/>
  <c r="D57"/>
  <c r="B57"/>
  <c r="A58"/>
  <c r="B58"/>
  <c r="D58"/>
  <c r="A59"/>
  <c r="C58"/>
  <c r="E58"/>
  <c r="C59"/>
  <c r="E59"/>
  <c r="B59"/>
  <c r="A60"/>
  <c r="D59"/>
  <c r="B60"/>
  <c r="D60"/>
  <c r="A61"/>
  <c r="E60"/>
  <c r="C60"/>
  <c r="C61"/>
  <c r="E61"/>
  <c r="D61"/>
  <c r="B61"/>
  <c r="A62"/>
  <c r="B62"/>
  <c r="D62"/>
  <c r="A63"/>
  <c r="C62"/>
  <c r="E62"/>
  <c r="C63"/>
  <c r="E63"/>
  <c r="B63"/>
  <c r="A64"/>
  <c r="D63"/>
  <c r="B64"/>
  <c r="D64"/>
  <c r="A65"/>
  <c r="E64"/>
  <c r="C64"/>
  <c r="C65"/>
  <c r="E65"/>
  <c r="D65"/>
  <c r="B65"/>
  <c r="A66"/>
  <c r="B66"/>
  <c r="D66"/>
  <c r="A67"/>
  <c r="C66"/>
  <c r="E66"/>
  <c r="C67"/>
  <c r="E67"/>
  <c r="B67"/>
  <c r="A68"/>
  <c r="D67"/>
  <c r="B68"/>
  <c r="D68"/>
  <c r="A69"/>
  <c r="E68"/>
  <c r="C68"/>
  <c r="C69"/>
  <c r="E69"/>
  <c r="D69"/>
  <c r="B69"/>
  <c r="A70"/>
  <c r="B70"/>
  <c r="D70"/>
  <c r="A71"/>
  <c r="C70"/>
  <c r="E70"/>
  <c r="C71"/>
  <c r="E71"/>
  <c r="B71"/>
  <c r="A72"/>
  <c r="D71"/>
  <c r="B72"/>
  <c r="D72"/>
  <c r="A73"/>
  <c r="E72"/>
  <c r="C72"/>
  <c r="C73"/>
  <c r="E73"/>
  <c r="D73"/>
  <c r="B73"/>
  <c r="A74"/>
  <c r="B74"/>
  <c r="D74"/>
  <c r="A75"/>
  <c r="C74"/>
  <c r="E74"/>
  <c r="C75"/>
  <c r="E75"/>
  <c r="B75"/>
  <c r="A76"/>
  <c r="D75"/>
  <c r="B76"/>
  <c r="D76"/>
  <c r="A77"/>
  <c r="E76"/>
  <c r="C76"/>
  <c r="C77"/>
  <c r="E77"/>
  <c r="D77"/>
  <c r="B77"/>
  <c r="A78"/>
  <c r="B78"/>
  <c r="D78"/>
  <c r="A79"/>
  <c r="C78"/>
  <c r="E78"/>
  <c r="C79"/>
  <c r="E79"/>
  <c r="B79"/>
  <c r="A80"/>
  <c r="D79"/>
  <c r="B80"/>
  <c r="D80"/>
  <c r="A81"/>
  <c r="E80"/>
  <c r="C80"/>
  <c r="C81"/>
  <c r="E81"/>
  <c r="D81"/>
  <c r="B81"/>
  <c r="A82"/>
  <c r="B82"/>
  <c r="D82"/>
  <c r="A83"/>
  <c r="C82"/>
  <c r="E82"/>
  <c r="C83"/>
  <c r="E83"/>
  <c r="B83"/>
  <c r="A84"/>
  <c r="D83"/>
  <c r="B84"/>
  <c r="D84"/>
  <c r="A85"/>
  <c r="E84"/>
  <c r="C84"/>
  <c r="C85"/>
  <c r="E85"/>
  <c r="D85"/>
  <c r="B85"/>
  <c r="A86"/>
  <c r="B86"/>
  <c r="D86"/>
  <c r="A87"/>
  <c r="C86"/>
  <c r="E86"/>
  <c r="C87"/>
  <c r="E87"/>
  <c r="B87"/>
  <c r="A88"/>
  <c r="D87"/>
  <c r="B88"/>
  <c r="D88"/>
  <c r="A89"/>
  <c r="E88"/>
  <c r="C88"/>
  <c r="C89"/>
  <c r="E89"/>
  <c r="D89"/>
  <c r="B89"/>
  <c r="A90"/>
  <c r="B90"/>
  <c r="D90"/>
  <c r="A91"/>
  <c r="C90"/>
  <c r="E90"/>
  <c r="C91"/>
  <c r="E91"/>
  <c r="B91"/>
  <c r="A92"/>
  <c r="D91"/>
  <c r="B92"/>
  <c r="D92"/>
  <c r="A93"/>
  <c r="E92"/>
  <c r="C92"/>
  <c r="C93"/>
  <c r="E93"/>
  <c r="D93"/>
  <c r="B93"/>
  <c r="A94"/>
  <c r="B94"/>
  <c r="D94"/>
  <c r="A95"/>
  <c r="C94"/>
  <c r="E94"/>
  <c r="C95"/>
  <c r="E95"/>
  <c r="B95"/>
  <c r="A96"/>
  <c r="D95"/>
  <c r="B96"/>
  <c r="D96"/>
  <c r="A97"/>
  <c r="E96"/>
  <c r="C96"/>
  <c r="C97"/>
  <c r="E97"/>
  <c r="D97"/>
  <c r="B97"/>
  <c r="A98"/>
  <c r="B98"/>
  <c r="D98"/>
  <c r="A99"/>
  <c r="C98"/>
  <c r="E98"/>
  <c r="C99"/>
  <c r="E99"/>
  <c r="B99"/>
  <c r="A100"/>
  <c r="D99"/>
  <c r="B100"/>
  <c r="D100"/>
  <c r="A101"/>
  <c r="E100"/>
  <c r="C100"/>
  <c r="C101"/>
  <c r="E101"/>
  <c r="D101"/>
  <c r="B101"/>
  <c r="A102"/>
  <c r="B102"/>
  <c r="D102"/>
  <c r="A103"/>
  <c r="C102"/>
  <c r="E102"/>
  <c r="C103"/>
  <c r="E103"/>
  <c r="B103"/>
  <c r="A104"/>
  <c r="D103"/>
  <c r="B104"/>
  <c r="D104"/>
  <c r="A105"/>
  <c r="E104"/>
  <c r="C104"/>
  <c r="C105"/>
  <c r="E105"/>
  <c r="D105"/>
  <c r="B105"/>
  <c r="A106"/>
  <c r="B106"/>
  <c r="D106"/>
  <c r="A107"/>
  <c r="C106"/>
  <c r="E106"/>
  <c r="C107"/>
  <c r="E107"/>
  <c r="B107"/>
  <c r="A108"/>
  <c r="D107"/>
  <c r="B108"/>
  <c r="D108"/>
  <c r="A109"/>
  <c r="E108"/>
  <c r="C108"/>
  <c r="C109"/>
  <c r="E109"/>
  <c r="D109"/>
  <c r="B109"/>
  <c r="A110"/>
  <c r="B110"/>
  <c r="D110"/>
  <c r="A111"/>
  <c r="C110"/>
  <c r="E110"/>
  <c r="C111"/>
  <c r="E111"/>
  <c r="B111"/>
  <c r="A112"/>
  <c r="D111"/>
  <c r="B112"/>
  <c r="D112"/>
  <c r="A113"/>
  <c r="E112"/>
  <c r="C112"/>
  <c r="C113"/>
  <c r="E113"/>
  <c r="D113"/>
  <c r="B113"/>
  <c r="A114"/>
  <c r="B114"/>
  <c r="D114"/>
  <c r="A115"/>
  <c r="C114"/>
  <c r="E114"/>
  <c r="C115"/>
  <c r="E115"/>
  <c r="B115"/>
  <c r="A116"/>
  <c r="D115"/>
  <c r="B116"/>
  <c r="D116"/>
  <c r="A117"/>
  <c r="E116"/>
  <c r="C116"/>
  <c r="C117"/>
  <c r="E117"/>
  <c r="D117"/>
  <c r="B117"/>
  <c r="A118"/>
  <c r="B118"/>
  <c r="D118"/>
  <c r="A119"/>
  <c r="C118"/>
  <c r="E118"/>
  <c r="C119"/>
  <c r="E119"/>
  <c r="B119"/>
  <c r="A120"/>
  <c r="D119"/>
  <c r="B120"/>
  <c r="D120"/>
  <c r="A121"/>
  <c r="E120"/>
  <c r="C120"/>
  <c r="C121"/>
  <c r="E121"/>
  <c r="D121"/>
  <c r="B121"/>
  <c r="A122"/>
  <c r="B122"/>
  <c r="D122"/>
  <c r="A123"/>
  <c r="C122"/>
  <c r="E122"/>
  <c r="C123"/>
  <c r="E123"/>
  <c r="B123"/>
  <c r="A124"/>
  <c r="D123"/>
  <c r="B124"/>
  <c r="D124"/>
  <c r="A125"/>
  <c r="E124"/>
  <c r="C124"/>
  <c r="C125"/>
  <c r="E125"/>
  <c r="D125"/>
  <c r="B125"/>
  <c r="A126"/>
  <c r="B126"/>
  <c r="D126"/>
  <c r="A127"/>
  <c r="C126"/>
  <c r="E126"/>
  <c r="C127"/>
  <c r="E127"/>
  <c r="B127"/>
  <c r="D127"/>
  <c r="C241" i="58"/>
  <c r="E100" i="51"/>
  <c r="C280" i="58"/>
  <c r="C125" i="51"/>
  <c r="P125" s="1"/>
  <c r="D112"/>
  <c r="D140"/>
  <c r="C77" i="58"/>
  <c r="C391"/>
  <c r="C473"/>
  <c r="C192"/>
  <c r="C390"/>
  <c r="D34" i="51"/>
  <c r="D175"/>
  <c r="C143" i="58"/>
  <c r="C276"/>
  <c r="C10"/>
  <c r="C178" i="51"/>
  <c r="P178" s="1"/>
  <c r="E188"/>
  <c r="E130"/>
  <c r="E72"/>
  <c r="C154" i="58"/>
  <c r="C211"/>
  <c r="E181" i="51"/>
  <c r="C185" i="58"/>
  <c r="C142"/>
  <c r="C502"/>
  <c r="C5"/>
  <c r="C115"/>
  <c r="C267"/>
  <c r="C92" i="51"/>
  <c r="P92" s="1"/>
  <c r="D157"/>
  <c r="C11" i="58"/>
  <c r="C110"/>
  <c r="C147"/>
  <c r="C273"/>
  <c r="C299"/>
  <c r="N18" i="60" l="1"/>
  <c r="L18"/>
  <c r="J18"/>
  <c r="H18"/>
  <c r="F18"/>
  <c r="O18"/>
  <c r="M18"/>
  <c r="K18"/>
  <c r="I18"/>
  <c r="G18"/>
  <c r="C28" i="51"/>
  <c r="P28" s="1"/>
  <c r="C14"/>
  <c r="P14" s="1"/>
  <c r="C478" i="58"/>
  <c r="C194" i="51"/>
  <c r="P194" s="1"/>
  <c r="C162"/>
  <c r="P162" s="1"/>
  <c r="C33"/>
  <c r="P33" s="1"/>
  <c r="D208"/>
  <c r="D114"/>
  <c r="D94"/>
  <c r="D46"/>
  <c r="D30"/>
  <c r="D137"/>
  <c r="E208"/>
  <c r="E162"/>
  <c r="E106"/>
  <c r="E38"/>
  <c r="E29"/>
  <c r="C25" i="58"/>
  <c r="C51"/>
  <c r="C117"/>
  <c r="C131"/>
  <c r="C167"/>
  <c r="C179"/>
  <c r="C187"/>
  <c r="C231"/>
  <c r="C283"/>
  <c r="C287"/>
  <c r="C331"/>
  <c r="C345"/>
  <c r="C425"/>
  <c r="C433"/>
  <c r="E205" i="51"/>
  <c r="D177"/>
  <c r="E153"/>
  <c r="C203"/>
  <c r="P203" s="1"/>
  <c r="C252" i="58"/>
  <c r="D205" i="51"/>
  <c r="C364" i="58"/>
  <c r="C232"/>
  <c r="C224"/>
  <c r="C440"/>
  <c r="D163" i="51"/>
  <c r="D23"/>
  <c r="D55"/>
  <c r="C266" i="58"/>
  <c r="C64"/>
  <c r="C205" i="51"/>
  <c r="P205" s="1"/>
  <c r="C334" i="58"/>
  <c r="C202" i="51"/>
  <c r="P202" s="1"/>
  <c r="C186"/>
  <c r="P186" s="1"/>
  <c r="C170"/>
  <c r="P170" s="1"/>
  <c r="C132"/>
  <c r="P132" s="1"/>
  <c r="C84"/>
  <c r="P84" s="1"/>
  <c r="C50"/>
  <c r="P50" s="1"/>
  <c r="C44"/>
  <c r="P44" s="1"/>
  <c r="C131"/>
  <c r="P131" s="1"/>
  <c r="D146"/>
  <c r="D104"/>
  <c r="D100"/>
  <c r="D36"/>
  <c r="D26"/>
  <c r="D20"/>
  <c r="D149"/>
  <c r="E204"/>
  <c r="E176"/>
  <c r="E144"/>
  <c r="E126"/>
  <c r="E118"/>
  <c r="E90"/>
  <c r="E56"/>
  <c r="E26"/>
  <c r="E25"/>
  <c r="C19" i="58"/>
  <c r="C29"/>
  <c r="C35"/>
  <c r="C53"/>
  <c r="C99"/>
  <c r="C113"/>
  <c r="C139"/>
  <c r="C153"/>
  <c r="C163"/>
  <c r="C201"/>
  <c r="C219"/>
  <c r="C245"/>
  <c r="C251"/>
  <c r="C271"/>
  <c r="C277"/>
  <c r="C291"/>
  <c r="C315"/>
  <c r="C317"/>
  <c r="C333"/>
  <c r="C371"/>
  <c r="C409"/>
  <c r="C455"/>
  <c r="C495"/>
  <c r="C268"/>
  <c r="C122"/>
  <c r="C94"/>
  <c r="D107" i="51"/>
  <c r="D167"/>
  <c r="C428" i="58"/>
  <c r="C236"/>
  <c r="C14"/>
  <c r="C424"/>
  <c r="C400"/>
  <c r="C470"/>
  <c r="C197" i="51"/>
  <c r="P197" s="1"/>
  <c r="C170" i="58"/>
  <c r="C22"/>
  <c r="D145" i="51"/>
  <c r="D193"/>
  <c r="C454" i="58"/>
  <c r="C298"/>
  <c r="C234"/>
  <c r="C128"/>
  <c r="C324"/>
  <c r="C50"/>
  <c r="E103" i="51"/>
  <c r="E91"/>
  <c r="D117"/>
  <c r="D15"/>
  <c r="D159"/>
  <c r="D25"/>
  <c r="C83"/>
  <c r="P83" s="1"/>
  <c r="C21"/>
  <c r="P21" s="1"/>
  <c r="C410" i="58"/>
  <c r="C74"/>
  <c r="E191" i="51"/>
  <c r="C100" i="58"/>
  <c r="D38" i="51"/>
  <c r="C436" i="58"/>
  <c r="C206" i="51"/>
  <c r="P206" s="1"/>
  <c r="C198"/>
  <c r="P198" s="1"/>
  <c r="C190"/>
  <c r="P190" s="1"/>
  <c r="C182"/>
  <c r="P182" s="1"/>
  <c r="C174"/>
  <c r="P174" s="1"/>
  <c r="C166"/>
  <c r="P166" s="1"/>
  <c r="C158"/>
  <c r="P158" s="1"/>
  <c r="C140"/>
  <c r="P140" s="1"/>
  <c r="C122"/>
  <c r="P122" s="1"/>
  <c r="C96"/>
  <c r="P96" s="1"/>
  <c r="C68"/>
  <c r="P68" s="1"/>
  <c r="C48"/>
  <c r="P48" s="1"/>
  <c r="C32"/>
  <c r="P32" s="1"/>
  <c r="C18"/>
  <c r="P18" s="1"/>
  <c r="C165"/>
  <c r="P165" s="1"/>
  <c r="D196"/>
  <c r="D194"/>
  <c r="D190"/>
  <c r="D188"/>
  <c r="D184"/>
  <c r="D166"/>
  <c r="D154"/>
  <c r="D96"/>
  <c r="D92"/>
  <c r="D86"/>
  <c r="D66"/>
  <c r="D58"/>
  <c r="D54"/>
  <c r="D40"/>
  <c r="D32"/>
  <c r="D14"/>
  <c r="D203"/>
  <c r="E196"/>
  <c r="E190"/>
  <c r="E180"/>
  <c r="E170"/>
  <c r="E150"/>
  <c r="E140"/>
  <c r="E122"/>
  <c r="E112"/>
  <c r="E94"/>
  <c r="E78"/>
  <c r="E68"/>
  <c r="E64"/>
  <c r="E50"/>
  <c r="E32"/>
  <c r="E18"/>
  <c r="E73"/>
  <c r="C7" i="58"/>
  <c r="C17"/>
  <c r="C21"/>
  <c r="C27"/>
  <c r="C31"/>
  <c r="C37"/>
  <c r="C43"/>
  <c r="C47"/>
  <c r="C57"/>
  <c r="C69"/>
  <c r="C87"/>
  <c r="C91"/>
  <c r="C97"/>
  <c r="C101"/>
  <c r="C107"/>
  <c r="C123"/>
  <c r="C133"/>
  <c r="C145"/>
  <c r="C149"/>
  <c r="C155"/>
  <c r="C165"/>
  <c r="C169"/>
  <c r="C171"/>
  <c r="C177"/>
  <c r="C189"/>
  <c r="C193"/>
  <c r="C197"/>
  <c r="C205"/>
  <c r="C207"/>
  <c r="C215"/>
  <c r="C227"/>
  <c r="C237"/>
  <c r="C243"/>
  <c r="C259"/>
  <c r="C275"/>
  <c r="C281"/>
  <c r="C289"/>
  <c r="C293"/>
  <c r="C307"/>
  <c r="C309"/>
  <c r="C313"/>
  <c r="C323"/>
  <c r="C335"/>
  <c r="C337"/>
  <c r="C357"/>
  <c r="C379"/>
  <c r="C401"/>
  <c r="C421"/>
  <c r="C441"/>
  <c r="C465"/>
  <c r="C481"/>
  <c r="C497"/>
  <c r="E169" i="51"/>
  <c r="C272" i="58"/>
  <c r="C264"/>
  <c r="C240"/>
  <c r="C114"/>
  <c r="C106"/>
  <c r="C90"/>
  <c r="D121" i="51"/>
  <c r="D165"/>
  <c r="D191"/>
  <c r="C460" i="58"/>
  <c r="C396"/>
  <c r="C300"/>
  <c r="C206"/>
  <c r="C78"/>
  <c r="C146"/>
  <c r="C360"/>
  <c r="C352"/>
  <c r="E55" i="51"/>
  <c r="E99"/>
  <c r="C178" i="58"/>
  <c r="C162"/>
  <c r="C66"/>
  <c r="C150"/>
  <c r="C404"/>
  <c r="D91" i="51"/>
  <c r="D67"/>
  <c r="D75"/>
  <c r="D35"/>
  <c r="D135"/>
  <c r="C422" i="58"/>
  <c r="C358"/>
  <c r="C282"/>
  <c r="C250"/>
  <c r="C466"/>
  <c r="C160"/>
  <c r="C96"/>
  <c r="C500"/>
  <c r="C34"/>
  <c r="E161" i="51"/>
  <c r="E89"/>
  <c r="E171"/>
  <c r="E123"/>
  <c r="D71"/>
  <c r="D199"/>
  <c r="D181"/>
  <c r="D51"/>
  <c r="D57"/>
  <c r="C199"/>
  <c r="P199" s="1"/>
  <c r="C12"/>
  <c r="P12" s="1"/>
  <c r="C207"/>
  <c r="P207" s="1"/>
  <c r="C65"/>
  <c r="P65" s="1"/>
  <c r="C15"/>
  <c r="P15" s="1"/>
  <c r="C346" i="58"/>
  <c r="C484"/>
  <c r="C228"/>
  <c r="C48"/>
  <c r="E79" i="51"/>
  <c r="E47"/>
  <c r="C36" i="58"/>
  <c r="C164"/>
  <c r="C270"/>
  <c r="C462"/>
  <c r="E63" i="51"/>
  <c r="E115"/>
  <c r="D11"/>
  <c r="C210"/>
  <c r="P210" s="1"/>
  <c r="C142"/>
  <c r="P142" s="1"/>
  <c r="C106"/>
  <c r="P106" s="1"/>
  <c r="C66"/>
  <c r="P66" s="1"/>
  <c r="C30"/>
  <c r="P30" s="1"/>
  <c r="C58"/>
  <c r="P58" s="1"/>
  <c r="C40"/>
  <c r="P40" s="1"/>
  <c r="C22"/>
  <c r="P22" s="1"/>
  <c r="C208"/>
  <c r="P208" s="1"/>
  <c r="C204"/>
  <c r="P204" s="1"/>
  <c r="C200"/>
  <c r="P200" s="1"/>
  <c r="C196"/>
  <c r="P196" s="1"/>
  <c r="C192"/>
  <c r="P192" s="1"/>
  <c r="C188"/>
  <c r="P188" s="1"/>
  <c r="C184"/>
  <c r="P184" s="1"/>
  <c r="C180"/>
  <c r="P180" s="1"/>
  <c r="C176"/>
  <c r="P176" s="1"/>
  <c r="C172"/>
  <c r="P172" s="1"/>
  <c r="C168"/>
  <c r="P168" s="1"/>
  <c r="C164"/>
  <c r="P164" s="1"/>
  <c r="C160"/>
  <c r="P160" s="1"/>
  <c r="D120"/>
  <c r="D136"/>
  <c r="D90"/>
  <c r="D160"/>
  <c r="D152"/>
  <c r="D186"/>
  <c r="D192"/>
  <c r="D138"/>
  <c r="D82"/>
  <c r="D48"/>
  <c r="D18"/>
  <c r="D164"/>
  <c r="D118"/>
  <c r="D60"/>
  <c r="D130"/>
  <c r="D70"/>
  <c r="D122"/>
  <c r="D168"/>
  <c r="D16"/>
  <c r="D44"/>
  <c r="D76"/>
  <c r="D134"/>
  <c r="D182"/>
  <c r="D110"/>
  <c r="D108"/>
  <c r="D62"/>
  <c r="E156"/>
  <c r="E16"/>
  <c r="E102"/>
  <c r="E152"/>
  <c r="E42"/>
  <c r="E210"/>
  <c r="E206"/>
  <c r="E200"/>
  <c r="E192"/>
  <c r="E182"/>
  <c r="E178"/>
  <c r="E174"/>
  <c r="E164"/>
  <c r="E158"/>
  <c r="E148"/>
  <c r="E142"/>
  <c r="E138"/>
  <c r="E124"/>
  <c r="E120"/>
  <c r="E116"/>
  <c r="E108"/>
  <c r="E98"/>
  <c r="E92"/>
  <c r="E84"/>
  <c r="E76"/>
  <c r="E70"/>
  <c r="E62"/>
  <c r="E54"/>
  <c r="E46"/>
  <c r="E36"/>
  <c r="E28"/>
  <c r="E22"/>
  <c r="E14"/>
  <c r="C65" i="58"/>
  <c r="C285"/>
  <c r="C159"/>
  <c r="C415"/>
  <c r="C367"/>
  <c r="C463"/>
  <c r="C265"/>
  <c r="C141"/>
  <c r="C103"/>
  <c r="C279"/>
  <c r="C59"/>
  <c r="C73"/>
  <c r="C83"/>
  <c r="C341"/>
  <c r="C353"/>
  <c r="C363"/>
  <c r="C375"/>
  <c r="C387"/>
  <c r="C395"/>
  <c r="C405"/>
  <c r="C417"/>
  <c r="C427"/>
  <c r="C437"/>
  <c r="C451"/>
  <c r="C459"/>
  <c r="C469"/>
  <c r="C477"/>
  <c r="C491"/>
  <c r="C501"/>
  <c r="C303"/>
  <c r="C239"/>
  <c r="C175"/>
  <c r="C111"/>
  <c r="C15"/>
  <c r="C125"/>
  <c r="C253"/>
  <c r="C297"/>
  <c r="C41"/>
  <c r="C195"/>
  <c r="C199"/>
  <c r="C203"/>
  <c r="C209"/>
  <c r="C213"/>
  <c r="C217"/>
  <c r="C225"/>
  <c r="C229"/>
  <c r="C235"/>
  <c r="C33"/>
  <c r="C161"/>
  <c r="C121"/>
  <c r="C249"/>
  <c r="C325"/>
  <c r="C261"/>
  <c r="C181"/>
  <c r="C187" i="51"/>
  <c r="P187" s="1"/>
  <c r="C181"/>
  <c r="P181" s="1"/>
  <c r="C153"/>
  <c r="P153" s="1"/>
  <c r="C129"/>
  <c r="P129" s="1"/>
  <c r="C123"/>
  <c r="P123" s="1"/>
  <c r="C119"/>
  <c r="P119" s="1"/>
  <c r="C111"/>
  <c r="P111" s="1"/>
  <c r="C105"/>
  <c r="P105" s="1"/>
  <c r="C103"/>
  <c r="P103" s="1"/>
  <c r="C101"/>
  <c r="P101" s="1"/>
  <c r="C87"/>
  <c r="P87" s="1"/>
  <c r="C81"/>
  <c r="P81" s="1"/>
  <c r="C43"/>
  <c r="P43" s="1"/>
  <c r="C19"/>
  <c r="P19" s="1"/>
  <c r="C13"/>
  <c r="P13" s="1"/>
  <c r="D195"/>
  <c r="D189"/>
  <c r="D183"/>
  <c r="D155"/>
  <c r="D153"/>
  <c r="D143"/>
  <c r="D141"/>
  <c r="D139"/>
  <c r="D129"/>
  <c r="D123"/>
  <c r="D115"/>
  <c r="D105"/>
  <c r="D103"/>
  <c r="D97"/>
  <c r="D95"/>
  <c r="D93"/>
  <c r="D89"/>
  <c r="D87"/>
  <c r="D85"/>
  <c r="D81"/>
  <c r="D69"/>
  <c r="D65"/>
  <c r="D61"/>
  <c r="D21"/>
  <c r="D17"/>
  <c r="D13"/>
  <c r="E183"/>
  <c r="E167"/>
  <c r="E159"/>
  <c r="E155"/>
  <c r="E145"/>
  <c r="E143"/>
  <c r="E141"/>
  <c r="E137"/>
  <c r="E131"/>
  <c r="E127"/>
  <c r="E105"/>
  <c r="E83"/>
  <c r="E77"/>
  <c r="E53"/>
  <c r="E49"/>
  <c r="E35"/>
  <c r="E31"/>
  <c r="E23"/>
  <c r="C16" i="58"/>
  <c r="C18"/>
  <c r="C42"/>
  <c r="C62"/>
  <c r="C68"/>
  <c r="C70"/>
  <c r="C80"/>
  <c r="C82"/>
  <c r="C86"/>
  <c r="C112"/>
  <c r="C126"/>
  <c r="C132"/>
  <c r="C144"/>
  <c r="C158"/>
  <c r="C166"/>
  <c r="C174"/>
  <c r="C176"/>
  <c r="C182"/>
  <c r="C186"/>
  <c r="C190"/>
  <c r="C194"/>
  <c r="C196"/>
  <c r="C208"/>
  <c r="C210"/>
  <c r="C214"/>
  <c r="C218"/>
  <c r="C220"/>
  <c r="C238"/>
  <c r="C242"/>
  <c r="C256"/>
  <c r="C258"/>
  <c r="C274"/>
  <c r="C284"/>
  <c r="C288"/>
  <c r="C290"/>
  <c r="C296"/>
  <c r="C302"/>
  <c r="C304"/>
  <c r="C314"/>
  <c r="C332"/>
  <c r="C340"/>
  <c r="C342"/>
  <c r="C348"/>
  <c r="C374"/>
  <c r="C378"/>
  <c r="C380"/>
  <c r="C388"/>
  <c r="C392"/>
  <c r="C398"/>
  <c r="C406"/>
  <c r="C412"/>
  <c r="C416"/>
  <c r="C438"/>
  <c r="C442"/>
  <c r="C444"/>
  <c r="C448"/>
  <c r="C456"/>
  <c r="C464"/>
  <c r="C468"/>
  <c r="C472"/>
  <c r="C476"/>
  <c r="C480"/>
  <c r="C496"/>
  <c r="C167" i="51"/>
  <c r="P167" s="1"/>
  <c r="C35"/>
  <c r="P35" s="1"/>
  <c r="C51"/>
  <c r="P51" s="1"/>
  <c r="C155"/>
  <c r="P155" s="1"/>
  <c r="C47"/>
  <c r="P47" s="1"/>
  <c r="C113"/>
  <c r="P113" s="1"/>
  <c r="C99"/>
  <c r="P99" s="1"/>
  <c r="C201"/>
  <c r="P201" s="1"/>
  <c r="C157"/>
  <c r="P157" s="1"/>
  <c r="C97"/>
  <c r="P97" s="1"/>
  <c r="C49"/>
  <c r="P49" s="1"/>
  <c r="C175"/>
  <c r="P175" s="1"/>
  <c r="C139"/>
  <c r="P139" s="1"/>
  <c r="C109"/>
  <c r="P109" s="1"/>
  <c r="C77"/>
  <c r="P77" s="1"/>
  <c r="C53"/>
  <c r="P53" s="1"/>
  <c r="C29"/>
  <c r="P29" s="1"/>
  <c r="C161"/>
  <c r="P161" s="1"/>
  <c r="C117"/>
  <c r="P117" s="1"/>
  <c r="C163"/>
  <c r="P163" s="1"/>
  <c r="C57"/>
  <c r="P57" s="1"/>
  <c r="C151"/>
  <c r="P151" s="1"/>
  <c r="C55"/>
  <c r="P55" s="1"/>
  <c r="C39"/>
  <c r="P39" s="1"/>
  <c r="C135"/>
  <c r="P135" s="1"/>
  <c r="C67"/>
  <c r="P67" s="1"/>
  <c r="C177"/>
  <c r="P177" s="1"/>
  <c r="C147"/>
  <c r="P147" s="1"/>
  <c r="D29"/>
  <c r="D45"/>
  <c r="D131"/>
  <c r="D171"/>
  <c r="D179"/>
  <c r="D19"/>
  <c r="D41"/>
  <c r="D37"/>
  <c r="D12"/>
  <c r="D151"/>
  <c r="D101"/>
  <c r="D99"/>
  <c r="D173"/>
  <c r="D109"/>
  <c r="D201"/>
  <c r="D161"/>
  <c r="D113"/>
  <c r="D77"/>
  <c r="D39"/>
  <c r="D197"/>
  <c r="D119"/>
  <c r="D147"/>
  <c r="D187"/>
  <c r="D27"/>
  <c r="D133"/>
  <c r="D47"/>
  <c r="D125"/>
  <c r="D33"/>
  <c r="D31"/>
  <c r="D63"/>
  <c r="D53"/>
  <c r="D43"/>
  <c r="E15"/>
  <c r="E13"/>
  <c r="E101"/>
  <c r="E157"/>
  <c r="E57"/>
  <c r="E51"/>
  <c r="E209"/>
  <c r="E199"/>
  <c r="E67"/>
  <c r="E81"/>
  <c r="E189"/>
  <c r="E21"/>
  <c r="E45"/>
  <c r="E147"/>
  <c r="E95"/>
  <c r="E41"/>
  <c r="E109"/>
  <c r="E203"/>
  <c r="E195"/>
  <c r="E27"/>
  <c r="E69"/>
  <c r="E59"/>
  <c r="E173"/>
  <c r="E111"/>
  <c r="E71"/>
  <c r="E39"/>
  <c r="E19"/>
  <c r="E129"/>
  <c r="E193"/>
  <c r="E119"/>
  <c r="C320" i="58"/>
  <c r="C248"/>
  <c r="C54"/>
  <c r="C308"/>
  <c r="C430"/>
  <c r="C366"/>
  <c r="C318"/>
  <c r="C286"/>
  <c r="C254"/>
  <c r="C222"/>
  <c r="C212"/>
  <c r="C180"/>
  <c r="C148"/>
  <c r="C116"/>
  <c r="C84"/>
  <c r="C52"/>
  <c r="C20"/>
  <c r="C474"/>
  <c r="C32"/>
  <c r="C306"/>
  <c r="C330"/>
  <c r="C432"/>
  <c r="C408"/>
  <c r="C98"/>
  <c r="C134"/>
  <c r="C292"/>
  <c r="C452"/>
  <c r="C458"/>
  <c r="C426"/>
  <c r="C394"/>
  <c r="C362"/>
  <c r="C30"/>
  <c r="C38"/>
  <c r="C46"/>
  <c r="C58"/>
  <c r="C316"/>
  <c r="C328"/>
  <c r="C336"/>
  <c r="C8"/>
  <c r="C24"/>
  <c r="C72"/>
  <c r="C88"/>
  <c r="C104"/>
  <c r="C120"/>
  <c r="C136"/>
  <c r="C152"/>
  <c r="C168"/>
  <c r="C184"/>
  <c r="C200"/>
  <c r="C216"/>
  <c r="C486"/>
  <c r="C226"/>
  <c r="C150" i="51"/>
  <c r="P150" s="1"/>
  <c r="C130"/>
  <c r="P130" s="1"/>
  <c r="C114"/>
  <c r="P114" s="1"/>
  <c r="C98"/>
  <c r="P98" s="1"/>
  <c r="C76"/>
  <c r="P76" s="1"/>
  <c r="C64"/>
  <c r="P64" s="1"/>
  <c r="C56"/>
  <c r="P56" s="1"/>
  <c r="C54"/>
  <c r="P54" s="1"/>
  <c r="C46"/>
  <c r="P46" s="1"/>
  <c r="C38"/>
  <c r="P38" s="1"/>
  <c r="C36"/>
  <c r="P36" s="1"/>
  <c r="C26"/>
  <c r="P26" s="1"/>
  <c r="C20"/>
  <c r="P20" s="1"/>
  <c r="C16"/>
  <c r="P16" s="1"/>
  <c r="D206"/>
  <c r="D204"/>
  <c r="D202"/>
  <c r="D200"/>
  <c r="D180"/>
  <c r="D178"/>
  <c r="D176"/>
  <c r="D172"/>
  <c r="D170"/>
  <c r="D158"/>
  <c r="D156"/>
  <c r="D150"/>
  <c r="D148"/>
  <c r="D142"/>
  <c r="D132"/>
  <c r="D128"/>
  <c r="D126"/>
  <c r="D124"/>
  <c r="D116"/>
  <c r="D102"/>
  <c r="D98"/>
  <c r="D84"/>
  <c r="D80"/>
  <c r="D78"/>
  <c r="D74"/>
  <c r="D72"/>
  <c r="D68"/>
  <c r="D64"/>
  <c r="D52"/>
  <c r="D42"/>
  <c r="D24"/>
  <c r="E202"/>
  <c r="E194"/>
  <c r="E186"/>
  <c r="E154"/>
  <c r="E132"/>
  <c r="E110"/>
  <c r="E74"/>
  <c r="E66"/>
  <c r="E48"/>
  <c r="E40"/>
  <c r="E24"/>
  <c r="C9" i="58"/>
  <c r="C39"/>
  <c r="C45"/>
  <c r="C61"/>
  <c r="C67"/>
  <c r="C71"/>
  <c r="C75"/>
  <c r="C81"/>
  <c r="C85"/>
  <c r="C89"/>
  <c r="C95"/>
  <c r="C129"/>
  <c r="C135"/>
  <c r="C157"/>
  <c r="C223"/>
  <c r="C233"/>
  <c r="C247"/>
  <c r="C269"/>
  <c r="C311"/>
  <c r="C339"/>
  <c r="C343"/>
  <c r="C347"/>
  <c r="C351"/>
  <c r="C355"/>
  <c r="C359"/>
  <c r="C365"/>
  <c r="C373"/>
  <c r="C377"/>
  <c r="C381"/>
  <c r="C385"/>
  <c r="C389"/>
  <c r="C393"/>
  <c r="C397"/>
  <c r="C403"/>
  <c r="C407"/>
  <c r="C411"/>
  <c r="C413"/>
  <c r="C419"/>
  <c r="C423"/>
  <c r="C429"/>
  <c r="C435"/>
  <c r="C439"/>
  <c r="C443"/>
  <c r="C445"/>
  <c r="C453"/>
  <c r="C457"/>
  <c r="C461"/>
  <c r="C467"/>
  <c r="C471"/>
  <c r="C475"/>
  <c r="C479"/>
  <c r="C487"/>
  <c r="C489"/>
  <c r="C493"/>
  <c r="C499"/>
  <c r="C503"/>
  <c r="C69" i="51"/>
  <c r="P69" s="1"/>
  <c r="C209"/>
  <c r="P209" s="1"/>
  <c r="D209"/>
  <c r="E207"/>
  <c r="E17"/>
  <c r="C11"/>
  <c r="C60"/>
  <c r="P60" s="1"/>
  <c r="C88"/>
  <c r="P88" s="1"/>
  <c r="C154"/>
  <c r="P154" s="1"/>
  <c r="C146"/>
  <c r="P146" s="1"/>
  <c r="C136"/>
  <c r="P136" s="1"/>
  <c r="C126"/>
  <c r="P126" s="1"/>
  <c r="C118"/>
  <c r="P118" s="1"/>
  <c r="C110"/>
  <c r="P110" s="1"/>
  <c r="C102"/>
  <c r="P102" s="1"/>
  <c r="C90"/>
  <c r="P90" s="1"/>
  <c r="C80"/>
  <c r="P80" s="1"/>
  <c r="C72"/>
  <c r="P72" s="1"/>
  <c r="C62"/>
  <c r="P62" s="1"/>
  <c r="C52"/>
  <c r="P52" s="1"/>
  <c r="C42"/>
  <c r="P42" s="1"/>
  <c r="C34"/>
  <c r="P34" s="1"/>
  <c r="C24"/>
  <c r="P24" s="1"/>
  <c r="C156"/>
  <c r="P156" s="1"/>
  <c r="C152"/>
  <c r="P152" s="1"/>
  <c r="C148"/>
  <c r="P148" s="1"/>
  <c r="C144"/>
  <c r="P144" s="1"/>
  <c r="C138"/>
  <c r="P138" s="1"/>
  <c r="C134"/>
  <c r="P134" s="1"/>
  <c r="C128"/>
  <c r="P128" s="1"/>
  <c r="C124"/>
  <c r="P124" s="1"/>
  <c r="C120"/>
  <c r="P120" s="1"/>
  <c r="C116"/>
  <c r="P116" s="1"/>
  <c r="C112"/>
  <c r="P112" s="1"/>
  <c r="C108"/>
  <c r="P108" s="1"/>
  <c r="C104"/>
  <c r="P104" s="1"/>
  <c r="C100"/>
  <c r="P100" s="1"/>
  <c r="C94"/>
  <c r="P94" s="1"/>
  <c r="C86"/>
  <c r="P86" s="1"/>
  <c r="C82"/>
  <c r="P82" s="1"/>
  <c r="C78"/>
  <c r="P78" s="1"/>
  <c r="C74"/>
  <c r="P74" s="1"/>
  <c r="C70"/>
  <c r="P70" s="1"/>
  <c r="D28"/>
  <c r="D174"/>
  <c r="D198"/>
  <c r="D144"/>
  <c r="D88"/>
  <c r="D50"/>
  <c r="D22"/>
  <c r="D162"/>
  <c r="D106"/>
  <c r="D56"/>
  <c r="D210"/>
  <c r="E97"/>
  <c r="E201"/>
  <c r="E175"/>
  <c r="E139"/>
  <c r="E165"/>
  <c r="E61"/>
  <c r="E197"/>
  <c r="E37"/>
  <c r="E149"/>
  <c r="E187"/>
  <c r="E125"/>
  <c r="E75"/>
  <c r="E43"/>
  <c r="E179"/>
  <c r="E113"/>
  <c r="E177"/>
  <c r="E151"/>
  <c r="E135"/>
  <c r="E185"/>
  <c r="E121"/>
  <c r="E12"/>
  <c r="E11"/>
  <c r="E33"/>
  <c r="E65"/>
  <c r="E107"/>
  <c r="E163"/>
  <c r="E117"/>
  <c r="E85"/>
  <c r="E87"/>
  <c r="E133"/>
  <c r="E93"/>
  <c r="C138" i="58"/>
  <c r="C368"/>
  <c r="C376"/>
  <c r="C130"/>
  <c r="C118"/>
  <c r="C244"/>
  <c r="C372"/>
  <c r="C490"/>
  <c r="C446"/>
  <c r="C414"/>
  <c r="C382"/>
  <c r="C350"/>
  <c r="C326"/>
  <c r="C310"/>
  <c r="C294"/>
  <c r="C278"/>
  <c r="C262"/>
  <c r="C246"/>
  <c r="C230"/>
  <c r="C498"/>
  <c r="C4"/>
  <c r="C204"/>
  <c r="C188"/>
  <c r="C172"/>
  <c r="C156"/>
  <c r="C140"/>
  <c r="C124"/>
  <c r="C108"/>
  <c r="C92"/>
  <c r="C76"/>
  <c r="C60"/>
  <c r="C44"/>
  <c r="C28"/>
  <c r="C12"/>
  <c r="C492"/>
  <c r="C40"/>
  <c r="C56"/>
  <c r="C312"/>
  <c r="C322"/>
  <c r="C26"/>
  <c r="C202"/>
  <c r="C384"/>
  <c r="C344"/>
  <c r="C494"/>
  <c r="C6"/>
  <c r="C102"/>
  <c r="C198"/>
  <c r="C260"/>
  <c r="C356"/>
  <c r="C420"/>
  <c r="C482"/>
  <c r="C488"/>
  <c r="C450"/>
  <c r="C434"/>
  <c r="C418"/>
  <c r="C402"/>
  <c r="C386"/>
  <c r="C370"/>
  <c r="C354"/>
  <c r="C338"/>
  <c r="C195" i="51"/>
  <c r="P195" s="1"/>
  <c r="C193"/>
  <c r="P193" s="1"/>
  <c r="C191"/>
  <c r="P191" s="1"/>
  <c r="C189"/>
  <c r="P189" s="1"/>
  <c r="C185"/>
  <c r="P185" s="1"/>
  <c r="C183"/>
  <c r="P183" s="1"/>
  <c r="C179"/>
  <c r="P179" s="1"/>
  <c r="C173"/>
  <c r="P173" s="1"/>
  <c r="C171"/>
  <c r="P171" s="1"/>
  <c r="C169"/>
  <c r="P169" s="1"/>
  <c r="C159"/>
  <c r="P159" s="1"/>
  <c r="C149"/>
  <c r="P149" s="1"/>
  <c r="C145"/>
  <c r="P145" s="1"/>
  <c r="C143"/>
  <c r="P143" s="1"/>
  <c r="C141"/>
  <c r="P141" s="1"/>
  <c r="C137"/>
  <c r="P137" s="1"/>
  <c r="C133"/>
  <c r="P133" s="1"/>
  <c r="C127"/>
  <c r="P127" s="1"/>
  <c r="C121"/>
  <c r="P121" s="1"/>
  <c r="C115"/>
  <c r="P115" s="1"/>
  <c r="C107"/>
  <c r="P107" s="1"/>
  <c r="C95"/>
  <c r="P95" s="1"/>
  <c r="C93"/>
  <c r="P93" s="1"/>
  <c r="C91"/>
  <c r="P91" s="1"/>
  <c r="C89"/>
  <c r="P89" s="1"/>
  <c r="C85"/>
  <c r="P85" s="1"/>
  <c r="C79"/>
  <c r="P79" s="1"/>
  <c r="C75"/>
  <c r="P75" s="1"/>
  <c r="C73"/>
  <c r="P73" s="1"/>
  <c r="C71"/>
  <c r="P71" s="1"/>
  <c r="C63"/>
  <c r="P63" s="1"/>
  <c r="C61"/>
  <c r="P61" s="1"/>
  <c r="C59"/>
  <c r="P59" s="1"/>
  <c r="C45"/>
  <c r="P45" s="1"/>
  <c r="C41"/>
  <c r="P41" s="1"/>
  <c r="C37"/>
  <c r="P37" s="1"/>
  <c r="C31"/>
  <c r="P31" s="1"/>
  <c r="C27"/>
  <c r="P27" s="1"/>
  <c r="C25"/>
  <c r="P25" s="1"/>
  <c r="C23"/>
  <c r="P23" s="1"/>
  <c r="C17"/>
  <c r="P17" s="1"/>
  <c r="D207"/>
  <c r="D185"/>
  <c r="D169"/>
  <c r="D127"/>
  <c r="D111"/>
  <c r="D83"/>
  <c r="D79"/>
  <c r="D73"/>
  <c r="D59"/>
  <c r="D49"/>
  <c r="E198"/>
  <c r="E184"/>
  <c r="E172"/>
  <c r="E168"/>
  <c r="E166"/>
  <c r="E160"/>
  <c r="E146"/>
  <c r="E136"/>
  <c r="E134"/>
  <c r="E128"/>
  <c r="E114"/>
  <c r="E104"/>
  <c r="E96"/>
  <c r="E88"/>
  <c r="E86"/>
  <c r="E82"/>
  <c r="E80"/>
  <c r="E60"/>
  <c r="E58"/>
  <c r="E52"/>
  <c r="E44"/>
  <c r="E34"/>
  <c r="E30"/>
  <c r="E20"/>
  <c r="C13" i="58"/>
  <c r="C23"/>
  <c r="C49"/>
  <c r="C55"/>
  <c r="C63"/>
  <c r="C79"/>
  <c r="C93"/>
  <c r="C105"/>
  <c r="C109"/>
  <c r="C119"/>
  <c r="C127"/>
  <c r="C137"/>
  <c r="C151"/>
  <c r="C173"/>
  <c r="C183"/>
  <c r="C191"/>
  <c r="C221"/>
  <c r="C255"/>
  <c r="C257"/>
  <c r="C263"/>
  <c r="C295"/>
  <c r="C301"/>
  <c r="C305"/>
  <c r="C319"/>
  <c r="C321"/>
  <c r="C327"/>
  <c r="C329"/>
  <c r="C349"/>
  <c r="C361"/>
  <c r="C369"/>
  <c r="C383"/>
  <c r="C399"/>
  <c r="C431"/>
  <c r="C447"/>
  <c r="C449"/>
  <c r="C483"/>
  <c r="C485"/>
  <c r="D17" i="60" l="1" a="1"/>
  <c r="D17" s="1"/>
  <c r="C17" s="1"/>
  <c r="I11" i="51"/>
  <c r="F6" i="58"/>
  <c r="J11" i="51"/>
  <c r="J14"/>
  <c r="J16" s="1"/>
  <c r="J17" s="1"/>
  <c r="J12"/>
  <c r="J13" s="1" a="1"/>
  <c r="J13" s="1"/>
  <c r="I14"/>
  <c r="I16" s="1"/>
  <c r="I12"/>
  <c r="I13" s="1" a="1"/>
  <c r="I13" s="1"/>
  <c r="P11"/>
  <c r="H16" s="1"/>
  <c r="H12"/>
  <c r="H14"/>
  <c r="H13"/>
  <c r="H11"/>
  <c r="F5" i="58"/>
  <c r="F4"/>
  <c r="F7"/>
  <c r="B74" i="60" l="1"/>
  <c r="B31"/>
  <c r="B35"/>
  <c r="B39"/>
  <c r="B43"/>
  <c r="B47"/>
  <c r="B51"/>
  <c r="B55"/>
  <c r="B59"/>
  <c r="B63"/>
  <c r="B67"/>
  <c r="B71"/>
  <c r="B75"/>
  <c r="B24"/>
  <c r="B30"/>
  <c r="B34"/>
  <c r="B38"/>
  <c r="B42"/>
  <c r="B46"/>
  <c r="B50"/>
  <c r="B54"/>
  <c r="B58"/>
  <c r="B66"/>
  <c r="B33"/>
  <c r="B37"/>
  <c r="B41"/>
  <c r="B45"/>
  <c r="B49"/>
  <c r="B53"/>
  <c r="B57"/>
  <c r="B61"/>
  <c r="B65"/>
  <c r="B69"/>
  <c r="B73"/>
  <c r="B23"/>
  <c r="B25"/>
  <c r="B32"/>
  <c r="B36"/>
  <c r="B40"/>
  <c r="B44"/>
  <c r="B48"/>
  <c r="B52"/>
  <c r="B56"/>
  <c r="B60"/>
  <c r="B64"/>
  <c r="B68"/>
  <c r="B72"/>
  <c r="B62"/>
  <c r="B70"/>
  <c r="F8" i="58"/>
  <c r="F11" s="1"/>
  <c r="H15" i="51"/>
  <c r="H21" s="1"/>
  <c r="I15"/>
  <c r="J15"/>
  <c r="I17"/>
  <c r="I18"/>
  <c r="I19" l="1"/>
  <c r="I20" s="1"/>
  <c r="H20"/>
  <c r="F12" i="58"/>
  <c r="I21" i="51" l="1"/>
</calcChain>
</file>

<file path=xl/comments1.xml><?xml version="1.0" encoding="utf-8"?>
<comments xmlns="http://schemas.openxmlformats.org/spreadsheetml/2006/main">
  <authors>
    <author>A satisfied Microsoft Office user</author>
  </authors>
  <commentList>
    <comment ref="F3" authorId="0">
      <text>
        <r>
          <rPr>
            <sz val="8"/>
            <color indexed="81"/>
            <rFont val="Tahoma"/>
            <family val="2"/>
          </rPr>
          <t xml:space="preserve">Meaning of 5-point scale:
1 - strong disagree
2 - disagree
3 - neutral
4 - agree
5 - strongly agree
</t>
        </r>
      </text>
    </comment>
  </commentList>
</comments>
</file>

<file path=xl/comments2.xml><?xml version="1.0" encoding="utf-8"?>
<comments xmlns="http://schemas.openxmlformats.org/spreadsheetml/2006/main">
  <authors>
    <author>Alois Geyer</author>
  </authors>
  <commentList>
    <comment ref="H3" authorId="0">
      <text>
        <r>
          <rPr>
            <sz val="10"/>
            <color indexed="81"/>
            <rFont val="Tahoma"/>
            <family val="2"/>
          </rPr>
          <t>In the average of averages the mean of each country has the same weight, no matter how many years have been used to compute a country's average in a specific category.</t>
        </r>
      </text>
    </comment>
    <comment ref="H28" authorId="0">
      <text>
        <r>
          <rPr>
            <sz val="10"/>
            <color indexed="81"/>
            <rFont val="Tahoma"/>
            <family val="2"/>
          </rPr>
          <t>Each year and each country has the same weight.</t>
        </r>
      </text>
    </comment>
  </commentList>
</comments>
</file>

<file path=xl/comments3.xml><?xml version="1.0" encoding="utf-8"?>
<comments xmlns="http://schemas.openxmlformats.org/spreadsheetml/2006/main">
  <authors>
    <author>Alois Geyer</author>
  </authors>
  <commentList>
    <comment ref="A1" authorId="0">
      <text>
        <r>
          <rPr>
            <sz val="8"/>
            <color indexed="81"/>
            <rFont val="Tahoma"/>
            <family val="2"/>
          </rPr>
          <t>Die Daten stammen aus Bortz/Döring S.413</t>
        </r>
      </text>
    </comment>
  </commentList>
</comments>
</file>

<file path=xl/comments4.xml><?xml version="1.0" encoding="utf-8"?>
<comments xmlns="http://schemas.openxmlformats.org/spreadsheetml/2006/main">
  <authors>
    <author>Alois Geyer</author>
  </authors>
  <commentList>
    <comment ref="A40" authorId="0">
      <text>
        <r>
          <rPr>
            <sz val="8"/>
            <color indexed="81"/>
            <rFont val="Tahoma"/>
            <family val="2"/>
          </rPr>
          <t>Bestimmtheitsmaß R²</t>
        </r>
      </text>
    </comment>
    <comment ref="B40" authorId="0">
      <text>
        <r>
          <rPr>
            <sz val="8"/>
            <color indexed="81"/>
            <rFont val="Tahoma"/>
            <family val="2"/>
          </rPr>
          <t>Standardfehler (der Regression)</t>
        </r>
      </text>
    </comment>
  </commentList>
</comments>
</file>

<file path=xl/comments5.xml><?xml version="1.0" encoding="utf-8"?>
<comments xmlns="http://schemas.openxmlformats.org/spreadsheetml/2006/main">
  <authors>
    <author>Alois Geyer</author>
  </authors>
  <commentList>
    <comment ref="A22" authorId="0">
      <text>
        <r>
          <rPr>
            <sz val="8"/>
            <color indexed="81"/>
            <rFont val="Tahoma"/>
            <family val="2"/>
          </rPr>
          <t xml:space="preserve">Time proceeds from left to right. This means that branches leading into a node (from the left) have already occurred. Any branches leading out of a node (to the right) have not yet occurred. Branches leading out of a decision node represent the possible decisions; the decision maker can choose the preferred branch. Branches leading out of probability nodes represent the possible outcomes of uncertain events; the decision maker has no control over which of these will occur.  
Probabilities are listed on probability branches. These probabilities are conditional on the events that have already been observed (those to the left). Also, the probabilities on branches leading out of any particular probability node must sum to 1. Individual monetary values are shown on the branches where they occur, and cumulative monetary values are shown to the right of the end nodes. (Two values are often found to the right of each node: the top one is the probability of getting to that end node, and the bottom one is the associated monetary value).  
</t>
        </r>
      </text>
    </comment>
  </commentList>
</comments>
</file>

<file path=xl/sharedStrings.xml><?xml version="1.0" encoding="utf-8"?>
<sst xmlns="http://schemas.openxmlformats.org/spreadsheetml/2006/main" count="3388" uniqueCount="564">
  <si>
    <t>Shoe sizes purchased (for men)</t>
  </si>
  <si>
    <t>Shoesize</t>
  </si>
  <si>
    <t>Diameters from two suppliers</t>
  </si>
  <si>
    <t>Data</t>
  </si>
  <si>
    <t>Supplier1</t>
  </si>
  <si>
    <t>Supplier2</t>
  </si>
  <si>
    <t>*</t>
  </si>
  <si>
    <t>Times between arrivals at a bank</t>
  </si>
  <si>
    <t>Personnel Accept/Reject Example</t>
  </si>
  <si>
    <t>Mean of test scores</t>
  </si>
  <si>
    <t>Stdev of test scores</t>
  </si>
  <si>
    <t>Current Policy</t>
  </si>
  <si>
    <t>Automatic accept point</t>
  </si>
  <si>
    <t>Automatic reject point</t>
  </si>
  <si>
    <t>Percent accepted</t>
  </si>
  <si>
    <t>Percent rejected</t>
  </si>
  <si>
    <t>New Policy</t>
  </si>
  <si>
    <t>Mean</t>
  </si>
  <si>
    <t>by S. Christian Albright, Wayne L. Winston, and Christopher Zappe</t>
  </si>
  <si>
    <t>Median</t>
  </si>
  <si>
    <t>Kurtosis</t>
  </si>
  <si>
    <t>Minimum</t>
  </si>
  <si>
    <t>Maximum</t>
  </si>
  <si>
    <t>mode:</t>
  </si>
  <si>
    <t>absolute
frequency</t>
  </si>
  <si>
    <t>relative
frequency</t>
  </si>
  <si>
    <t>normal</t>
  </si>
  <si>
    <t>category
(until)</t>
  </si>
  <si>
    <t>mean</t>
  </si>
  <si>
    <t>median</t>
  </si>
  <si>
    <t>a</t>
  </si>
  <si>
    <t>skewness</t>
  </si>
  <si>
    <t>kurtosis</t>
  </si>
  <si>
    <t>standard deviation</t>
  </si>
  <si>
    <t>summary measures of return</t>
  </si>
  <si>
    <t>more than 3 std.dev's below mean</t>
  </si>
  <si>
    <t>between 2 and 3 std.dev's below mean</t>
  </si>
  <si>
    <t>between 1 and 2 std.dev's below mean</t>
  </si>
  <si>
    <t>between mean and 1 std.dev below mean</t>
  </si>
  <si>
    <t>between mean and 1 std.dev above mean</t>
  </si>
  <si>
    <t>between 1 and 2 std.dev's above mean</t>
  </si>
  <si>
    <t>more than 3 std.dev's above mean</t>
  </si>
  <si>
    <t>ISBN 0-534-38931-7</t>
  </si>
  <si>
    <t>Copyright 2002 Wadsworth Group</t>
  </si>
  <si>
    <t>rule of thumb</t>
  </si>
  <si>
    <t>2. within two std.dev's around the mean</t>
  </si>
  <si>
    <t>1. within one std.dev around the mean</t>
  </si>
  <si>
    <t>actual</t>
  </si>
  <si>
    <t>and greater</t>
  </si>
  <si>
    <t>interval</t>
  </si>
  <si>
    <r>
      <t>a</t>
    </r>
    <r>
      <rPr>
        <sz val="10"/>
        <rFont val="Arial"/>
        <family val="2"/>
      </rPr>
      <t>/2-quantile</t>
    </r>
  </si>
  <si>
    <t>lower bound</t>
  </si>
  <si>
    <t>upper bound</t>
  </si>
  <si>
    <t>Probabilities</t>
  </si>
  <si>
    <t>x</t>
  </si>
  <si>
    <t>std.dev</t>
  </si>
  <si>
    <t>sum</t>
  </si>
  <si>
    <t>covariance</t>
  </si>
  <si>
    <t>correlation</t>
  </si>
  <si>
    <t>Schnittpunkt</t>
  </si>
  <si>
    <t>standard
deviation</t>
  </si>
  <si>
    <t>Summary Statistics</t>
  </si>
  <si>
    <t>Mode</t>
  </si>
  <si>
    <t>Standard Deviation</t>
  </si>
  <si>
    <t>Sample Variance</t>
  </si>
  <si>
    <t>Skewness</t>
  </si>
  <si>
    <t>Range</t>
  </si>
  <si>
    <t>Sum</t>
  </si>
  <si>
    <t>Number of Observations</t>
  </si>
  <si>
    <t>Standard Error</t>
  </si>
  <si>
    <t>summary measures</t>
  </si>
  <si>
    <t>3. within three std.dev's around the mean</t>
  </si>
  <si>
    <t>Interarrival
Time (minutes)</t>
  </si>
  <si>
    <t>MITTELWERT</t>
  </si>
  <si>
    <t>BINOMVERT</t>
  </si>
  <si>
    <t>KORREL</t>
  </si>
  <si>
    <t>ANZAHL</t>
  </si>
  <si>
    <t>HÄUFIGKEIT</t>
  </si>
  <si>
    <t>KURT</t>
  </si>
  <si>
    <t>MODALWERT</t>
  </si>
  <si>
    <t>QUANTIL</t>
  </si>
  <si>
    <t>SCHIEFE</t>
  </si>
  <si>
    <t>STABW</t>
  </si>
  <si>
    <t>Analyse-Funktionen</t>
  </si>
  <si>
    <t>Statistische Kenngrößen</t>
  </si>
  <si>
    <t>Populationskenngrößen</t>
  </si>
  <si>
    <t>AVERAGE</t>
  </si>
  <si>
    <t>BINOMDIST</t>
  </si>
  <si>
    <t>CORREL</t>
  </si>
  <si>
    <t>COUNT</t>
  </si>
  <si>
    <t>FREQUENCY</t>
  </si>
  <si>
    <t>MODE</t>
  </si>
  <si>
    <t>PERCENTILE</t>
  </si>
  <si>
    <t>SKEW</t>
  </si>
  <si>
    <t>STDEV</t>
  </si>
  <si>
    <t>VAR</t>
  </si>
  <si>
    <t>Tools</t>
  </si>
  <si>
    <t>Extras</t>
  </si>
  <si>
    <t>Data analysis</t>
  </si>
  <si>
    <t>Descriptive statistics</t>
  </si>
  <si>
    <t>Beschriftungen</t>
  </si>
  <si>
    <t>Labels</t>
  </si>
  <si>
    <t>VARIANZ</t>
  </si>
  <si>
    <t>Klassenbereich</t>
  </si>
  <si>
    <t>Bin Range</t>
  </si>
  <si>
    <t>Coefficient of determination R²</t>
  </si>
  <si>
    <t>Bestimmtheitsmass</t>
  </si>
  <si>
    <t>Intercept</t>
  </si>
  <si>
    <t>std.dev.</t>
  </si>
  <si>
    <r>
      <t>a-</t>
    </r>
    <r>
      <rPr>
        <sz val="10"/>
        <rFont val="Arial"/>
        <family val="2"/>
      </rPr>
      <t>quantile</t>
    </r>
  </si>
  <si>
    <r>
      <t xml:space="preserve">f(at </t>
    </r>
    <r>
      <rPr>
        <sz val="10"/>
        <rFont val="Symbol"/>
        <family val="1"/>
        <charset val="2"/>
      </rPr>
      <t>a</t>
    </r>
    <r>
      <rPr>
        <sz val="10"/>
        <rFont val="Arial"/>
        <family val="2"/>
      </rPr>
      <t>-quantile)</t>
    </r>
  </si>
  <si>
    <t>DAX Index and returns 1/86-12/96</t>
  </si>
  <si>
    <t>date</t>
  </si>
  <si>
    <t>index</t>
  </si>
  <si>
    <t>return</t>
  </si>
  <si>
    <t>rules of tumb</t>
  </si>
  <si>
    <t>quantile</t>
  </si>
  <si>
    <t>value</t>
  </si>
  <si>
    <t>y*</t>
  </si>
  <si>
    <t>P (%)</t>
  </si>
  <si>
    <t>z*</t>
  </si>
  <si>
    <t>P</t>
  </si>
  <si>
    <t>Quantiles</t>
  </si>
  <si>
    <t xml:space="preserve">standard normal </t>
  </si>
  <si>
    <t>normal random variable with</t>
  </si>
  <si>
    <t>Intervals</t>
  </si>
  <si>
    <t>lower limit</t>
  </si>
  <si>
    <t>upper limit</t>
  </si>
  <si>
    <t>standard-ized
value (z)</t>
  </si>
  <si>
    <t>probability
for a value less than z</t>
  </si>
  <si>
    <t>probability
for a value greater than z</t>
  </si>
  <si>
    <t>probability P for a value less than y*</t>
  </si>
  <si>
    <t>from</t>
  </si>
  <si>
    <t>to</t>
  </si>
  <si>
    <t>probability P for values within an interval around the mean</t>
  </si>
  <si>
    <t>between 2 and 3 std.dev's above mean</t>
  </si>
  <si>
    <t>empirical quantile</t>
  </si>
  <si>
    <t>normal quantile</t>
  </si>
  <si>
    <t>times the std. dev.</t>
  </si>
  <si>
    <t>NORMVERT</t>
  </si>
  <si>
    <t>NORMDIST</t>
  </si>
  <si>
    <t>STANDNORMVERT</t>
  </si>
  <si>
    <t>NORMSDIST</t>
  </si>
  <si>
    <t>STANDNORMINV</t>
  </si>
  <si>
    <t>NORMSINV</t>
  </si>
  <si>
    <t>The title of the third edition is "Data Analysis and Decision Making".</t>
  </si>
  <si>
    <t>m</t>
  </si>
  <si>
    <t>s</t>
  </si>
  <si>
    <t>min</t>
  </si>
  <si>
    <t>max</t>
  </si>
  <si>
    <t>Laplace</t>
  </si>
  <si>
    <t>m-s</t>
  </si>
  <si>
    <t>l</t>
  </si>
  <si>
    <t>p(Z)</t>
  </si>
  <si>
    <t>wealth</t>
  </si>
  <si>
    <t>p.m.</t>
  </si>
  <si>
    <t>p.d.</t>
  </si>
  <si>
    <t>VaR</t>
  </si>
  <si>
    <t>ATX</t>
  </si>
  <si>
    <t>price BA</t>
  </si>
  <si>
    <t>ATX returns</t>
  </si>
  <si>
    <t>BA returns</t>
  </si>
  <si>
    <t>NEWDEC's marketing strategy</t>
  </si>
  <si>
    <t>Payoff matrix</t>
  </si>
  <si>
    <t xml:space="preserve">high </t>
  </si>
  <si>
    <t>medium</t>
  </si>
  <si>
    <t>low</t>
  </si>
  <si>
    <t>p(state)</t>
  </si>
  <si>
    <t>basic</t>
  </si>
  <si>
    <t>strategies</t>
  </si>
  <si>
    <t>aggressive</t>
  </si>
  <si>
    <t>cautious</t>
  </si>
  <si>
    <t>optimal decision</t>
  </si>
  <si>
    <t>maximin</t>
  </si>
  <si>
    <t>maximax</t>
  </si>
  <si>
    <t>expected value</t>
  </si>
  <si>
    <t>Decision tree</t>
  </si>
  <si>
    <t>strategy</t>
  </si>
  <si>
    <t>high</t>
  </si>
  <si>
    <t>state</t>
  </si>
  <si>
    <t>payoff</t>
  </si>
  <si>
    <t>states&gt;</t>
  </si>
  <si>
    <t>Value-at-Risk</t>
  </si>
  <si>
    <t>CAPM</t>
  </si>
  <si>
    <t>Criterion</t>
  </si>
  <si>
    <t>Airline Overbooking Problem</t>
  </si>
  <si>
    <t>Number of seats</t>
  </si>
  <si>
    <t>Probability of no-show</t>
  </si>
  <si>
    <t>Number of tickets issued</t>
  </si>
  <si>
    <t>More than 205 show up</t>
  </si>
  <si>
    <t>More than 200 show up</t>
  </si>
  <si>
    <t>At least 195 seats filled</t>
  </si>
  <si>
    <t>At least 190 seats filled</t>
  </si>
  <si>
    <t>Data table showing sensitivity of probabilities to number of tickets issued</t>
  </si>
  <si>
    <t>http://support.microsoft.com/kb/500972/de</t>
  </si>
  <si>
    <t>+∞</t>
  </si>
  <si>
    <t>more</t>
  </si>
  <si>
    <r>
      <t>−</t>
    </r>
    <r>
      <rPr>
        <sz val="10"/>
        <rFont val="Arial"/>
        <family val="2"/>
      </rPr>
      <t>∞</t>
    </r>
  </si>
  <si>
    <r>
      <t>z</t>
    </r>
    <r>
      <rPr>
        <vertAlign val="subscript"/>
        <sz val="10"/>
        <rFont val="Symbol"/>
        <family val="1"/>
        <charset val="2"/>
      </rPr>
      <t>a</t>
    </r>
  </si>
  <si>
    <r>
      <t>n</t>
    </r>
    <r>
      <rPr>
        <vertAlign val="subscript"/>
        <sz val="10"/>
        <rFont val="Arial"/>
        <family val="2"/>
      </rPr>
      <t>j</t>
    </r>
    <r>
      <rPr>
        <sz val="10"/>
        <rFont val="Arial"/>
        <family val="2"/>
      </rPr>
      <t>·w</t>
    </r>
    <r>
      <rPr>
        <vertAlign val="subscript"/>
        <sz val="10"/>
        <rFont val="Arial"/>
        <family val="2"/>
      </rPr>
      <t>j</t>
    </r>
  </si>
  <si>
    <t>Random sampling</t>
  </si>
  <si>
    <t>Stratified sampling</t>
  </si>
  <si>
    <t>Clustered sampling</t>
  </si>
  <si>
    <t>pages</t>
  </si>
  <si>
    <t>random #</t>
  </si>
  <si>
    <t>sample size n=</t>
  </si>
  <si>
    <t>variance</t>
  </si>
  <si>
    <t>std.error</t>
  </si>
  <si>
    <t>95%-CI (lower bound)</t>
  </si>
  <si>
    <t>95%-CI (upper bound)</t>
  </si>
  <si>
    <t>type</t>
  </si>
  <si>
    <t>cases</t>
  </si>
  <si>
    <t>stratified mean</t>
  </si>
  <si>
    <t>stratified std.error</t>
  </si>
  <si>
    <t>random</t>
  </si>
  <si>
    <t>stratified k=2</t>
  </si>
  <si>
    <t>Number of theses in the sample</t>
  </si>
  <si>
    <t>coeff.of.var.</t>
  </si>
  <si>
    <t>number of
theses</t>
  </si>
  <si>
    <t>mean page
number</t>
  </si>
  <si>
    <t>weighted sq. mean dev.</t>
  </si>
  <si>
    <t>exact
formula</t>
  </si>
  <si>
    <t>Number of supervisors in the sample</t>
  </si>
  <si>
    <t>Total number of supervisors (population)</t>
  </si>
  <si>
    <t>supervisor</t>
  </si>
  <si>
    <t>P[D&lt;x]</t>
  </si>
  <si>
    <t>Project duration</t>
  </si>
  <si>
    <t>historical data on the duration of single tasks (in weeks)</t>
  </si>
  <si>
    <t>task 1</t>
  </si>
  <si>
    <t>task 2</t>
  </si>
  <si>
    <t>task 3</t>
  </si>
  <si>
    <t>task 4</t>
  </si>
  <si>
    <t>task 5</t>
  </si>
  <si>
    <t>task 6</t>
  </si>
  <si>
    <t>task 7</t>
  </si>
  <si>
    <t>task 8</t>
  </si>
  <si>
    <t>task 9</t>
  </si>
  <si>
    <t>task 10</t>
  </si>
  <si>
    <r>
      <t xml:space="preserve">probability for the duration of the </t>
    </r>
    <r>
      <rPr>
        <b/>
        <sz val="10"/>
        <rFont val="Arial"/>
        <family val="2"/>
      </rPr>
      <t>entire</t>
    </r>
    <r>
      <rPr>
        <sz val="10"/>
        <rFont val="Arial"/>
        <family val="2"/>
      </rPr>
      <t xml:space="preserve"> project x</t>
    </r>
  </si>
  <si>
    <t xml:space="preserve"> </t>
  </si>
  <si>
    <t>value A</t>
  </si>
  <si>
    <t>value B</t>
  </si>
  <si>
    <t>PF=A+B</t>
  </si>
  <si>
    <t>weight A</t>
  </si>
  <si>
    <t>weight B</t>
  </si>
  <si>
    <t>t=1</t>
  </si>
  <si>
    <t>t=2</t>
  </si>
  <si>
    <t>A</t>
  </si>
  <si>
    <t>B</t>
  </si>
  <si>
    <t>PF</t>
  </si>
  <si>
    <t>using
weights</t>
  </si>
  <si>
    <t>simple return</t>
  </si>
  <si>
    <t>=B6*E$2+C6*F$2</t>
  </si>
  <si>
    <t>log return</t>
  </si>
  <si>
    <t>=B7*E$2+C7*F$2</t>
  </si>
  <si>
    <t>.</t>
  </si>
  <si>
    <r>
      <t>DAX (p</t>
    </r>
    <r>
      <rPr>
        <vertAlign val="subscript"/>
        <sz val="10"/>
        <rFont val="Arial"/>
        <family val="2"/>
      </rPr>
      <t>t</t>
    </r>
    <r>
      <rPr>
        <sz val="10"/>
        <rFont val="Arial"/>
        <family val="2"/>
      </rPr>
      <t>)</t>
    </r>
  </si>
  <si>
    <r>
      <t>LN(p</t>
    </r>
    <r>
      <rPr>
        <vertAlign val="subscript"/>
        <sz val="10"/>
        <rFont val="Arial"/>
        <family val="2"/>
      </rPr>
      <t>t</t>
    </r>
    <r>
      <rPr>
        <sz val="10"/>
        <rFont val="Arial"/>
        <family val="2"/>
      </rPr>
      <t>)</t>
    </r>
  </si>
  <si>
    <r>
      <t>p</t>
    </r>
    <r>
      <rPr>
        <vertAlign val="subscript"/>
        <sz val="10"/>
        <rFont val="Arial"/>
        <family val="2"/>
      </rPr>
      <t>t</t>
    </r>
    <r>
      <rPr>
        <sz val="10"/>
        <rFont val="Arial"/>
        <family val="2"/>
      </rPr>
      <t>-p</t>
    </r>
    <r>
      <rPr>
        <vertAlign val="subscript"/>
        <sz val="10"/>
        <rFont val="Arial"/>
        <family val="2"/>
      </rPr>
      <t>t</t>
    </r>
  </si>
  <si>
    <r>
      <t>y</t>
    </r>
    <r>
      <rPr>
        <vertAlign val="subscript"/>
        <sz val="10"/>
        <rFont val="Arial"/>
        <family val="2"/>
      </rPr>
      <t>t</t>
    </r>
    <r>
      <rPr>
        <sz val="10"/>
        <rFont val="Arial"/>
        <family val="2"/>
      </rPr>
      <t>(%)</t>
    </r>
  </si>
  <si>
    <r>
      <t>r</t>
    </r>
    <r>
      <rPr>
        <vertAlign val="subscript"/>
        <sz val="10"/>
        <rFont val="Arial"/>
        <family val="2"/>
      </rPr>
      <t>t</t>
    </r>
    <r>
      <rPr>
        <sz val="10"/>
        <rFont val="Arial"/>
        <family val="2"/>
      </rPr>
      <t>(%)</t>
    </r>
  </si>
  <si>
    <t>arithmetric mean</t>
  </si>
  <si>
    <t>geometric mean</t>
  </si>
  <si>
    <t>Date</t>
  </si>
  <si>
    <t>internal rate of return</t>
  </si>
  <si>
    <t>exact</t>
  </si>
  <si>
    <t>~100%</t>
  </si>
  <si>
    <t>Most data sets in this file are taken from the book "Managerial Statistics", 1st edition</t>
  </si>
  <si>
    <t>P(≤x)</t>
  </si>
  <si>
    <t>population means</t>
  </si>
  <si>
    <t>population cases</t>
  </si>
  <si>
    <t>population proportions</t>
  </si>
  <si>
    <t>sample proportions</t>
  </si>
  <si>
    <t>total sample size=</t>
  </si>
  <si>
    <t>population</t>
  </si>
  <si>
    <t>sample</t>
  </si>
  <si>
    <t>random numbers</t>
  </si>
  <si>
    <t>cells to compute</t>
  </si>
  <si>
    <t>type 1</t>
  </si>
  <si>
    <t>type 2</t>
  </si>
  <si>
    <t>for sampling</t>
  </si>
  <si>
    <t>proportion 1 in H16</t>
  </si>
  <si>
    <t>returns</t>
  </si>
  <si>
    <t>change</t>
  </si>
  <si>
    <t>probability</t>
  </si>
  <si>
    <t xml:space="preserve">probability </t>
  </si>
  <si>
    <t>number of passengers (y)
showing up</t>
  </si>
  <si>
    <t>number = y</t>
  </si>
  <si>
    <t>number ≤ y
(cumulative)</t>
  </si>
  <si>
    <t>Decision tree © AWZ</t>
  </si>
  <si>
    <t>Utility matrix</t>
  </si>
  <si>
    <t>utility</t>
  </si>
  <si>
    <t>expected utility</t>
  </si>
  <si>
    <t>SciTools Bidding Example</t>
  </si>
  <si>
    <t>Inputs</t>
  </si>
  <si>
    <t>Cost to prepare a bid</t>
  </si>
  <si>
    <t>Cost to supply instruments</t>
  </si>
  <si>
    <t>Probability of no competing bid</t>
  </si>
  <si>
    <t>Competitors' bid distribution (if they bid)</t>
  </si>
  <si>
    <t xml:space="preserve">   &lt;$115K</t>
  </si>
  <si>
    <t xml:space="preserve">   $115K to $120K</t>
  </si>
  <si>
    <t xml:space="preserve">   $120K to $125K</t>
  </si>
  <si>
    <t xml:space="preserve">   &gt;$125K</t>
  </si>
  <si>
    <t>competitors' low bid</t>
  </si>
  <si>
    <t>SciTools' bidding strategy</t>
  </si>
  <si>
    <t>no bid</t>
  </si>
  <si>
    <t>&lt;115</t>
  </si>
  <si>
    <t>115-120</t>
  </si>
  <si>
    <t>120-125</t>
  </si>
  <si>
    <t>&gt;125</t>
  </si>
  <si>
    <t>Summary</t>
  </si>
  <si>
    <t>SciTools</t>
  </si>
  <si>
    <t>probability
to win</t>
  </si>
  <si>
    <t>wins bid</t>
  </si>
  <si>
    <t>loses bid</t>
  </si>
  <si>
    <t>derived properties</t>
  </si>
  <si>
    <t>minimum</t>
  </si>
  <si>
    <t>mode</t>
  </si>
  <si>
    <t>maximum</t>
  </si>
  <si>
    <t>alpha</t>
  </si>
  <si>
    <t>beta</t>
  </si>
  <si>
    <r>
      <t xml:space="preserve">input data for </t>
    </r>
    <r>
      <rPr>
        <b/>
        <sz val="10"/>
        <rFont val="Arial"/>
        <family val="2"/>
      </rPr>
      <t>normal</t>
    </r>
    <r>
      <rPr>
        <sz val="10"/>
        <rFont val="Arial"/>
        <family val="2"/>
      </rPr>
      <t xml:space="preserve"> distribution</t>
    </r>
  </si>
  <si>
    <r>
      <t xml:space="preserve">input data for </t>
    </r>
    <r>
      <rPr>
        <b/>
        <sz val="10"/>
        <rFont val="Arial"/>
        <family val="2"/>
      </rPr>
      <t>beta</t>
    </r>
    <r>
      <rPr>
        <sz val="10"/>
        <rFont val="Arial"/>
        <family val="2"/>
      </rPr>
      <t xml:space="preserve"> distribution</t>
    </r>
  </si>
  <si>
    <t>investment 1</t>
  </si>
  <si>
    <t>investment 2</t>
  </si>
  <si>
    <t>computing
covariance
&amp;correlation</t>
  </si>
  <si>
    <t>properties of the sum
of both investments</t>
  </si>
  <si>
    <t>state of
'the world'</t>
  </si>
  <si>
    <t>profit/loss</t>
  </si>
  <si>
    <t>deviation
from µ</t>
  </si>
  <si>
    <t>squared deviation
from µ</t>
  </si>
  <si>
    <t>product of 
deviations
from µ</t>
  </si>
  <si>
    <t>profit/loss
inv1+inv2</t>
  </si>
  <si>
    <t>bad</t>
  </si>
  <si>
    <t>good</t>
  </si>
  <si>
    <t>exp.value µ</t>
  </si>
  <si>
    <t>µ</t>
  </si>
  <si>
    <t>&lt;=variance of the sum</t>
  </si>
  <si>
    <t>&lt;=sum of the variances</t>
  </si>
  <si>
    <t>&lt;=sum of the variances+2xcovariance</t>
  </si>
  <si>
    <r>
      <t>p</t>
    </r>
    <r>
      <rPr>
        <vertAlign val="subscript"/>
        <sz val="10"/>
        <rFont val="Arial"/>
        <family val="2"/>
      </rPr>
      <t>i</t>
    </r>
  </si>
  <si>
    <r>
      <t xml:space="preserve">variance </t>
    </r>
    <r>
      <rPr>
        <sz val="10"/>
        <rFont val="Symbol"/>
        <family val="1"/>
        <charset val="2"/>
      </rPr>
      <t>s</t>
    </r>
    <r>
      <rPr>
        <sz val="10"/>
        <rFont val="Arial"/>
        <family val="2"/>
      </rPr>
      <t>²</t>
    </r>
  </si>
  <si>
    <t>Data from a questionnaire on environmental policy</t>
  </si>
  <si>
    <t>Age</t>
  </si>
  <si>
    <t>Gender</t>
  </si>
  <si>
    <t>State</t>
  </si>
  <si>
    <t>Children</t>
  </si>
  <si>
    <t>Salary</t>
  </si>
  <si>
    <t>Opinion</t>
  </si>
  <si>
    <t>rounded</t>
  </si>
  <si>
    <t>Male</t>
  </si>
  <si>
    <t>Minnesota</t>
  </si>
  <si>
    <t>Texas</t>
  </si>
  <si>
    <t>Female</t>
  </si>
  <si>
    <t>Ohio</t>
  </si>
  <si>
    <t>Florida</t>
  </si>
  <si>
    <t>California</t>
  </si>
  <si>
    <t>New York</t>
  </si>
  <si>
    <t>Virginia</t>
  </si>
  <si>
    <t>Illinois</t>
  </si>
  <si>
    <t>Michigan</t>
  </si>
  <si>
    <t>coefficient of variation</t>
  </si>
  <si>
    <t>Arizona</t>
  </si>
  <si>
    <t>Summary Statistics for groups</t>
  </si>
  <si>
    <t>number of cases</t>
  </si>
  <si>
    <t>mean using</t>
  </si>
  <si>
    <t>std.dev. using conditional</t>
  </si>
  <si>
    <t>std.dev. using</t>
  </si>
  <si>
    <t>skewness using</t>
  </si>
  <si>
    <t>Average salary</t>
  </si>
  <si>
    <t>number of observations</t>
  </si>
  <si>
    <t>standard error</t>
  </si>
  <si>
    <t>lower
bound</t>
  </si>
  <si>
    <t>upper
bound</t>
  </si>
  <si>
    <t>standard.</t>
  </si>
  <si>
    <t>two-sided test</t>
  </si>
  <si>
    <t>lower</t>
  </si>
  <si>
    <t>upper</t>
  </si>
  <si>
    <t>test</t>
  </si>
  <si>
    <t>critical</t>
  </si>
  <si>
    <t>µ0</t>
  </si>
  <si>
    <t>bound</t>
  </si>
  <si>
    <t>statistic</t>
  </si>
  <si>
    <t>p-value</t>
  </si>
  <si>
    <t>H0</t>
  </si>
  <si>
    <t>Comparing average salaries of females and males (independent samples)</t>
  </si>
  <si>
    <t>male</t>
  </si>
  <si>
    <t>female</t>
  </si>
  <si>
    <t>n</t>
  </si>
  <si>
    <t>test statistic</t>
  </si>
  <si>
    <t>Simple regression: age and salary</t>
  </si>
  <si>
    <t>expected
salary (y^)</t>
  </si>
  <si>
    <t>error
(residual)</t>
  </si>
  <si>
    <t>Regression Statistics</t>
  </si>
  <si>
    <t>Multiple R</t>
  </si>
  <si>
    <t>R Square</t>
  </si>
  <si>
    <t>Adjusted R Sq.</t>
  </si>
  <si>
    <t>Observations</t>
  </si>
  <si>
    <t>Coefficients</t>
  </si>
  <si>
    <t>t Stat</t>
  </si>
  <si>
    <t>P-value</t>
  </si>
  <si>
    <t>Lower 95%</t>
  </si>
  <si>
    <t>Upper 95%</t>
  </si>
  <si>
    <t>Multiple regression: age, schooling and salary</t>
  </si>
  <si>
    <t>School</t>
  </si>
  <si>
    <t>Multiple regression: age, schooling, gender and salary</t>
  </si>
  <si>
    <t>G01</t>
  </si>
  <si>
    <t>Correlation</t>
  </si>
  <si>
    <t>y</t>
  </si>
  <si>
    <t>y-mean(y)</t>
  </si>
  <si>
    <t>x-mean(x)</t>
  </si>
  <si>
    <t>product</t>
  </si>
  <si>
    <t>rank y</t>
  </si>
  <si>
    <t>rank x</t>
  </si>
  <si>
    <t>difference</t>
  </si>
  <si>
    <t>rank correlation</t>
  </si>
  <si>
    <t>correlation coefficient</t>
  </si>
  <si>
    <t>proportion 1</t>
  </si>
  <si>
    <t>cum.abs.
freq.</t>
  </si>
  <si>
    <t>cum.rel.
freq.</t>
  </si>
  <si>
    <t>normal
(cumulative)</t>
  </si>
  <si>
    <t>empirical</t>
  </si>
  <si>
    <t>asset value</t>
  </si>
  <si>
    <t>correlations:</t>
  </si>
  <si>
    <t>Age 25-40</t>
  </si>
  <si>
    <t>Age 40-55</t>
  </si>
  <si>
    <t>Age 55-70</t>
  </si>
  <si>
    <t>School 6-10</t>
  </si>
  <si>
    <t>School 10-14</t>
  </si>
  <si>
    <t>School 14-18</t>
  </si>
  <si>
    <t>avg.salary</t>
  </si>
  <si>
    <t>counts</t>
  </si>
  <si>
    <r>
      <t>1</t>
    </r>
    <r>
      <rPr>
        <b/>
        <sz val="10"/>
        <rFont val="Times New Roman"/>
        <family val="1"/>
      </rPr>
      <t>–</t>
    </r>
    <r>
      <rPr>
        <b/>
        <sz val="10"/>
        <rFont val="Symbol"/>
        <family val="1"/>
        <charset val="2"/>
      </rPr>
      <t>a</t>
    </r>
    <r>
      <rPr>
        <b/>
        <sz val="10"/>
        <rFont val="Arial"/>
        <family val="2"/>
      </rPr>
      <t xml:space="preserve"> confidence interval for the mean of the population</t>
    </r>
  </si>
  <si>
    <t>asset</t>
  </si>
  <si>
    <t>initial wealth</t>
  </si>
  <si>
    <t>invested amount</t>
  </si>
  <si>
    <t>X</t>
  </si>
  <si>
    <t>E[U(W)]</t>
  </si>
  <si>
    <t>returns R</t>
  </si>
  <si>
    <t>wealth
W(R;X)</t>
  </si>
  <si>
    <t>utility U(W)</t>
  </si>
  <si>
    <t>N(0,1) random numbers</t>
  </si>
  <si>
    <t>W</t>
  </si>
  <si>
    <r>
      <t>r</t>
    </r>
    <r>
      <rPr>
        <vertAlign val="subscript"/>
        <sz val="10"/>
        <rFont val="Arial"/>
        <family val="2"/>
      </rPr>
      <t>f</t>
    </r>
  </si>
  <si>
    <r>
      <t>w</t>
    </r>
    <r>
      <rPr>
        <vertAlign val="subscript"/>
        <sz val="10"/>
        <rFont val="Arial"/>
        <family val="2"/>
      </rPr>
      <t>0</t>
    </r>
  </si>
  <si>
    <t>expected payoffs</t>
  </si>
  <si>
    <t>joint prob.</t>
  </si>
  <si>
    <t>T</t>
  </si>
  <si>
    <t>Expected utility of wealth</t>
  </si>
  <si>
    <t>U(W)</t>
  </si>
  <si>
    <t>conditional SUM</t>
  </si>
  <si>
    <t>SUMSQ</t>
  </si>
  <si>
    <t>SUMIF</t>
  </si>
  <si>
    <t>size of the population N=</t>
  </si>
  <si>
    <t>total</t>
  </si>
  <si>
    <t xml:space="preserve">type 2 </t>
  </si>
  <si>
    <t>risk tolerance</t>
  </si>
  <si>
    <t>&lt;mean</t>
  </si>
  <si>
    <t>&lt;std.dev</t>
  </si>
  <si>
    <t>X*</t>
  </si>
  <si>
    <t>(numerical)</t>
  </si>
  <si>
    <t>(theoretical)</t>
  </si>
  <si>
    <t>p(u)</t>
  </si>
  <si>
    <t>period</t>
  </si>
  <si>
    <t>one</t>
  </si>
  <si>
    <t>f(y)</t>
  </si>
  <si>
    <t>two</t>
  </si>
  <si>
    <t>sequence</t>
  </si>
  <si>
    <t>three</t>
  </si>
  <si>
    <t>u</t>
  </si>
  <si>
    <t>uuu</t>
  </si>
  <si>
    <t>uu</t>
  </si>
  <si>
    <t>d</t>
  </si>
  <si>
    <t>uud</t>
  </si>
  <si>
    <t>udu</t>
  </si>
  <si>
    <t>ud</t>
  </si>
  <si>
    <t>udd</t>
  </si>
  <si>
    <t>duu</t>
  </si>
  <si>
    <t>du</t>
  </si>
  <si>
    <t>dud</t>
  </si>
  <si>
    <t>ddu</t>
  </si>
  <si>
    <t>dd</t>
  </si>
  <si>
    <t>ddd</t>
  </si>
  <si>
    <t>simple and log returns</t>
  </si>
  <si>
    <r>
      <t>simple return r</t>
    </r>
    <r>
      <rPr>
        <sz val="10"/>
        <rFont val="Arial"/>
        <family val="2"/>
      </rPr>
      <t xml:space="preserve"> (p.a)</t>
    </r>
  </si>
  <si>
    <t>decompose into discrete steps</t>
  </si>
  <si>
    <t>number of steps</t>
  </si>
  <si>
    <t>r (p.a.)</t>
  </si>
  <si>
    <t>value after one year</t>
  </si>
  <si>
    <t>…</t>
  </si>
  <si>
    <r>
      <t>log return y</t>
    </r>
    <r>
      <rPr>
        <sz val="10"/>
        <rFont val="Arial"/>
        <family val="2"/>
      </rPr>
      <t xml:space="preserve"> (p.a.)</t>
    </r>
  </si>
  <si>
    <t>portfolio return</t>
  </si>
  <si>
    <t>mean return</t>
  </si>
  <si>
    <t>weeks</t>
  </si>
  <si>
    <t>days</t>
  </si>
  <si>
    <t>hours</t>
  </si>
  <si>
    <r>
      <t>initial value p</t>
    </r>
    <r>
      <rPr>
        <vertAlign val="subscript"/>
        <sz val="10"/>
        <rFont val="Arial"/>
        <family val="2"/>
      </rPr>
      <t>0</t>
    </r>
  </si>
  <si>
    <r>
      <t>value after one year p</t>
    </r>
    <r>
      <rPr>
        <vertAlign val="subscript"/>
        <sz val="10"/>
        <rFont val="Arial"/>
        <family val="2"/>
      </rPr>
      <t>1</t>
    </r>
  </si>
  <si>
    <t>mean popul.</t>
  </si>
  <si>
    <t>www.cengage.com</t>
  </si>
  <si>
    <t>Load the Analysis ToolPak (2003):</t>
  </si>
  <si>
    <t>Load the Analysis ToolPak (2007):</t>
  </si>
  <si>
    <t>Load the Analysis ToolPak (2010):</t>
  </si>
  <si>
    <t>Laden der Analyse-Funktionen (2003):</t>
  </si>
  <si>
    <t>Laden der Analyse-Funktionen (2007):</t>
  </si>
  <si>
    <t>http://office.microsoft.com/en-us/excel-help/load-the-analysis-toolpak-HP001127724.aspx?CTT=1</t>
  </si>
  <si>
    <t>http://office.microsoft.com/en-us/excel-help/load-the-analysis-toolpak-HP010021569.aspx</t>
  </si>
  <si>
    <t>http://office.microsoft.com/en-us/excel-help/load-the-analysis-toolpak-HP010342659.aspx?CTT=1</t>
  </si>
  <si>
    <t>http://office.microsoft.com/de-at/excel-help/laden-von-analyse-funktionen-HP001127724.aspx?CTT=1</t>
  </si>
  <si>
    <t>http://office.microsoft.com/de-at/excel-help/laden-der-analyse-funktionen-HP010021569.aspx</t>
  </si>
  <si>
    <t>Laden der Analyse-Funktionen (2010):</t>
  </si>
  <si>
    <t>http://office.microsoft.com/de-at/excel-help/laden-der-analyse-funktionen-HP010342659.aspx?CTT=1</t>
  </si>
  <si>
    <t>de</t>
  </si>
  <si>
    <t>en</t>
  </si>
  <si>
    <t>MEDIAN</t>
  </si>
  <si>
    <t>NORMINV</t>
  </si>
  <si>
    <t>log of Salary</t>
  </si>
  <si>
    <t>lognormal
(cumulative)</t>
  </si>
  <si>
    <t>lognormal</t>
  </si>
  <si>
    <t>Load the Analysis ToolPak for Mac:</t>
  </si>
  <si>
    <t>http://support.microsoft.com/kb/914208/</t>
  </si>
  <si>
    <t>Laden der Analyse-Funktionen für Mac:</t>
  </si>
  <si>
    <t>http://support.microsoft.com/kb/914208/de</t>
  </si>
  <si>
    <t>Keyboard shortcuts:</t>
  </si>
  <si>
    <t>http://en.wikipedia.org/wiki/Table_of_keyboard_shortcuts</t>
  </si>
  <si>
    <t>confidence interval</t>
  </si>
  <si>
    <t>correlation Salary Age</t>
  </si>
  <si>
    <t>Source:</t>
  </si>
  <si>
    <t>http://www.peri.umass.edu/fileadmin/pdf/working_papers/working_papers_301-350/HAP-RR-GITD-code.zip</t>
  </si>
  <si>
    <t>Country</t>
  </si>
  <si>
    <t>Year</t>
  </si>
  <si>
    <t>DEBT</t>
  </si>
  <si>
    <t>GROWTH</t>
  </si>
  <si>
    <t>CAT</t>
  </si>
  <si>
    <t>Australia</t>
  </si>
  <si>
    <t>&gt; 90%</t>
  </si>
  <si>
    <t>0-30%</t>
  </si>
  <si>
    <t>30-60%</t>
  </si>
  <si>
    <t>60-90%</t>
  </si>
  <si>
    <t>Austria</t>
  </si>
  <si>
    <t>Belgium</t>
  </si>
  <si>
    <t>Canada</t>
  </si>
  <si>
    <t>Denmark</t>
  </si>
  <si>
    <t>Finland</t>
  </si>
  <si>
    <t>France</t>
  </si>
  <si>
    <t>Germany</t>
  </si>
  <si>
    <t>Greece</t>
  </si>
  <si>
    <t>Ireland</t>
  </si>
  <si>
    <t>Italy</t>
  </si>
  <si>
    <t>Japan</t>
  </si>
  <si>
    <t>Netherlands</t>
  </si>
  <si>
    <t>New Zealand</t>
  </si>
  <si>
    <t>Norway</t>
  </si>
  <si>
    <t>Portugal</t>
  </si>
  <si>
    <t>Spain</t>
  </si>
  <si>
    <t>Sweden</t>
  </si>
  <si>
    <t>UK</t>
  </si>
  <si>
    <t>US</t>
  </si>
  <si>
    <t>avg</t>
  </si>
  <si>
    <t>unweighted</t>
  </si>
  <si>
    <t>country weighted</t>
  </si>
  <si>
    <t>correlations</t>
  </si>
  <si>
    <t>covariances</t>
  </si>
  <si>
    <t>auxiliary vector</t>
  </si>
</sst>
</file>

<file path=xl/styles.xml><?xml version="1.0" encoding="utf-8"?>
<styleSheet xmlns="http://schemas.openxmlformats.org/spreadsheetml/2006/main">
  <numFmts count="14">
    <numFmt numFmtId="43" formatCode="_-* #,##0.00_-;\-* #,##0.00_-;_-* &quot;-&quot;??_-;_-@_-"/>
    <numFmt numFmtId="164" formatCode="_(&quot;$&quot;* #,##0.00_);_(&quot;$&quot;* \(#,##0.00\);_(&quot;$&quot;* &quot;-&quot;??_);_(@_)"/>
    <numFmt numFmtId="165" formatCode="&quot;$&quot;#,##0;\-&quot;$&quot;#,##0"/>
    <numFmt numFmtId="166" formatCode="0.0%"/>
    <numFmt numFmtId="167" formatCode="0.000"/>
    <numFmt numFmtId="168" formatCode="0.0000"/>
    <numFmt numFmtId="169" formatCode="0.000000"/>
    <numFmt numFmtId="170" formatCode="&quot;$&quot;#,##0"/>
    <numFmt numFmtId="171" formatCode="0.0"/>
    <numFmt numFmtId="172" formatCode="#,##0.0"/>
    <numFmt numFmtId="173" formatCode="0.00000"/>
    <numFmt numFmtId="174" formatCode="0.00000000"/>
    <numFmt numFmtId="175" formatCode="0.000000%"/>
    <numFmt numFmtId="176" formatCode="0_ ;\-0\ "/>
  </numFmts>
  <fonts count="25">
    <font>
      <sz val="10"/>
      <name val="Arial"/>
    </font>
    <font>
      <sz val="10"/>
      <color theme="1"/>
      <name val="Arial"/>
      <family val="2"/>
    </font>
    <font>
      <b/>
      <sz val="10"/>
      <name val="Arial"/>
      <family val="2"/>
    </font>
    <font>
      <i/>
      <sz val="10"/>
      <name val="Arial"/>
      <family val="2"/>
    </font>
    <font>
      <sz val="10"/>
      <name val="Arial"/>
      <family val="2"/>
    </font>
    <font>
      <b/>
      <sz val="10"/>
      <name val="Arial"/>
      <family val="2"/>
    </font>
    <font>
      <sz val="10"/>
      <name val="Arial"/>
      <family val="2"/>
    </font>
    <font>
      <b/>
      <sz val="10"/>
      <name val="Times New Roman"/>
      <family val="1"/>
    </font>
    <font>
      <u/>
      <sz val="20"/>
      <color indexed="12"/>
      <name val="Arial"/>
      <family val="2"/>
    </font>
    <font>
      <sz val="10"/>
      <name val="Symbol"/>
      <family val="1"/>
      <charset val="2"/>
    </font>
    <font>
      <sz val="10"/>
      <color indexed="9"/>
      <name val="Arial"/>
      <family val="2"/>
    </font>
    <font>
      <sz val="8"/>
      <name val="Arial"/>
      <family val="2"/>
    </font>
    <font>
      <b/>
      <u/>
      <sz val="10"/>
      <name val="Arial"/>
      <family val="2"/>
    </font>
    <font>
      <u/>
      <sz val="10"/>
      <color indexed="12"/>
      <name val="Arial"/>
      <family val="2"/>
    </font>
    <font>
      <vertAlign val="subscript"/>
      <sz val="10"/>
      <name val="Symbol"/>
      <family val="1"/>
      <charset val="2"/>
    </font>
    <font>
      <vertAlign val="subscript"/>
      <sz val="10"/>
      <name val="Arial"/>
      <family val="2"/>
    </font>
    <font>
      <sz val="8"/>
      <color indexed="81"/>
      <name val="Tahoma"/>
      <family val="2"/>
    </font>
    <font>
      <sz val="8"/>
      <color indexed="81"/>
      <name val="Tahoma"/>
      <family val="2"/>
    </font>
    <font>
      <i/>
      <sz val="10"/>
      <name val="Arial"/>
      <family val="2"/>
    </font>
    <font>
      <b/>
      <sz val="10"/>
      <name val="Symbol"/>
      <family val="1"/>
      <charset val="2"/>
    </font>
    <font>
      <u/>
      <sz val="10"/>
      <color indexed="12"/>
      <name val="Arial"/>
      <family val="2"/>
    </font>
    <font>
      <sz val="10"/>
      <color theme="1"/>
      <name val="Arial"/>
      <family val="2"/>
    </font>
    <font>
      <u/>
      <sz val="10"/>
      <color theme="10"/>
      <name val="Arial"/>
      <family val="2"/>
    </font>
    <font>
      <i/>
      <sz val="10"/>
      <color theme="1"/>
      <name val="Arial"/>
      <family val="2"/>
    </font>
    <font>
      <sz val="10"/>
      <color indexed="81"/>
      <name val="Tahoma"/>
      <family val="2"/>
    </font>
  </fonts>
  <fills count="8">
    <fill>
      <patternFill patternType="none"/>
    </fill>
    <fill>
      <patternFill patternType="gray125"/>
    </fill>
    <fill>
      <patternFill patternType="solid">
        <fgColor indexed="14"/>
        <bgColor indexed="64"/>
      </patternFill>
    </fill>
    <fill>
      <patternFill patternType="solid">
        <fgColor indexed="13"/>
        <bgColor indexed="64"/>
      </patternFill>
    </fill>
    <fill>
      <patternFill patternType="solid">
        <fgColor indexed="15"/>
        <bgColor indexed="64"/>
      </patternFill>
    </fill>
    <fill>
      <patternFill patternType="solid">
        <fgColor indexed="20"/>
        <bgColor indexed="64"/>
      </patternFill>
    </fill>
    <fill>
      <patternFill patternType="solid">
        <fgColor indexed="22"/>
        <bgColor indexed="64"/>
      </patternFill>
    </fill>
    <fill>
      <patternFill patternType="solid">
        <fgColor rgb="FFFFFF00"/>
        <bgColor indexed="64"/>
      </patternFill>
    </fill>
  </fills>
  <borders count="23">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1">
    <xf numFmtId="0" fontId="0" fillId="0" borderId="0"/>
    <xf numFmtId="164" fontId="4" fillId="0" borderId="0" applyFont="0" applyFill="0" applyBorder="0" applyAlignment="0" applyProtection="0"/>
    <xf numFmtId="43" fontId="4" fillId="0" borderId="0" applyFont="0" applyFill="0" applyBorder="0" applyAlignment="0" applyProtection="0"/>
    <xf numFmtId="0" fontId="8" fillId="0" borderId="0" applyNumberFormat="0" applyFill="0" applyBorder="0" applyAlignment="0" applyProtection="0">
      <alignment vertical="top"/>
      <protection locked="0"/>
    </xf>
    <xf numFmtId="9" fontId="4" fillId="0" borderId="0" applyFont="0" applyFill="0" applyBorder="0" applyAlignment="0" applyProtection="0"/>
    <xf numFmtId="9" fontId="21" fillId="0" borderId="0" applyFont="0" applyFill="0" applyBorder="0" applyAlignment="0" applyProtection="0"/>
    <xf numFmtId="0" fontId="4" fillId="0" borderId="0"/>
    <xf numFmtId="164" fontId="4" fillId="0" borderId="0" applyFont="0" applyFill="0" applyBorder="0" applyAlignment="0" applyProtection="0"/>
    <xf numFmtId="0" fontId="1" fillId="0" borderId="0"/>
    <xf numFmtId="0" fontId="22" fillId="0" borderId="0" applyNumberFormat="0" applyFill="0" applyBorder="0" applyAlignment="0" applyProtection="0">
      <alignment vertical="top"/>
      <protection locked="0"/>
    </xf>
    <xf numFmtId="0" fontId="4" fillId="0" borderId="0"/>
  </cellStyleXfs>
  <cellXfs count="228">
    <xf numFmtId="0" fontId="0" fillId="0" borderId="0" xfId="0"/>
    <xf numFmtId="0" fontId="5" fillId="0" borderId="0" xfId="0" applyFont="1"/>
    <xf numFmtId="0" fontId="0" fillId="0" borderId="0" xfId="0" applyBorder="1" applyAlignment="1">
      <alignment horizontal="right"/>
    </xf>
    <xf numFmtId="0" fontId="0" fillId="0" borderId="0" xfId="0" applyAlignment="1">
      <alignment horizontal="right"/>
    </xf>
    <xf numFmtId="165" fontId="0" fillId="0" borderId="0" xfId="0" applyNumberFormat="1" applyBorder="1"/>
    <xf numFmtId="0" fontId="0" fillId="0" borderId="0" xfId="0" applyBorder="1"/>
    <xf numFmtId="0" fontId="2" fillId="0" borderId="0" xfId="0" applyFont="1"/>
    <xf numFmtId="0" fontId="4" fillId="0" borderId="0" xfId="0" applyFont="1" applyAlignment="1">
      <alignment horizontal="right"/>
    </xf>
    <xf numFmtId="2" fontId="0" fillId="0" borderId="0" xfId="0" applyNumberFormat="1"/>
    <xf numFmtId="169" fontId="0" fillId="0" borderId="0" xfId="0" applyNumberFormat="1"/>
    <xf numFmtId="0" fontId="0" fillId="0" borderId="0" xfId="0" applyBorder="1" applyAlignment="1">
      <alignment horizontal="right" wrapText="1"/>
    </xf>
    <xf numFmtId="0" fontId="0" fillId="0" borderId="0" xfId="0" applyFill="1" applyBorder="1"/>
    <xf numFmtId="1" fontId="0" fillId="0" borderId="0" xfId="0" applyNumberFormat="1" applyFill="1" applyBorder="1"/>
    <xf numFmtId="0" fontId="0" fillId="0" borderId="0" xfId="0" applyAlignment="1">
      <alignment horizontal="right" wrapText="1"/>
    </xf>
    <xf numFmtId="167" fontId="0" fillId="0" borderId="0" xfId="0" applyNumberFormat="1"/>
    <xf numFmtId="0" fontId="7" fillId="0" borderId="0" xfId="0" applyFo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Continuous"/>
    </xf>
    <xf numFmtId="168" fontId="0" fillId="0" borderId="0" xfId="0" applyNumberFormat="1" applyFill="1" applyBorder="1" applyAlignment="1"/>
    <xf numFmtId="1" fontId="0" fillId="0" borderId="0" xfId="0" applyNumberFormat="1"/>
    <xf numFmtId="171" fontId="0" fillId="0" borderId="0" xfId="0" applyNumberFormat="1"/>
    <xf numFmtId="0" fontId="0" fillId="0" borderId="0" xfId="0" applyNumberFormat="1" applyFill="1" applyBorder="1" applyAlignment="1"/>
    <xf numFmtId="0" fontId="3" fillId="0" borderId="2" xfId="0" applyFont="1" applyFill="1" applyBorder="1" applyAlignment="1">
      <alignment horizontal="center" wrapText="1"/>
    </xf>
    <xf numFmtId="0" fontId="0" fillId="0" borderId="3" xfId="0" applyBorder="1" applyAlignment="1">
      <alignment horizontal="center" wrapText="1"/>
    </xf>
    <xf numFmtId="0" fontId="0" fillId="0" borderId="3" xfId="0" applyBorder="1" applyAlignment="1">
      <alignment horizontal="right" wrapText="1"/>
    </xf>
    <xf numFmtId="0" fontId="0" fillId="0" borderId="3" xfId="0" applyBorder="1" applyAlignment="1">
      <alignment horizontal="right"/>
    </xf>
    <xf numFmtId="0" fontId="0" fillId="0" borderId="1" xfId="0" applyBorder="1"/>
    <xf numFmtId="9" fontId="0" fillId="0" borderId="0" xfId="4" applyFont="1"/>
    <xf numFmtId="166" fontId="0" fillId="0" borderId="0" xfId="4" applyNumberFormat="1" applyFont="1"/>
    <xf numFmtId="166" fontId="0" fillId="0" borderId="0" xfId="0" applyNumberFormat="1"/>
    <xf numFmtId="166" fontId="0" fillId="0" borderId="1" xfId="4" applyNumberFormat="1" applyFont="1" applyBorder="1"/>
    <xf numFmtId="166" fontId="0" fillId="0" borderId="1" xfId="0" applyNumberFormat="1" applyBorder="1"/>
    <xf numFmtId="0" fontId="9" fillId="0" borderId="0" xfId="0" applyFont="1" applyAlignment="1">
      <alignment horizontal="right"/>
    </xf>
    <xf numFmtId="166" fontId="4" fillId="0" borderId="0" xfId="4" applyNumberFormat="1" applyFill="1" applyBorder="1"/>
    <xf numFmtId="9" fontId="0" fillId="0" borderId="0" xfId="0" applyNumberFormat="1" applyFill="1" applyBorder="1"/>
    <xf numFmtId="0" fontId="9" fillId="0" borderId="0" xfId="0" applyFont="1"/>
    <xf numFmtId="166" fontId="0" fillId="0" borderId="0" xfId="4" applyNumberFormat="1" applyFont="1" applyBorder="1"/>
    <xf numFmtId="2" fontId="0" fillId="0" borderId="0" xfId="0" applyNumberFormat="1" applyAlignment="1">
      <alignment horizontal="left"/>
    </xf>
    <xf numFmtId="171" fontId="0" fillId="0" borderId="0" xfId="0" applyNumberFormat="1" applyAlignment="1">
      <alignment horizontal="right"/>
    </xf>
    <xf numFmtId="0" fontId="3" fillId="0" borderId="2" xfId="0" applyFont="1" applyFill="1" applyBorder="1" applyAlignment="1">
      <alignment horizontal="center"/>
    </xf>
    <xf numFmtId="0" fontId="0" fillId="0" borderId="0" xfId="0" applyFill="1" applyBorder="1" applyAlignment="1">
      <alignment wrapText="1"/>
    </xf>
    <xf numFmtId="167" fontId="0" fillId="0" borderId="0" xfId="0" applyNumberFormat="1" applyFill="1" applyBorder="1" applyAlignment="1"/>
    <xf numFmtId="2" fontId="0" fillId="0" borderId="0" xfId="0" applyNumberFormat="1" applyFill="1" applyBorder="1" applyAlignment="1"/>
    <xf numFmtId="0" fontId="3" fillId="0" borderId="2" xfId="0" applyFont="1" applyFill="1" applyBorder="1" applyAlignment="1">
      <alignment horizontal="right"/>
    </xf>
    <xf numFmtId="2" fontId="0" fillId="0" borderId="1" xfId="0" applyNumberFormat="1" applyFill="1" applyBorder="1" applyAlignment="1"/>
    <xf numFmtId="167" fontId="0" fillId="0" borderId="1" xfId="0" applyNumberFormat="1" applyFill="1" applyBorder="1" applyAlignment="1"/>
    <xf numFmtId="167" fontId="0" fillId="0" borderId="0" xfId="0" applyNumberFormat="1" applyAlignment="1">
      <alignment horizontal="right"/>
    </xf>
    <xf numFmtId="167" fontId="0" fillId="0" borderId="0" xfId="0" applyNumberFormat="1" applyAlignment="1">
      <alignment horizontal="right" wrapText="1"/>
    </xf>
    <xf numFmtId="0" fontId="0" fillId="0" borderId="0" xfId="0" applyAlignment="1">
      <alignment horizontal="left"/>
    </xf>
    <xf numFmtId="0" fontId="0" fillId="0" borderId="0" xfId="0" applyBorder="1" applyAlignment="1">
      <alignment horizontal="center" wrapText="1"/>
    </xf>
    <xf numFmtId="0" fontId="6" fillId="0" borderId="0" xfId="0" applyFont="1"/>
    <xf numFmtId="169" fontId="0" fillId="0" borderId="0" xfId="0" applyNumberFormat="1" applyAlignment="1">
      <alignment horizontal="right"/>
    </xf>
    <xf numFmtId="0" fontId="0" fillId="2" borderId="0" xfId="0" applyFill="1"/>
    <xf numFmtId="0" fontId="0" fillId="3" borderId="0" xfId="0" applyFill="1"/>
    <xf numFmtId="0" fontId="0" fillId="4" borderId="0" xfId="0" applyFill="1"/>
    <xf numFmtId="0" fontId="10" fillId="5" borderId="0" xfId="0" applyFont="1" applyFill="1"/>
    <xf numFmtId="2" fontId="0" fillId="0" borderId="0" xfId="0" applyNumberFormat="1" applyBorder="1"/>
    <xf numFmtId="0" fontId="0" fillId="0" borderId="0" xfId="0" applyAlignment="1">
      <alignment horizontal="center" vertical="center"/>
    </xf>
    <xf numFmtId="0" fontId="5" fillId="0" borderId="0" xfId="0" applyFont="1" applyFill="1" applyBorder="1" applyAlignment="1"/>
    <xf numFmtId="166" fontId="4" fillId="0" borderId="0" xfId="4" applyNumberFormat="1"/>
    <xf numFmtId="0" fontId="0" fillId="0" borderId="0" xfId="0" applyAlignment="1">
      <alignment horizontal="center"/>
    </xf>
    <xf numFmtId="166" fontId="0" fillId="0" borderId="0" xfId="0" applyNumberFormat="1" applyAlignment="1">
      <alignment horizontal="right"/>
    </xf>
    <xf numFmtId="9" fontId="4" fillId="0" borderId="0" xfId="4"/>
    <xf numFmtId="0" fontId="0" fillId="0" borderId="0" xfId="0" applyAlignment="1"/>
    <xf numFmtId="168" fontId="0" fillId="0" borderId="0" xfId="0" applyNumberFormat="1"/>
    <xf numFmtId="0" fontId="0" fillId="6" borderId="0" xfId="0" applyFill="1" applyAlignment="1">
      <alignment horizontal="right"/>
    </xf>
    <xf numFmtId="0" fontId="0" fillId="6" borderId="0" xfId="0" applyFill="1"/>
    <xf numFmtId="0" fontId="9" fillId="0" borderId="0" xfId="0" applyFont="1" applyAlignment="1">
      <alignment horizontal="left"/>
    </xf>
    <xf numFmtId="171" fontId="0" fillId="0" borderId="0" xfId="0" applyNumberFormat="1" applyAlignment="1">
      <alignment horizontal="left"/>
    </xf>
    <xf numFmtId="0" fontId="0" fillId="0" borderId="0" xfId="0" applyAlignment="1">
      <alignment horizontal="center" wrapText="1"/>
    </xf>
    <xf numFmtId="171" fontId="0" fillId="0" borderId="0" xfId="0" applyNumberFormat="1" applyAlignment="1">
      <alignment horizontal="center"/>
    </xf>
    <xf numFmtId="167" fontId="0" fillId="0" borderId="0" xfId="0" applyNumberFormat="1" applyAlignment="1">
      <alignment horizontal="center"/>
    </xf>
    <xf numFmtId="166" fontId="4" fillId="0" borderId="0" xfId="4" applyNumberFormat="1" applyAlignment="1">
      <alignment horizontal="right"/>
    </xf>
    <xf numFmtId="0" fontId="12" fillId="0" borderId="0" xfId="0" applyFont="1"/>
    <xf numFmtId="0" fontId="9" fillId="0" borderId="0" xfId="0" applyFont="1" applyAlignment="1">
      <alignment horizontal="right" wrapText="1"/>
    </xf>
    <xf numFmtId="0" fontId="9" fillId="0" borderId="0" xfId="0" applyFont="1" applyAlignment="1">
      <alignment horizontal="left" wrapText="1"/>
    </xf>
    <xf numFmtId="9" fontId="0" fillId="0" borderId="0" xfId="0" applyNumberFormat="1" applyAlignment="1">
      <alignment horizontal="center"/>
    </xf>
    <xf numFmtId="171" fontId="4" fillId="0" borderId="0" xfId="4" applyNumberFormat="1"/>
    <xf numFmtId="0" fontId="0" fillId="0" borderId="0" xfId="0" applyFill="1"/>
    <xf numFmtId="0" fontId="0" fillId="0" borderId="0" xfId="0" applyFill="1" applyAlignment="1">
      <alignment horizontal="center"/>
    </xf>
    <xf numFmtId="0" fontId="0" fillId="0" borderId="0" xfId="0" applyFill="1" applyAlignment="1">
      <alignment horizontal="right"/>
    </xf>
    <xf numFmtId="0" fontId="0" fillId="0" borderId="0" xfId="0" applyFill="1" applyAlignment="1">
      <alignment horizontal="right" wrapText="1"/>
    </xf>
    <xf numFmtId="9" fontId="4" fillId="0" borderId="0" xfId="4" applyFill="1"/>
    <xf numFmtId="0" fontId="4" fillId="0" borderId="0" xfId="0" applyFont="1" applyFill="1" applyAlignment="1">
      <alignment horizontal="left"/>
    </xf>
    <xf numFmtId="0" fontId="9" fillId="0" borderId="0" xfId="0" applyFont="1" applyFill="1" applyAlignment="1">
      <alignment horizontal="right" wrapText="1"/>
    </xf>
    <xf numFmtId="0" fontId="4" fillId="0" borderId="0" xfId="0" applyFont="1" applyFill="1" applyAlignment="1">
      <alignment horizontal="center"/>
    </xf>
    <xf numFmtId="171" fontId="0" fillId="0" borderId="0" xfId="0" applyNumberFormat="1" applyFill="1"/>
    <xf numFmtId="171" fontId="0" fillId="0" borderId="0" xfId="0" applyNumberFormat="1" applyFill="1" applyAlignment="1">
      <alignment horizontal="right"/>
    </xf>
    <xf numFmtId="172" fontId="0" fillId="0" borderId="0" xfId="0" applyNumberFormat="1" applyFill="1" applyBorder="1" applyAlignment="1"/>
    <xf numFmtId="0" fontId="5" fillId="0" borderId="0" xfId="0" applyFont="1" applyBorder="1"/>
    <xf numFmtId="0" fontId="2" fillId="0" borderId="0" xfId="0" quotePrefix="1" applyFont="1" applyAlignment="1">
      <alignment horizontal="left"/>
    </xf>
    <xf numFmtId="167" fontId="0" fillId="0" borderId="0" xfId="0" applyNumberFormat="1" applyFill="1"/>
    <xf numFmtId="0" fontId="13" fillId="0" borderId="0" xfId="0" applyFont="1"/>
    <xf numFmtId="0" fontId="0" fillId="0" borderId="0" xfId="0" quotePrefix="1" applyAlignment="1">
      <alignment horizontal="right"/>
    </xf>
    <xf numFmtId="0" fontId="6" fillId="0" borderId="0" xfId="0" quotePrefix="1" applyFont="1" applyAlignment="1">
      <alignment horizontal="right"/>
    </xf>
    <xf numFmtId="0" fontId="0" fillId="0" borderId="4" xfId="0" applyBorder="1" applyAlignment="1">
      <alignment horizontal="right"/>
    </xf>
    <xf numFmtId="0" fontId="0" fillId="0" borderId="5" xfId="0" applyBorder="1" applyAlignment="1">
      <alignment horizontal="right"/>
    </xf>
    <xf numFmtId="1" fontId="0" fillId="0" borderId="6" xfId="0" applyNumberFormat="1" applyBorder="1"/>
    <xf numFmtId="1" fontId="0" fillId="0" borderId="7" xfId="0" applyNumberFormat="1" applyBorder="1"/>
    <xf numFmtId="1" fontId="0" fillId="0" borderId="8" xfId="0" applyNumberFormat="1" applyBorder="1"/>
    <xf numFmtId="1" fontId="0" fillId="0" borderId="9" xfId="0" applyNumberFormat="1" applyBorder="1"/>
    <xf numFmtId="0" fontId="0" fillId="0" borderId="8" xfId="0" applyBorder="1"/>
    <xf numFmtId="0" fontId="0" fillId="0" borderId="9" xfId="0" applyBorder="1"/>
    <xf numFmtId="171" fontId="0" fillId="0" borderId="8" xfId="0" applyNumberFormat="1" applyBorder="1"/>
    <xf numFmtId="171" fontId="0" fillId="0" borderId="9" xfId="0" applyNumberFormat="1" applyBorder="1"/>
    <xf numFmtId="0" fontId="0" fillId="0" borderId="10" xfId="0" applyBorder="1"/>
    <xf numFmtId="0" fontId="0" fillId="0" borderId="11" xfId="0" applyBorder="1"/>
    <xf numFmtId="0" fontId="0" fillId="0" borderId="0" xfId="0" quotePrefix="1"/>
    <xf numFmtId="9" fontId="0" fillId="0" borderId="0" xfId="4" applyFont="1" applyAlignment="1">
      <alignment horizontal="right"/>
    </xf>
    <xf numFmtId="166" fontId="0" fillId="0" borderId="0" xfId="4" applyNumberFormat="1" applyFont="1" applyAlignment="1">
      <alignment horizontal="right"/>
    </xf>
    <xf numFmtId="0" fontId="6" fillId="0" borderId="3" xfId="0" applyFont="1" applyBorder="1" applyAlignment="1">
      <alignment horizontal="center" wrapText="1"/>
    </xf>
    <xf numFmtId="2" fontId="0" fillId="0" borderId="0" xfId="0" applyNumberFormat="1" applyAlignment="1">
      <alignment horizontal="right"/>
    </xf>
    <xf numFmtId="0" fontId="6" fillId="0" borderId="0" xfId="0" applyFont="1" applyAlignment="1">
      <alignment horizontal="right"/>
    </xf>
    <xf numFmtId="165" fontId="0" fillId="0" borderId="12" xfId="0" applyNumberFormat="1" applyBorder="1"/>
    <xf numFmtId="174" fontId="0" fillId="0" borderId="0" xfId="0" applyNumberFormat="1"/>
    <xf numFmtId="2" fontId="0" fillId="0" borderId="0" xfId="0" applyNumberFormat="1" applyFill="1"/>
    <xf numFmtId="2" fontId="0" fillId="0" borderId="0" xfId="0" applyNumberFormat="1" applyFill="1" applyAlignment="1">
      <alignment horizontal="right"/>
    </xf>
    <xf numFmtId="0" fontId="2" fillId="0" borderId="0" xfId="0" applyFont="1" applyBorder="1"/>
    <xf numFmtId="0" fontId="0" fillId="0" borderId="0" xfId="0" applyBorder="1" applyAlignment="1">
      <alignment horizontal="center"/>
    </xf>
    <xf numFmtId="0" fontId="0" fillId="0" borderId="13" xfId="0" applyFill="1" applyBorder="1" applyAlignment="1">
      <alignment horizontal="right"/>
    </xf>
    <xf numFmtId="0" fontId="0" fillId="0" borderId="14" xfId="0" applyBorder="1" applyAlignment="1">
      <alignment horizontal="right"/>
    </xf>
    <xf numFmtId="0" fontId="0" fillId="0" borderId="15" xfId="0" applyFill="1" applyBorder="1" applyAlignment="1">
      <alignment horizontal="right"/>
    </xf>
    <xf numFmtId="0" fontId="0" fillId="0" borderId="16" xfId="0" applyBorder="1"/>
    <xf numFmtId="0" fontId="0" fillId="0" borderId="17" xfId="0" applyBorder="1"/>
    <xf numFmtId="0" fontId="0" fillId="0" borderId="18" xfId="0" applyBorder="1"/>
    <xf numFmtId="165" fontId="0" fillId="0" borderId="15" xfId="0" applyNumberFormat="1" applyBorder="1"/>
    <xf numFmtId="165" fontId="0" fillId="0" borderId="19" xfId="0" applyNumberFormat="1" applyBorder="1"/>
    <xf numFmtId="165" fontId="0" fillId="0" borderId="20" xfId="0" applyNumberFormat="1" applyBorder="1"/>
    <xf numFmtId="165" fontId="0" fillId="0" borderId="21" xfId="0" applyNumberFormat="1" applyBorder="1"/>
    <xf numFmtId="165" fontId="0" fillId="0" borderId="3" xfId="0" applyNumberFormat="1" applyBorder="1"/>
    <xf numFmtId="165" fontId="0" fillId="0" borderId="14" xfId="0" applyNumberFormat="1" applyBorder="1"/>
    <xf numFmtId="165" fontId="5" fillId="0" borderId="0" xfId="0" applyNumberFormat="1" applyFont="1" applyBorder="1"/>
    <xf numFmtId="0" fontId="0" fillId="0" borderId="21" xfId="0" applyFill="1" applyBorder="1" applyAlignment="1">
      <alignment horizontal="right"/>
    </xf>
    <xf numFmtId="0" fontId="0" fillId="0" borderId="14" xfId="0" applyFill="1" applyBorder="1" applyAlignment="1">
      <alignment horizontal="right"/>
    </xf>
    <xf numFmtId="0" fontId="9" fillId="0" borderId="13" xfId="0" applyFont="1" applyBorder="1" applyAlignment="1">
      <alignment horizontal="right" wrapText="1"/>
    </xf>
    <xf numFmtId="165" fontId="0" fillId="0" borderId="16" xfId="0" applyNumberFormat="1" applyBorder="1"/>
    <xf numFmtId="165" fontId="0" fillId="0" borderId="17" xfId="0" applyNumberFormat="1" applyBorder="1"/>
    <xf numFmtId="0" fontId="0" fillId="0" borderId="19" xfId="0" applyBorder="1"/>
    <xf numFmtId="0" fontId="0" fillId="0" borderId="14" xfId="0" applyBorder="1"/>
    <xf numFmtId="0" fontId="0" fillId="0" borderId="3" xfId="0" applyBorder="1"/>
    <xf numFmtId="2" fontId="0" fillId="0" borderId="3" xfId="0" applyNumberFormat="1" applyBorder="1"/>
    <xf numFmtId="0" fontId="0" fillId="6" borderId="0" xfId="0" applyFill="1" applyAlignment="1">
      <alignment horizontal="right" wrapText="1"/>
    </xf>
    <xf numFmtId="171" fontId="0" fillId="0" borderId="0" xfId="0" applyNumberFormat="1" applyFill="1" applyAlignment="1">
      <alignment horizontal="center"/>
    </xf>
    <xf numFmtId="167" fontId="0" fillId="0" borderId="0" xfId="0" applyNumberFormat="1" applyFill="1" applyAlignment="1">
      <alignment horizontal="center"/>
    </xf>
    <xf numFmtId="167" fontId="0" fillId="6" borderId="0" xfId="0" applyNumberFormat="1" applyFill="1" applyAlignment="1">
      <alignment horizontal="center"/>
    </xf>
    <xf numFmtId="0" fontId="0" fillId="0" borderId="0" xfId="0" applyFill="1" applyAlignment="1">
      <alignment horizontal="center" wrapText="1"/>
    </xf>
    <xf numFmtId="0" fontId="0" fillId="0" borderId="0" xfId="0" applyAlignment="1">
      <alignment horizontal="left" wrapText="1"/>
    </xf>
    <xf numFmtId="1" fontId="0" fillId="0" borderId="0" xfId="0" applyNumberFormat="1" applyFill="1" applyAlignment="1"/>
    <xf numFmtId="171" fontId="0" fillId="0" borderId="0" xfId="0" applyNumberFormat="1" applyFill="1" applyAlignment="1"/>
    <xf numFmtId="167" fontId="0" fillId="0" borderId="0" xfId="0" applyNumberFormat="1" applyFill="1" applyAlignment="1">
      <alignment horizontal="right"/>
    </xf>
    <xf numFmtId="171" fontId="0" fillId="6" borderId="0" xfId="0" applyNumberFormat="1" applyFill="1" applyAlignment="1"/>
    <xf numFmtId="1" fontId="0" fillId="0" borderId="0" xfId="0" applyNumberFormat="1" applyFill="1" applyAlignment="1">
      <alignment horizontal="right"/>
    </xf>
    <xf numFmtId="165" fontId="0" fillId="0" borderId="0" xfId="0" applyNumberFormat="1"/>
    <xf numFmtId="170" fontId="4" fillId="0" borderId="0" xfId="1" applyNumberFormat="1"/>
    <xf numFmtId="3" fontId="0" fillId="0" borderId="0" xfId="0" applyNumberFormat="1" applyFill="1" applyBorder="1" applyAlignment="1"/>
    <xf numFmtId="165" fontId="0" fillId="0" borderId="0" xfId="0" applyNumberFormat="1" applyAlignment="1">
      <alignment horizontal="left"/>
    </xf>
    <xf numFmtId="4" fontId="0" fillId="0" borderId="0" xfId="0" applyNumberFormat="1" applyFill="1" applyBorder="1" applyAlignment="1"/>
    <xf numFmtId="3" fontId="0" fillId="0" borderId="1" xfId="0" applyNumberFormat="1" applyFill="1" applyBorder="1" applyAlignment="1"/>
    <xf numFmtId="176" fontId="4" fillId="6" borderId="0" xfId="2" applyNumberFormat="1" applyFill="1"/>
    <xf numFmtId="167" fontId="0" fillId="6" borderId="0" xfId="0" applyNumberFormat="1" applyFill="1"/>
    <xf numFmtId="170" fontId="4" fillId="0" borderId="0" xfId="7" applyNumberFormat="1"/>
    <xf numFmtId="1" fontId="0" fillId="0" borderId="0" xfId="0" applyNumberFormat="1" applyFill="1" applyBorder="1" applyAlignment="1"/>
    <xf numFmtId="1" fontId="0" fillId="0" borderId="1" xfId="0" applyNumberFormat="1" applyFill="1" applyBorder="1" applyAlignment="1"/>
    <xf numFmtId="0" fontId="18" fillId="0" borderId="3" xfId="0" applyFont="1" applyBorder="1" applyAlignment="1">
      <alignment horizontal="center" wrapText="1"/>
    </xf>
    <xf numFmtId="168" fontId="0" fillId="0" borderId="0" xfId="0" applyNumberFormat="1" applyAlignment="1">
      <alignment horizontal="right"/>
    </xf>
    <xf numFmtId="173" fontId="0" fillId="0" borderId="0" xfId="0" applyNumberFormat="1" applyAlignment="1">
      <alignment horizontal="right"/>
    </xf>
    <xf numFmtId="0" fontId="0" fillId="0" borderId="0" xfId="0" applyAlignment="1">
      <alignment wrapText="1"/>
    </xf>
    <xf numFmtId="165" fontId="0" fillId="0" borderId="1" xfId="0" applyNumberFormat="1" applyBorder="1"/>
    <xf numFmtId="0" fontId="5" fillId="0" borderId="0" xfId="0" applyFont="1" applyAlignment="1">
      <alignment horizontal="right"/>
    </xf>
    <xf numFmtId="0" fontId="0" fillId="0" borderId="0" xfId="0" applyFill="1" applyBorder="1" applyAlignment="1">
      <alignment horizontal="right"/>
    </xf>
    <xf numFmtId="173" fontId="0" fillId="0" borderId="0" xfId="0" applyNumberFormat="1" applyAlignment="1">
      <alignment horizontal="center"/>
    </xf>
    <xf numFmtId="0" fontId="5" fillId="0" borderId="0" xfId="0" applyFont="1" applyAlignment="1">
      <alignment horizontal="left"/>
    </xf>
    <xf numFmtId="175" fontId="4" fillId="0" borderId="0" xfId="4" applyNumberFormat="1"/>
    <xf numFmtId="0" fontId="20" fillId="0" borderId="0" xfId="3" applyFont="1" applyAlignment="1" applyProtection="1"/>
    <xf numFmtId="0" fontId="3" fillId="0" borderId="22" xfId="0" applyFont="1" applyFill="1" applyBorder="1" applyAlignment="1">
      <alignment horizontal="center" wrapText="1"/>
    </xf>
    <xf numFmtId="0" fontId="0" fillId="0" borderId="22" xfId="0" applyBorder="1" applyAlignment="1">
      <alignment horizontal="center" wrapText="1"/>
    </xf>
    <xf numFmtId="0" fontId="0" fillId="0" borderId="22" xfId="0" applyBorder="1" applyAlignment="1">
      <alignment horizontal="right" wrapText="1"/>
    </xf>
    <xf numFmtId="0" fontId="0" fillId="0" borderId="22" xfId="0" applyBorder="1" applyAlignment="1">
      <alignment horizontal="right"/>
    </xf>
    <xf numFmtId="170" fontId="0" fillId="0" borderId="0" xfId="0" applyNumberFormat="1"/>
    <xf numFmtId="0" fontId="0" fillId="0" borderId="3" xfId="0" applyNumberFormat="1" applyFill="1" applyBorder="1" applyAlignment="1"/>
    <xf numFmtId="0" fontId="0" fillId="0" borderId="3" xfId="0" applyFill="1" applyBorder="1" applyAlignment="1"/>
    <xf numFmtId="166" fontId="0" fillId="0" borderId="3" xfId="0" applyNumberFormat="1" applyBorder="1"/>
    <xf numFmtId="0" fontId="4" fillId="0" borderId="0" xfId="0" applyFont="1"/>
    <xf numFmtId="0" fontId="5" fillId="0" borderId="0" xfId="6" applyFont="1"/>
    <xf numFmtId="0" fontId="4" fillId="0" borderId="0" xfId="6"/>
    <xf numFmtId="0" fontId="4" fillId="0" borderId="0" xfId="6" applyAlignment="1">
      <alignment horizontal="right"/>
    </xf>
    <xf numFmtId="0" fontId="4" fillId="0" borderId="0" xfId="6" applyAlignment="1">
      <alignment horizontal="left"/>
    </xf>
    <xf numFmtId="1" fontId="4" fillId="0" borderId="0" xfId="6" applyNumberFormat="1"/>
    <xf numFmtId="171" fontId="4" fillId="0" borderId="0" xfId="6" applyNumberFormat="1"/>
    <xf numFmtId="9" fontId="0" fillId="0" borderId="0" xfId="5" applyFont="1"/>
    <xf numFmtId="0" fontId="1" fillId="0" borderId="0" xfId="8" applyAlignment="1">
      <alignment horizontal="right"/>
    </xf>
    <xf numFmtId="0" fontId="22" fillId="0" borderId="0" xfId="9" applyAlignment="1" applyProtection="1"/>
    <xf numFmtId="0" fontId="1" fillId="0" borderId="0" xfId="8"/>
    <xf numFmtId="0" fontId="1" fillId="0" borderId="0" xfId="8" applyAlignment="1">
      <alignment horizontal="left"/>
    </xf>
    <xf numFmtId="0" fontId="1" fillId="0" borderId="0" xfId="8" applyAlignment="1">
      <alignment horizontal="left" wrapText="1"/>
    </xf>
    <xf numFmtId="171" fontId="1" fillId="0" borderId="0" xfId="8" applyNumberFormat="1"/>
    <xf numFmtId="2" fontId="1" fillId="0" borderId="0" xfId="8" applyNumberFormat="1"/>
    <xf numFmtId="2" fontId="1" fillId="7" borderId="0" xfId="8" applyNumberFormat="1" applyFill="1"/>
    <xf numFmtId="1" fontId="1" fillId="0" borderId="0" xfId="8" applyNumberFormat="1"/>
    <xf numFmtId="0" fontId="23" fillId="0" borderId="0" xfId="8" applyFont="1" applyAlignment="1">
      <alignment horizontal="right"/>
    </xf>
    <xf numFmtId="0" fontId="0" fillId="0" borderId="0" xfId="0" applyAlignment="1">
      <alignment horizontal="center" vertical="center"/>
    </xf>
    <xf numFmtId="0" fontId="0" fillId="0" borderId="0" xfId="0" applyFill="1" applyAlignment="1">
      <alignment horizontal="center" wrapText="1"/>
    </xf>
    <xf numFmtId="167" fontId="0" fillId="0" borderId="0" xfId="0" applyNumberFormat="1" applyFill="1" applyAlignment="1">
      <alignment horizontal="center"/>
    </xf>
    <xf numFmtId="171" fontId="0" fillId="0" borderId="0" xfId="0" applyNumberFormat="1" applyFill="1" applyAlignment="1">
      <alignment horizontal="center"/>
    </xf>
    <xf numFmtId="0" fontId="0" fillId="0" borderId="0" xfId="0" applyAlignment="1">
      <alignment horizontal="center"/>
    </xf>
    <xf numFmtId="171" fontId="0" fillId="0" borderId="6" xfId="0" applyNumberFormat="1" applyBorder="1" applyAlignment="1">
      <alignment horizontal="center"/>
    </xf>
    <xf numFmtId="171" fontId="0" fillId="0" borderId="7" xfId="0" applyNumberFormat="1" applyBorder="1" applyAlignment="1">
      <alignment horizontal="center"/>
    </xf>
    <xf numFmtId="171" fontId="0" fillId="0" borderId="10" xfId="0" applyNumberFormat="1" applyBorder="1" applyAlignment="1">
      <alignment horizontal="center"/>
    </xf>
    <xf numFmtId="171" fontId="0" fillId="0" borderId="11" xfId="0" applyNumberFormat="1"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0" fontId="6" fillId="0" borderId="0" xfId="0" applyFont="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3" xfId="0" applyFill="1" applyBorder="1" applyAlignment="1">
      <alignment horizontal="center" wrapText="1"/>
    </xf>
    <xf numFmtId="0" fontId="0" fillId="0" borderId="20" xfId="0" applyFill="1" applyBorder="1" applyAlignment="1">
      <alignment horizontal="center" wrapText="1"/>
    </xf>
    <xf numFmtId="0" fontId="0" fillId="0" borderId="17" xfId="0" applyBorder="1" applyAlignment="1">
      <alignment horizontal="center"/>
    </xf>
    <xf numFmtId="0" fontId="0" fillId="0" borderId="0" xfId="0" applyBorder="1" applyAlignment="1">
      <alignment horizontal="left" wrapText="1"/>
    </xf>
    <xf numFmtId="0" fontId="4" fillId="0" borderId="0" xfId="10"/>
    <xf numFmtId="0" fontId="4" fillId="0" borderId="3" xfId="10" applyBorder="1"/>
    <xf numFmtId="0" fontId="4" fillId="0" borderId="0" xfId="10" applyFont="1" applyFill="1" applyBorder="1" applyAlignment="1">
      <alignment horizontal="right"/>
    </xf>
    <xf numFmtId="0" fontId="4" fillId="0" borderId="0" xfId="10" applyFont="1"/>
    <xf numFmtId="171" fontId="4" fillId="0" borderId="0" xfId="10" applyNumberFormat="1"/>
    <xf numFmtId="0" fontId="4" fillId="0" borderId="0" xfId="10" applyAlignment="1">
      <alignment horizontal="right"/>
    </xf>
    <xf numFmtId="168" fontId="4" fillId="0" borderId="0" xfId="10" applyNumberFormat="1"/>
  </cellXfs>
  <cellStyles count="11">
    <cellStyle name="Currency" xfId="1" builtinId="4"/>
    <cellStyle name="Dezimal_Grundlagen der Statistik" xfId="2"/>
    <cellStyle name="Hyperlink" xfId="3" builtinId="8"/>
    <cellStyle name="Hyperlink 2" xfId="9"/>
    <cellStyle name="Normal" xfId="0" builtinId="0"/>
    <cellStyle name="Normal 2" xfId="8"/>
    <cellStyle name="Normal 3" xfId="10"/>
    <cellStyle name="Percent" xfId="4" builtinId="5"/>
    <cellStyle name="Prozent 2" xfId="5"/>
    <cellStyle name="Standard 2" xfId="6"/>
    <cellStyle name="Währung_coding"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227074235807878"/>
          <c:y val="8.5227390951525567E-2"/>
          <c:w val="0.84061135371179063"/>
          <c:h val="0.71306917096109701"/>
        </c:manualLayout>
      </c:layout>
      <c:barChart>
        <c:barDir val="col"/>
        <c:grouping val="clustered"/>
        <c:ser>
          <c:idx val="1"/>
          <c:order val="0"/>
          <c:tx>
            <c:v>empirical</c:v>
          </c:tx>
          <c:spPr>
            <a:pattFill prst="smCheck">
              <a:fgClr>
                <a:srgbClr val="000000"/>
              </a:fgClr>
              <a:bgClr>
                <a:srgbClr val="FFCC99"/>
              </a:bgClr>
            </a:pattFill>
            <a:ln w="12700">
              <a:solidFill>
                <a:srgbClr val="000000"/>
              </a:solidFill>
              <a:prstDash val="solid"/>
            </a:ln>
          </c:spPr>
          <c:cat>
            <c:strRef>
              <c:f>'DAX (histogram)'!$E$5:$E$26</c:f>
              <c:strCache>
                <c:ptCount val="22"/>
                <c:pt idx="0">
                  <c:v>-25</c:v>
                </c:pt>
                <c:pt idx="1">
                  <c:v>-22.5</c:v>
                </c:pt>
                <c:pt idx="2">
                  <c:v>-20</c:v>
                </c:pt>
                <c:pt idx="3">
                  <c:v>-17.5</c:v>
                </c:pt>
                <c:pt idx="4">
                  <c:v>-15</c:v>
                </c:pt>
                <c:pt idx="5">
                  <c:v>-12.5</c:v>
                </c:pt>
                <c:pt idx="6">
                  <c:v>-10</c:v>
                </c:pt>
                <c:pt idx="7">
                  <c:v>-7.5</c:v>
                </c:pt>
                <c:pt idx="8">
                  <c:v>-5</c:v>
                </c:pt>
                <c:pt idx="9">
                  <c:v>-2.5</c:v>
                </c:pt>
                <c:pt idx="10">
                  <c:v>0</c:v>
                </c:pt>
                <c:pt idx="11">
                  <c:v>2.5</c:v>
                </c:pt>
                <c:pt idx="12">
                  <c:v>5</c:v>
                </c:pt>
                <c:pt idx="13">
                  <c:v>7.5</c:v>
                </c:pt>
                <c:pt idx="14">
                  <c:v>10</c:v>
                </c:pt>
                <c:pt idx="15">
                  <c:v>12.5</c:v>
                </c:pt>
                <c:pt idx="16">
                  <c:v>15</c:v>
                </c:pt>
                <c:pt idx="17">
                  <c:v>17.5</c:v>
                </c:pt>
                <c:pt idx="18">
                  <c:v>20</c:v>
                </c:pt>
                <c:pt idx="19">
                  <c:v>22.5</c:v>
                </c:pt>
                <c:pt idx="20">
                  <c:v>25</c:v>
                </c:pt>
                <c:pt idx="21">
                  <c:v>and greater</c:v>
                </c:pt>
              </c:strCache>
            </c:strRef>
          </c:cat>
          <c:val>
            <c:numRef>
              <c:f>'DAX (histogram)'!$G$5:$G$26</c:f>
              <c:numCache>
                <c:formatCode>0.0%</c:formatCode>
                <c:ptCount val="22"/>
                <c:pt idx="0">
                  <c:v>0</c:v>
                </c:pt>
                <c:pt idx="1">
                  <c:v>7.6335877862595417E-3</c:v>
                </c:pt>
                <c:pt idx="2">
                  <c:v>0</c:v>
                </c:pt>
                <c:pt idx="3">
                  <c:v>7.6335877862595417E-3</c:v>
                </c:pt>
                <c:pt idx="4">
                  <c:v>7.6335877862595417E-3</c:v>
                </c:pt>
                <c:pt idx="5">
                  <c:v>7.6335877862595417E-3</c:v>
                </c:pt>
                <c:pt idx="6">
                  <c:v>7.6335877862595417E-3</c:v>
                </c:pt>
                <c:pt idx="7">
                  <c:v>3.8167938931297711E-2</c:v>
                </c:pt>
                <c:pt idx="8">
                  <c:v>3.8167938931297711E-2</c:v>
                </c:pt>
                <c:pt idx="9">
                  <c:v>9.9236641221374045E-2</c:v>
                </c:pt>
                <c:pt idx="10">
                  <c:v>0.18320610687022901</c:v>
                </c:pt>
                <c:pt idx="11">
                  <c:v>0.22137404580152673</c:v>
                </c:pt>
                <c:pt idx="12">
                  <c:v>0.19083969465648856</c:v>
                </c:pt>
                <c:pt idx="13">
                  <c:v>0.10687022900763359</c:v>
                </c:pt>
                <c:pt idx="14">
                  <c:v>6.1068702290076333E-2</c:v>
                </c:pt>
                <c:pt idx="15">
                  <c:v>0</c:v>
                </c:pt>
                <c:pt idx="16">
                  <c:v>1.5267175572519083E-2</c:v>
                </c:pt>
                <c:pt idx="17">
                  <c:v>7.6335877862595417E-3</c:v>
                </c:pt>
                <c:pt idx="18">
                  <c:v>0</c:v>
                </c:pt>
                <c:pt idx="19">
                  <c:v>0</c:v>
                </c:pt>
                <c:pt idx="20">
                  <c:v>0</c:v>
                </c:pt>
                <c:pt idx="21">
                  <c:v>0</c:v>
                </c:pt>
              </c:numCache>
            </c:numRef>
          </c:val>
        </c:ser>
        <c:gapWidth val="50"/>
        <c:axId val="155964928"/>
        <c:axId val="155966848"/>
      </c:barChart>
      <c:lineChart>
        <c:grouping val="standard"/>
        <c:ser>
          <c:idx val="0"/>
          <c:order val="1"/>
          <c:tx>
            <c:v>normal</c:v>
          </c:tx>
          <c:spPr>
            <a:ln w="12700">
              <a:solidFill>
                <a:srgbClr val="000080"/>
              </a:solidFill>
              <a:prstDash val="solid"/>
            </a:ln>
          </c:spPr>
          <c:marker>
            <c:symbol val="diamond"/>
            <c:size val="8"/>
            <c:spPr>
              <a:solidFill>
                <a:srgbClr val="FFFFFF"/>
              </a:solidFill>
              <a:ln>
                <a:solidFill>
                  <a:srgbClr val="000000"/>
                </a:solidFill>
                <a:prstDash val="solid"/>
              </a:ln>
            </c:spPr>
          </c:marker>
          <c:val>
            <c:numRef>
              <c:f>'DAX (histogram)'!$I$5:$I$26</c:f>
              <c:numCache>
                <c:formatCode>0.0%</c:formatCode>
                <c:ptCount val="22"/>
                <c:pt idx="0">
                  <c:v>5.7919362017599951E-6</c:v>
                </c:pt>
                <c:pt idx="1">
                  <c:v>3.2258926054073989E-5</c:v>
                </c:pt>
                <c:pt idx="2">
                  <c:v>1.7175184722473258E-4</c:v>
                </c:pt>
                <c:pt idx="3">
                  <c:v>7.6266060794805135E-4</c:v>
                </c:pt>
                <c:pt idx="4">
                  <c:v>2.8246697912546193E-3</c:v>
                </c:pt>
                <c:pt idx="5">
                  <c:v>8.7264213091665654E-3</c:v>
                </c:pt>
                <c:pt idx="6">
                  <c:v>2.248845713344727E-2</c:v>
                </c:pt>
                <c:pt idx="7">
                  <c:v>4.8345706299065538E-2</c:v>
                </c:pt>
                <c:pt idx="8">
                  <c:v>8.6705631881288769E-2</c:v>
                </c:pt>
                <c:pt idx="9">
                  <c:v>0.12973005672191229</c:v>
                </c:pt>
                <c:pt idx="10">
                  <c:v>0.16193724066955029</c:v>
                </c:pt>
                <c:pt idx="11">
                  <c:v>0.16864390300148679</c:v>
                </c:pt>
                <c:pt idx="12">
                  <c:v>0.14652551218884469</c:v>
                </c:pt>
                <c:pt idx="13">
                  <c:v>0.10621146403035664</c:v>
                </c:pt>
                <c:pt idx="14">
                  <c:v>6.4230000515393071E-2</c:v>
                </c:pt>
                <c:pt idx="15">
                  <c:v>3.2404235546367066E-2</c:v>
                </c:pt>
                <c:pt idx="16">
                  <c:v>1.3637921132136577E-2</c:v>
                </c:pt>
                <c:pt idx="17">
                  <c:v>4.7880515789370248E-3</c:v>
                </c:pt>
                <c:pt idx="18">
                  <c:v>1.4022072117131357E-3</c:v>
                </c:pt>
                <c:pt idx="19">
                  <c:v>3.4251836071585995E-4</c:v>
                </c:pt>
                <c:pt idx="20">
                  <c:v>6.9782538512863646E-5</c:v>
                </c:pt>
                <c:pt idx="21">
                  <c:v>1.3756772422324204E-5</c:v>
                </c:pt>
              </c:numCache>
            </c:numRef>
          </c:val>
        </c:ser>
        <c:marker val="1"/>
        <c:axId val="155976832"/>
        <c:axId val="155978368"/>
      </c:lineChart>
      <c:catAx>
        <c:axId val="155964928"/>
        <c:scaling>
          <c:orientation val="minMax"/>
        </c:scaling>
        <c:axPos val="b"/>
        <c:numFmt formatCode="0.000" sourceLinked="0"/>
        <c:majorTickMark val="cross"/>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55966848"/>
        <c:crosses val="autoZero"/>
        <c:lblAlgn val="ctr"/>
        <c:lblOffset val="100"/>
        <c:tickLblSkip val="2"/>
        <c:tickMarkSkip val="1"/>
      </c:catAx>
      <c:valAx>
        <c:axId val="155966848"/>
        <c:scaling>
          <c:orientation val="minMax"/>
        </c:scaling>
        <c:axPos val="l"/>
        <c:majorGridlines>
          <c:spPr>
            <a:ln w="3175">
              <a:solidFill>
                <a:srgbClr val="000000"/>
              </a:solidFill>
              <a:prstDash val="solid"/>
            </a:ln>
          </c:spPr>
        </c:majorGridlines>
        <c:numFmt formatCode="0.0%"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5964928"/>
        <c:crosses val="autoZero"/>
        <c:crossBetween val="between"/>
      </c:valAx>
      <c:catAx>
        <c:axId val="155976832"/>
        <c:scaling>
          <c:orientation val="minMax"/>
        </c:scaling>
        <c:delete val="1"/>
        <c:axPos val="b"/>
        <c:tickLblPos val="none"/>
        <c:crossAx val="155978368"/>
        <c:crosses val="autoZero"/>
        <c:lblAlgn val="ctr"/>
        <c:lblOffset val="100"/>
      </c:catAx>
      <c:valAx>
        <c:axId val="155978368"/>
        <c:scaling>
          <c:orientation val="minMax"/>
        </c:scaling>
        <c:delete val="1"/>
        <c:axPos val="l"/>
        <c:numFmt formatCode="0.0%" sourceLinked="1"/>
        <c:tickLblPos val="none"/>
        <c:crossAx val="155976832"/>
        <c:crosses val="autoZero"/>
        <c:crossBetween val="between"/>
      </c:valAx>
      <c:spPr>
        <a:noFill/>
        <a:ln w="12700">
          <a:solidFill>
            <a:srgbClr val="808080"/>
          </a:solidFill>
          <a:prstDash val="solid"/>
        </a:ln>
      </c:spPr>
    </c:plotArea>
    <c:legend>
      <c:legendPos val="r"/>
      <c:layout>
        <c:manualLayout>
          <c:xMode val="edge"/>
          <c:yMode val="edge"/>
          <c:x val="0.17685589519650671"/>
          <c:y val="0.17045484371271771"/>
          <c:w val="0.27074235807860225"/>
          <c:h val="0.17329575280362691"/>
        </c:manualLayout>
      </c:layout>
      <c:spPr>
        <a:noFill/>
        <a:ln w="3175">
          <a:solidFill>
            <a:srgbClr val="000000"/>
          </a:solidFill>
          <a:prstDash val="solid"/>
        </a:ln>
      </c:spPr>
      <c:txPr>
        <a:bodyPr/>
        <a:lstStyle/>
        <a:p>
          <a:pPr>
            <a:defRPr sz="1010"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200461687392972"/>
          <c:y val="8.4985835694051048E-2"/>
          <c:w val="0.84096039488101448"/>
          <c:h val="0.77620396600566577"/>
        </c:manualLayout>
      </c:layout>
      <c:barChart>
        <c:barDir val="col"/>
        <c:grouping val="clustered"/>
        <c:ser>
          <c:idx val="1"/>
          <c:order val="0"/>
          <c:tx>
            <c:v>empirical</c:v>
          </c:tx>
          <c:spPr>
            <a:pattFill prst="smCheck">
              <a:fgClr>
                <a:srgbClr val="000000"/>
              </a:fgClr>
              <a:bgClr>
                <a:srgbClr val="FFCC99"/>
              </a:bgClr>
            </a:pattFill>
            <a:ln w="12700">
              <a:solidFill>
                <a:srgbClr val="000000"/>
              </a:solidFill>
              <a:prstDash val="solid"/>
            </a:ln>
          </c:spPr>
          <c:cat>
            <c:numRef>
              <c:f>'DAX (histogram)'!$E$36:$E$57</c:f>
              <c:numCache>
                <c:formatCode>General</c:formatCode>
                <c:ptCount val="22"/>
                <c:pt idx="0">
                  <c:v>-25</c:v>
                </c:pt>
                <c:pt idx="1">
                  <c:v>-22.5</c:v>
                </c:pt>
                <c:pt idx="2">
                  <c:v>-20</c:v>
                </c:pt>
                <c:pt idx="3">
                  <c:v>-17.5</c:v>
                </c:pt>
                <c:pt idx="4">
                  <c:v>-15</c:v>
                </c:pt>
                <c:pt idx="5">
                  <c:v>-12.5</c:v>
                </c:pt>
                <c:pt idx="6">
                  <c:v>-10</c:v>
                </c:pt>
                <c:pt idx="7">
                  <c:v>-7.5</c:v>
                </c:pt>
                <c:pt idx="8">
                  <c:v>-5</c:v>
                </c:pt>
                <c:pt idx="9">
                  <c:v>-2.5</c:v>
                </c:pt>
                <c:pt idx="10">
                  <c:v>0</c:v>
                </c:pt>
                <c:pt idx="11">
                  <c:v>2.5</c:v>
                </c:pt>
                <c:pt idx="12">
                  <c:v>5</c:v>
                </c:pt>
                <c:pt idx="13">
                  <c:v>7.5</c:v>
                </c:pt>
                <c:pt idx="14">
                  <c:v>10</c:v>
                </c:pt>
                <c:pt idx="15">
                  <c:v>12.5</c:v>
                </c:pt>
                <c:pt idx="16">
                  <c:v>15</c:v>
                </c:pt>
                <c:pt idx="17">
                  <c:v>17.5</c:v>
                </c:pt>
                <c:pt idx="18">
                  <c:v>20</c:v>
                </c:pt>
                <c:pt idx="19">
                  <c:v>22.5</c:v>
                </c:pt>
                <c:pt idx="20">
                  <c:v>25</c:v>
                </c:pt>
                <c:pt idx="21">
                  <c:v>1000</c:v>
                </c:pt>
              </c:numCache>
            </c:numRef>
          </c:cat>
          <c:val>
            <c:numRef>
              <c:f>'DAX (histogram)'!$I$36:$I$57</c:f>
              <c:numCache>
                <c:formatCode>0.0%</c:formatCode>
                <c:ptCount val="22"/>
                <c:pt idx="0">
                  <c:v>0</c:v>
                </c:pt>
                <c:pt idx="1">
                  <c:v>7.6335877862595417E-3</c:v>
                </c:pt>
                <c:pt idx="2">
                  <c:v>0</c:v>
                </c:pt>
                <c:pt idx="3">
                  <c:v>7.6335877862595417E-3</c:v>
                </c:pt>
                <c:pt idx="4">
                  <c:v>7.6335877862595426E-3</c:v>
                </c:pt>
                <c:pt idx="5">
                  <c:v>7.6335877862595408E-3</c:v>
                </c:pt>
                <c:pt idx="6">
                  <c:v>7.6335877862595443E-3</c:v>
                </c:pt>
                <c:pt idx="7">
                  <c:v>3.8167938931297711E-2</c:v>
                </c:pt>
                <c:pt idx="8">
                  <c:v>3.8167938931297704E-2</c:v>
                </c:pt>
                <c:pt idx="9">
                  <c:v>9.9236641221374045E-2</c:v>
                </c:pt>
                <c:pt idx="10">
                  <c:v>0.18320610687022901</c:v>
                </c:pt>
                <c:pt idx="11">
                  <c:v>0.22137404580152675</c:v>
                </c:pt>
                <c:pt idx="12">
                  <c:v>0.19083969465648853</c:v>
                </c:pt>
                <c:pt idx="13">
                  <c:v>0.10687022900763354</c:v>
                </c:pt>
                <c:pt idx="14">
                  <c:v>6.1068702290076327E-2</c:v>
                </c:pt>
                <c:pt idx="15">
                  <c:v>0</c:v>
                </c:pt>
                <c:pt idx="16">
                  <c:v>1.5267175572519109E-2</c:v>
                </c:pt>
                <c:pt idx="17">
                  <c:v>7.6335877862595547E-3</c:v>
                </c:pt>
                <c:pt idx="18">
                  <c:v>0</c:v>
                </c:pt>
                <c:pt idx="19">
                  <c:v>0</c:v>
                </c:pt>
                <c:pt idx="20">
                  <c:v>0</c:v>
                </c:pt>
                <c:pt idx="21">
                  <c:v>0</c:v>
                </c:pt>
              </c:numCache>
            </c:numRef>
          </c:val>
        </c:ser>
        <c:gapWidth val="50"/>
        <c:axId val="156016640"/>
        <c:axId val="156018560"/>
      </c:barChart>
      <c:lineChart>
        <c:grouping val="standard"/>
        <c:ser>
          <c:idx val="0"/>
          <c:order val="1"/>
          <c:tx>
            <c:v>normal</c:v>
          </c:tx>
          <c:spPr>
            <a:ln w="12700">
              <a:solidFill>
                <a:srgbClr val="000080"/>
              </a:solidFill>
              <a:prstDash val="solid"/>
            </a:ln>
          </c:spPr>
          <c:marker>
            <c:symbol val="diamond"/>
            <c:size val="8"/>
            <c:spPr>
              <a:solidFill>
                <a:srgbClr val="FFFFFF"/>
              </a:solidFill>
              <a:ln>
                <a:solidFill>
                  <a:srgbClr val="000000"/>
                </a:solidFill>
                <a:prstDash val="solid"/>
              </a:ln>
            </c:spPr>
          </c:marker>
          <c:val>
            <c:numRef>
              <c:f>'DAX (histogram)'!$J$36:$J$57</c:f>
              <c:numCache>
                <c:formatCode>0.0%</c:formatCode>
                <c:ptCount val="22"/>
                <c:pt idx="0">
                  <c:v>5.7919362017599951E-6</c:v>
                </c:pt>
                <c:pt idx="1">
                  <c:v>3.2258926054073989E-5</c:v>
                </c:pt>
                <c:pt idx="2">
                  <c:v>1.7175184722473258E-4</c:v>
                </c:pt>
                <c:pt idx="3">
                  <c:v>7.6266060794805135E-4</c:v>
                </c:pt>
                <c:pt idx="4">
                  <c:v>2.8246697912546193E-3</c:v>
                </c:pt>
                <c:pt idx="5">
                  <c:v>8.7264213091665654E-3</c:v>
                </c:pt>
                <c:pt idx="6">
                  <c:v>2.248845713344727E-2</c:v>
                </c:pt>
                <c:pt idx="7">
                  <c:v>4.8345706299065538E-2</c:v>
                </c:pt>
                <c:pt idx="8">
                  <c:v>8.6705631881288769E-2</c:v>
                </c:pt>
                <c:pt idx="9">
                  <c:v>0.12973005672191229</c:v>
                </c:pt>
                <c:pt idx="10">
                  <c:v>0.16193724066955029</c:v>
                </c:pt>
                <c:pt idx="11">
                  <c:v>0.16864390300148679</c:v>
                </c:pt>
                <c:pt idx="12">
                  <c:v>0.14652551218884469</c:v>
                </c:pt>
                <c:pt idx="13">
                  <c:v>0.10621146403035664</c:v>
                </c:pt>
                <c:pt idx="14">
                  <c:v>6.4230000515393071E-2</c:v>
                </c:pt>
                <c:pt idx="15">
                  <c:v>3.2404235546367066E-2</c:v>
                </c:pt>
                <c:pt idx="16">
                  <c:v>1.3637921132136577E-2</c:v>
                </c:pt>
                <c:pt idx="17">
                  <c:v>4.7880515789370248E-3</c:v>
                </c:pt>
                <c:pt idx="18">
                  <c:v>1.4022072117131357E-3</c:v>
                </c:pt>
                <c:pt idx="19">
                  <c:v>3.4251836071585995E-4</c:v>
                </c:pt>
                <c:pt idx="20">
                  <c:v>6.9782538512863646E-5</c:v>
                </c:pt>
                <c:pt idx="21">
                  <c:v>1.3756772422324204E-5</c:v>
                </c:pt>
              </c:numCache>
            </c:numRef>
          </c:val>
        </c:ser>
        <c:marker val="1"/>
        <c:axId val="156020096"/>
        <c:axId val="156034176"/>
      </c:lineChart>
      <c:catAx>
        <c:axId val="156016640"/>
        <c:scaling>
          <c:orientation val="minMax"/>
        </c:scaling>
        <c:axPos val="b"/>
        <c:numFmt formatCode="0" sourceLinked="0"/>
        <c:majorTickMark val="cross"/>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56018560"/>
        <c:crosses val="autoZero"/>
        <c:lblAlgn val="ctr"/>
        <c:lblOffset val="100"/>
        <c:tickLblSkip val="2"/>
        <c:tickMarkSkip val="1"/>
      </c:catAx>
      <c:valAx>
        <c:axId val="156018560"/>
        <c:scaling>
          <c:orientation val="minMax"/>
          <c:max val="0.25"/>
        </c:scaling>
        <c:axPos val="l"/>
        <c:majorGridlines>
          <c:spPr>
            <a:ln w="3175">
              <a:solidFill>
                <a:srgbClr val="000000"/>
              </a:solidFill>
              <a:prstDash val="solid"/>
            </a:ln>
          </c:spPr>
        </c:majorGridlines>
        <c:numFmt formatCode="0.0%"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6016640"/>
        <c:crosses val="autoZero"/>
        <c:crossBetween val="between"/>
      </c:valAx>
      <c:catAx>
        <c:axId val="156020096"/>
        <c:scaling>
          <c:orientation val="minMax"/>
        </c:scaling>
        <c:delete val="1"/>
        <c:axPos val="b"/>
        <c:tickLblPos val="none"/>
        <c:crossAx val="156034176"/>
        <c:crosses val="autoZero"/>
        <c:lblAlgn val="ctr"/>
        <c:lblOffset val="100"/>
      </c:catAx>
      <c:valAx>
        <c:axId val="156034176"/>
        <c:scaling>
          <c:orientation val="minMax"/>
        </c:scaling>
        <c:delete val="1"/>
        <c:axPos val="l"/>
        <c:numFmt formatCode="0.0%" sourceLinked="1"/>
        <c:tickLblPos val="none"/>
        <c:crossAx val="156020096"/>
        <c:crosses val="autoZero"/>
        <c:crossBetween val="between"/>
      </c:valAx>
      <c:spPr>
        <a:noFill/>
        <a:ln w="12700">
          <a:solidFill>
            <a:srgbClr val="808080"/>
          </a:solidFill>
          <a:prstDash val="solid"/>
        </a:ln>
      </c:spPr>
    </c:plotArea>
    <c:legend>
      <c:legendPos val="r"/>
      <c:layout>
        <c:manualLayout>
          <c:xMode val="edge"/>
          <c:yMode val="edge"/>
          <c:x val="0.16339915026961488"/>
          <c:y val="0.23512747875354087"/>
          <c:w val="0.27015319163535989"/>
          <c:h val="0.17280453257790426"/>
        </c:manualLayout>
      </c:layout>
      <c:spPr>
        <a:noFill/>
        <a:ln w="3175">
          <a:solidFill>
            <a:srgbClr val="000000"/>
          </a:solidFill>
          <a:prstDash val="solid"/>
        </a:ln>
      </c:spPr>
      <c:txPr>
        <a:bodyPr/>
        <a:lstStyle/>
        <a:p>
          <a:pPr>
            <a:defRPr sz="1010"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8.9353695113562767E-2"/>
          <c:y val="7.6923290941314379E-2"/>
          <c:w val="0.88973466623717778"/>
          <c:h val="0.79202499561797668"/>
        </c:manualLayout>
      </c:layout>
      <c:lineChart>
        <c:grouping val="standard"/>
        <c:ser>
          <c:idx val="1"/>
          <c:order val="0"/>
          <c:tx>
            <c:v>µ=0,s=1</c:v>
          </c:tx>
          <c:spPr>
            <a:ln w="25400">
              <a:solidFill>
                <a:srgbClr val="FF00FF"/>
              </a:solidFill>
              <a:prstDash val="solid"/>
            </a:ln>
          </c:spPr>
          <c:marker>
            <c:symbol val="none"/>
          </c:marker>
          <c:cat>
            <c:numRef>
              <c:f>'normal distribution'!$A$7:$A$127</c:f>
              <c:numCache>
                <c:formatCode>0.0</c:formatCode>
                <c:ptCount val="121"/>
                <c:pt idx="0" formatCode="General">
                  <c:v>-6</c:v>
                </c:pt>
                <c:pt idx="1">
                  <c:v>-5.9</c:v>
                </c:pt>
                <c:pt idx="2">
                  <c:v>-5.8000000000000007</c:v>
                </c:pt>
                <c:pt idx="3">
                  <c:v>-5.7000000000000011</c:v>
                </c:pt>
                <c:pt idx="4">
                  <c:v>-5.6000000000000014</c:v>
                </c:pt>
                <c:pt idx="5">
                  <c:v>-5.5000000000000018</c:v>
                </c:pt>
                <c:pt idx="6">
                  <c:v>-5.4000000000000021</c:v>
                </c:pt>
                <c:pt idx="7">
                  <c:v>-5.3000000000000025</c:v>
                </c:pt>
                <c:pt idx="8">
                  <c:v>-5.2000000000000028</c:v>
                </c:pt>
                <c:pt idx="9">
                  <c:v>-5.1000000000000032</c:v>
                </c:pt>
                <c:pt idx="10">
                  <c:v>-5.0000000000000036</c:v>
                </c:pt>
                <c:pt idx="11">
                  <c:v>-4.9000000000000039</c:v>
                </c:pt>
                <c:pt idx="12">
                  <c:v>-4.8000000000000043</c:v>
                </c:pt>
                <c:pt idx="13">
                  <c:v>-4.7000000000000046</c:v>
                </c:pt>
                <c:pt idx="14">
                  <c:v>-4.600000000000005</c:v>
                </c:pt>
                <c:pt idx="15">
                  <c:v>-4.5000000000000053</c:v>
                </c:pt>
                <c:pt idx="16">
                  <c:v>-4.4000000000000057</c:v>
                </c:pt>
                <c:pt idx="17">
                  <c:v>-4.300000000000006</c:v>
                </c:pt>
                <c:pt idx="18">
                  <c:v>-4.2000000000000064</c:v>
                </c:pt>
                <c:pt idx="19">
                  <c:v>-4.1000000000000068</c:v>
                </c:pt>
                <c:pt idx="20">
                  <c:v>-4.0000000000000071</c:v>
                </c:pt>
                <c:pt idx="21">
                  <c:v>-3.900000000000007</c:v>
                </c:pt>
                <c:pt idx="22">
                  <c:v>-3.8000000000000069</c:v>
                </c:pt>
                <c:pt idx="23">
                  <c:v>-3.7000000000000068</c:v>
                </c:pt>
                <c:pt idx="24">
                  <c:v>-3.6000000000000068</c:v>
                </c:pt>
                <c:pt idx="25">
                  <c:v>-3.5000000000000067</c:v>
                </c:pt>
                <c:pt idx="26">
                  <c:v>-3.4000000000000066</c:v>
                </c:pt>
                <c:pt idx="27">
                  <c:v>-3.3000000000000065</c:v>
                </c:pt>
                <c:pt idx="28">
                  <c:v>-3.2000000000000064</c:v>
                </c:pt>
                <c:pt idx="29">
                  <c:v>-3.1000000000000063</c:v>
                </c:pt>
                <c:pt idx="30">
                  <c:v>-3.0000000000000062</c:v>
                </c:pt>
                <c:pt idx="31">
                  <c:v>-2.9000000000000061</c:v>
                </c:pt>
                <c:pt idx="32">
                  <c:v>-2.800000000000006</c:v>
                </c:pt>
                <c:pt idx="33">
                  <c:v>-2.700000000000006</c:v>
                </c:pt>
                <c:pt idx="34">
                  <c:v>-2.6000000000000059</c:v>
                </c:pt>
                <c:pt idx="35">
                  <c:v>-2.5000000000000058</c:v>
                </c:pt>
                <c:pt idx="36">
                  <c:v>-2.4000000000000057</c:v>
                </c:pt>
                <c:pt idx="37">
                  <c:v>-2.3000000000000056</c:v>
                </c:pt>
                <c:pt idx="38">
                  <c:v>-2.2000000000000055</c:v>
                </c:pt>
                <c:pt idx="39">
                  <c:v>-2.1000000000000054</c:v>
                </c:pt>
                <c:pt idx="40">
                  <c:v>-2.0000000000000053</c:v>
                </c:pt>
                <c:pt idx="41">
                  <c:v>-1.9000000000000052</c:v>
                </c:pt>
                <c:pt idx="42">
                  <c:v>-1.8000000000000052</c:v>
                </c:pt>
                <c:pt idx="43">
                  <c:v>-1.7000000000000051</c:v>
                </c:pt>
                <c:pt idx="44">
                  <c:v>-1.600000000000005</c:v>
                </c:pt>
                <c:pt idx="45">
                  <c:v>-1.5000000000000049</c:v>
                </c:pt>
                <c:pt idx="46">
                  <c:v>-1.4000000000000048</c:v>
                </c:pt>
                <c:pt idx="47">
                  <c:v>-1.3000000000000047</c:v>
                </c:pt>
                <c:pt idx="48">
                  <c:v>-1.2000000000000046</c:v>
                </c:pt>
                <c:pt idx="49">
                  <c:v>-1.1000000000000045</c:v>
                </c:pt>
                <c:pt idx="50">
                  <c:v>-1.0000000000000044</c:v>
                </c:pt>
                <c:pt idx="51">
                  <c:v>-0.90000000000000446</c:v>
                </c:pt>
                <c:pt idx="52">
                  <c:v>-0.80000000000000449</c:v>
                </c:pt>
                <c:pt idx="53">
                  <c:v>-0.70000000000000451</c:v>
                </c:pt>
                <c:pt idx="54">
                  <c:v>-0.60000000000000453</c:v>
                </c:pt>
                <c:pt idx="55">
                  <c:v>-0.50000000000000455</c:v>
                </c:pt>
                <c:pt idx="56">
                  <c:v>-0.40000000000000457</c:v>
                </c:pt>
                <c:pt idx="57">
                  <c:v>-0.3000000000000046</c:v>
                </c:pt>
                <c:pt idx="58">
                  <c:v>-0.20000000000000459</c:v>
                </c:pt>
                <c:pt idx="59">
                  <c:v>-0.10000000000000459</c:v>
                </c:pt>
                <c:pt idx="60">
                  <c:v>-4.5796699765787707E-15</c:v>
                </c:pt>
                <c:pt idx="61">
                  <c:v>9.9999999999995426E-2</c:v>
                </c:pt>
                <c:pt idx="62">
                  <c:v>0.19999999999999543</c:v>
                </c:pt>
                <c:pt idx="63">
                  <c:v>0.29999999999999544</c:v>
                </c:pt>
                <c:pt idx="64">
                  <c:v>0.39999999999999547</c:v>
                </c:pt>
                <c:pt idx="65">
                  <c:v>0.49999999999999545</c:v>
                </c:pt>
                <c:pt idx="66">
                  <c:v>0.59999999999999543</c:v>
                </c:pt>
                <c:pt idx="67">
                  <c:v>0.6999999999999954</c:v>
                </c:pt>
                <c:pt idx="68">
                  <c:v>0.79999999999999538</c:v>
                </c:pt>
                <c:pt idx="69">
                  <c:v>0.89999999999999536</c:v>
                </c:pt>
                <c:pt idx="70">
                  <c:v>0.99999999999999534</c:v>
                </c:pt>
                <c:pt idx="71">
                  <c:v>1.0999999999999954</c:v>
                </c:pt>
                <c:pt idx="72">
                  <c:v>1.1999999999999955</c:v>
                </c:pt>
                <c:pt idx="73">
                  <c:v>1.2999999999999956</c:v>
                </c:pt>
                <c:pt idx="74">
                  <c:v>1.3999999999999957</c:v>
                </c:pt>
                <c:pt idx="75">
                  <c:v>1.4999999999999958</c:v>
                </c:pt>
                <c:pt idx="76">
                  <c:v>1.5999999999999959</c:v>
                </c:pt>
                <c:pt idx="77">
                  <c:v>1.699999999999996</c:v>
                </c:pt>
                <c:pt idx="78">
                  <c:v>1.799999999999996</c:v>
                </c:pt>
                <c:pt idx="79">
                  <c:v>1.8999999999999961</c:v>
                </c:pt>
                <c:pt idx="80">
                  <c:v>1.9999999999999962</c:v>
                </c:pt>
                <c:pt idx="81">
                  <c:v>2.0999999999999961</c:v>
                </c:pt>
                <c:pt idx="82">
                  <c:v>2.1999999999999962</c:v>
                </c:pt>
                <c:pt idx="83">
                  <c:v>2.2999999999999963</c:v>
                </c:pt>
                <c:pt idx="84">
                  <c:v>2.3999999999999964</c:v>
                </c:pt>
                <c:pt idx="85">
                  <c:v>2.4999999999999964</c:v>
                </c:pt>
                <c:pt idx="86">
                  <c:v>2.5999999999999965</c:v>
                </c:pt>
                <c:pt idx="87">
                  <c:v>2.6999999999999966</c:v>
                </c:pt>
                <c:pt idx="88">
                  <c:v>2.7999999999999967</c:v>
                </c:pt>
                <c:pt idx="89">
                  <c:v>2.8999999999999968</c:v>
                </c:pt>
                <c:pt idx="90">
                  <c:v>2.9999999999999969</c:v>
                </c:pt>
                <c:pt idx="91">
                  <c:v>3.099999999999997</c:v>
                </c:pt>
                <c:pt idx="92">
                  <c:v>3.1999999999999971</c:v>
                </c:pt>
                <c:pt idx="93">
                  <c:v>3.2999999999999972</c:v>
                </c:pt>
                <c:pt idx="94">
                  <c:v>3.3999999999999972</c:v>
                </c:pt>
                <c:pt idx="95">
                  <c:v>3.4999999999999973</c:v>
                </c:pt>
                <c:pt idx="96">
                  <c:v>3.5999999999999974</c:v>
                </c:pt>
                <c:pt idx="97">
                  <c:v>3.6999999999999975</c:v>
                </c:pt>
                <c:pt idx="98">
                  <c:v>3.7999999999999976</c:v>
                </c:pt>
                <c:pt idx="99">
                  <c:v>3.8999999999999977</c:v>
                </c:pt>
                <c:pt idx="100">
                  <c:v>3.9999999999999978</c:v>
                </c:pt>
                <c:pt idx="101">
                  <c:v>4.0999999999999979</c:v>
                </c:pt>
                <c:pt idx="102">
                  <c:v>4.1999999999999975</c:v>
                </c:pt>
                <c:pt idx="103">
                  <c:v>4.2999999999999972</c:v>
                </c:pt>
                <c:pt idx="104">
                  <c:v>4.3999999999999968</c:v>
                </c:pt>
                <c:pt idx="105">
                  <c:v>4.4999999999999964</c:v>
                </c:pt>
                <c:pt idx="106">
                  <c:v>4.5999999999999961</c:v>
                </c:pt>
                <c:pt idx="107">
                  <c:v>4.6999999999999957</c:v>
                </c:pt>
                <c:pt idx="108">
                  <c:v>4.7999999999999954</c:v>
                </c:pt>
                <c:pt idx="109">
                  <c:v>4.899999999999995</c:v>
                </c:pt>
                <c:pt idx="110">
                  <c:v>4.9999999999999947</c:v>
                </c:pt>
                <c:pt idx="111">
                  <c:v>5.0999999999999943</c:v>
                </c:pt>
                <c:pt idx="112">
                  <c:v>5.199999999999994</c:v>
                </c:pt>
                <c:pt idx="113">
                  <c:v>5.2999999999999936</c:v>
                </c:pt>
                <c:pt idx="114">
                  <c:v>5.3999999999999932</c:v>
                </c:pt>
                <c:pt idx="115">
                  <c:v>5.4999999999999929</c:v>
                </c:pt>
                <c:pt idx="116">
                  <c:v>5.5999999999999925</c:v>
                </c:pt>
                <c:pt idx="117">
                  <c:v>5.6999999999999922</c:v>
                </c:pt>
                <c:pt idx="118">
                  <c:v>5.7999999999999918</c:v>
                </c:pt>
                <c:pt idx="119">
                  <c:v>5.8999999999999915</c:v>
                </c:pt>
                <c:pt idx="120">
                  <c:v>5.9999999999999911</c:v>
                </c:pt>
              </c:numCache>
            </c:numRef>
          </c:cat>
          <c:val>
            <c:numRef>
              <c:f>'normal distribution'!$B$7:$B$127</c:f>
              <c:numCache>
                <c:formatCode>General</c:formatCode>
                <c:ptCount val="121"/>
                <c:pt idx="0">
                  <c:v>6.0774235424813474E-9</c:v>
                </c:pt>
                <c:pt idx="1">
                  <c:v>1.1018556948148046E-8</c:v>
                </c:pt>
                <c:pt idx="2">
                  <c:v>1.9778210396685578E-8</c:v>
                </c:pt>
                <c:pt idx="3">
                  <c:v>3.514846146367853E-8</c:v>
                </c:pt>
                <c:pt idx="4">
                  <c:v>6.1841882588352104E-8</c:v>
                </c:pt>
                <c:pt idx="5">
                  <c:v>1.0772490985623658E-7</c:v>
                </c:pt>
                <c:pt idx="6">
                  <c:v>1.8578328252881146E-7</c:v>
                </c:pt>
                <c:pt idx="7">
                  <c:v>3.172153391940362E-7</c:v>
                </c:pt>
                <c:pt idx="8">
                  <c:v>5.3623947698213152E-7</c:v>
                </c:pt>
                <c:pt idx="9">
                  <c:v>8.9747103486106431E-7</c:v>
                </c:pt>
                <c:pt idx="10">
                  <c:v>1.4870965097977977E-6</c:v>
                </c:pt>
                <c:pt idx="11">
                  <c:v>2.4395792056311613E-6</c:v>
                </c:pt>
                <c:pt idx="12">
                  <c:v>3.9623035778821796E-6</c:v>
                </c:pt>
                <c:pt idx="13">
                  <c:v>6.3714404079832573E-6</c:v>
                </c:pt>
                <c:pt idx="14">
                  <c:v>1.0143423533157948E-5</c:v>
                </c:pt>
                <c:pt idx="15">
                  <c:v>1.5987794185804134E-5</c:v>
                </c:pt>
                <c:pt idx="16">
                  <c:v>2.494879607993787E-5</c:v>
                </c:pt>
                <c:pt idx="17">
                  <c:v>3.8544968308813925E-5</c:v>
                </c:pt>
                <c:pt idx="18">
                  <c:v>5.8958014251390256E-5</c:v>
                </c:pt>
                <c:pt idx="19">
                  <c:v>8.928429171161013E-5</c:v>
                </c:pt>
                <c:pt idx="20">
                  <c:v>1.3386416177901464E-4</c:v>
                </c:pt>
                <c:pt idx="21">
                  <c:v>1.9870584547564929E-4</c:v>
                </c:pt>
                <c:pt idx="22">
                  <c:v>2.9202095626508539E-4</c:v>
                </c:pt>
                <c:pt idx="23">
                  <c:v>4.2488798425429687E-4</c:v>
                </c:pt>
                <c:pt idx="24">
                  <c:v>6.1205709321259926E-4</c:v>
                </c:pt>
                <c:pt idx="25">
                  <c:v>8.7290398565556689E-4</c:v>
                </c:pt>
                <c:pt idx="26">
                  <c:v>1.2325316285833839E-3</c:v>
                </c:pt>
                <c:pt idx="27">
                  <c:v>1.7230057396607319E-3</c:v>
                </c:pt>
                <c:pt idx="28">
                  <c:v>2.3846927468911877E-3</c:v>
                </c:pt>
                <c:pt idx="29">
                  <c:v>3.2676474401992705E-3</c:v>
                </c:pt>
                <c:pt idx="30">
                  <c:v>4.4329722183836188E-3</c:v>
                </c:pt>
                <c:pt idx="31">
                  <c:v>5.9540418338350203E-3</c:v>
                </c:pt>
                <c:pt idx="32">
                  <c:v>7.9174587444805645E-3</c:v>
                </c:pt>
                <c:pt idx="33">
                  <c:v>1.0423577304107558E-2</c:v>
                </c:pt>
                <c:pt idx="34">
                  <c:v>1.3586413536594181E-2</c:v>
                </c:pt>
                <c:pt idx="35">
                  <c:v>1.7532745234282721E-2</c:v>
                </c:pt>
                <c:pt idx="36">
                  <c:v>2.2400208990311019E-2</c:v>
                </c:pt>
                <c:pt idx="37">
                  <c:v>2.8334220773293787E-2</c:v>
                </c:pt>
                <c:pt idx="38">
                  <c:v>3.5483588319991259E-2</c:v>
                </c:pt>
                <c:pt idx="39">
                  <c:v>4.3994749125587186E-2</c:v>
                </c:pt>
                <c:pt idx="40">
                  <c:v>5.4004657278425149E-2</c:v>
                </c:pt>
                <c:pt idx="41">
                  <c:v>6.5632453312082728E-2</c:v>
                </c:pt>
                <c:pt idx="42">
                  <c:v>7.8970178095918026E-2</c:v>
                </c:pt>
                <c:pt idx="43">
                  <c:v>9.4072925881966529E-2</c:v>
                </c:pt>
                <c:pt idx="44">
                  <c:v>0.11094896144223806</c:v>
                </c:pt>
                <c:pt idx="45">
                  <c:v>0.12955043810437492</c:v>
                </c:pt>
                <c:pt idx="46">
                  <c:v>0.14976543279421561</c:v>
                </c:pt>
                <c:pt idx="47">
                  <c:v>0.17141204685727454</c:v>
                </c:pt>
                <c:pt idx="48">
                  <c:v>0.19423529573333911</c:v>
                </c:pt>
                <c:pt idx="49">
                  <c:v>0.21790741892216334</c:v>
                </c:pt>
                <c:pt idx="50">
                  <c:v>0.24203208227207251</c:v>
                </c:pt>
                <c:pt idx="51">
                  <c:v>0.26615272249509409</c:v>
                </c:pt>
                <c:pt idx="52">
                  <c:v>0.2897650113286519</c:v>
                </c:pt>
                <c:pt idx="53">
                  <c:v>0.3123331131920597</c:v>
                </c:pt>
                <c:pt idx="54">
                  <c:v>0.33330910035691619</c:v>
                </c:pt>
                <c:pt idx="55">
                  <c:v>0.35215460176803237</c:v>
                </c:pt>
                <c:pt idx="56">
                  <c:v>0.36836352444442155</c:v>
                </c:pt>
                <c:pt idx="57">
                  <c:v>0.38148452591753496</c:v>
                </c:pt>
                <c:pt idx="58">
                  <c:v>0.39114185266934209</c:v>
                </c:pt>
                <c:pt idx="59">
                  <c:v>0.39705320476264611</c:v>
                </c:pt>
                <c:pt idx="60">
                  <c:v>0.39904344223381111</c:v>
                </c:pt>
                <c:pt idx="61">
                  <c:v>0.39705320476264649</c:v>
                </c:pt>
                <c:pt idx="62">
                  <c:v>0.39114185266934282</c:v>
                </c:pt>
                <c:pt idx="63">
                  <c:v>0.38148452591753595</c:v>
                </c:pt>
                <c:pt idx="64">
                  <c:v>0.36836352444442289</c:v>
                </c:pt>
                <c:pt idx="65">
                  <c:v>0.35215460176803404</c:v>
                </c:pt>
                <c:pt idx="66">
                  <c:v>0.33330910035691802</c:v>
                </c:pt>
                <c:pt idx="67">
                  <c:v>0.3123331131920617</c:v>
                </c:pt>
                <c:pt idx="68">
                  <c:v>0.28976501132865401</c:v>
                </c:pt>
                <c:pt idx="69">
                  <c:v>0.26615272249509625</c:v>
                </c:pt>
                <c:pt idx="70">
                  <c:v>0.24203208227207468</c:v>
                </c:pt>
                <c:pt idx="71">
                  <c:v>0.2179074189221655</c:v>
                </c:pt>
                <c:pt idx="72">
                  <c:v>0.19423529573334122</c:v>
                </c:pt>
                <c:pt idx="73">
                  <c:v>0.17141204685727657</c:v>
                </c:pt>
                <c:pt idx="74">
                  <c:v>0.14976543279421753</c:v>
                </c:pt>
                <c:pt idx="75">
                  <c:v>0.12955043810437666</c:v>
                </c:pt>
                <c:pt idx="76">
                  <c:v>0.11094896144223969</c:v>
                </c:pt>
                <c:pt idx="77">
                  <c:v>9.4072925881967973E-2</c:v>
                </c:pt>
                <c:pt idx="78">
                  <c:v>7.897017809591933E-2</c:v>
                </c:pt>
                <c:pt idx="79">
                  <c:v>6.5632453312083866E-2</c:v>
                </c:pt>
                <c:pt idx="80">
                  <c:v>5.400465727842612E-2</c:v>
                </c:pt>
                <c:pt idx="81">
                  <c:v>4.3994749125588047E-2</c:v>
                </c:pt>
                <c:pt idx="82">
                  <c:v>3.5483588319991981E-2</c:v>
                </c:pt>
                <c:pt idx="83">
                  <c:v>2.8334220773294391E-2</c:v>
                </c:pt>
                <c:pt idx="84">
                  <c:v>2.2400208990311518E-2</c:v>
                </c:pt>
                <c:pt idx="85">
                  <c:v>1.7532745234283127E-2</c:v>
                </c:pt>
                <c:pt idx="86">
                  <c:v>1.3586413536594514E-2</c:v>
                </c:pt>
                <c:pt idx="87">
                  <c:v>1.042357730410782E-2</c:v>
                </c:pt>
                <c:pt idx="88">
                  <c:v>7.9174587444807709E-3</c:v>
                </c:pt>
                <c:pt idx="89">
                  <c:v>5.9540418338351851E-3</c:v>
                </c:pt>
                <c:pt idx="90">
                  <c:v>4.4329722183837402E-3</c:v>
                </c:pt>
                <c:pt idx="91">
                  <c:v>3.2676474401993638E-3</c:v>
                </c:pt>
                <c:pt idx="92">
                  <c:v>2.3846927468912597E-3</c:v>
                </c:pt>
                <c:pt idx="93">
                  <c:v>1.7230057396607856E-3</c:v>
                </c:pt>
                <c:pt idx="94">
                  <c:v>1.2325316285834234E-3</c:v>
                </c:pt>
                <c:pt idx="95">
                  <c:v>8.7290398565559476E-4</c:v>
                </c:pt>
                <c:pt idx="96">
                  <c:v>6.1205709321261986E-4</c:v>
                </c:pt>
                <c:pt idx="97">
                  <c:v>4.2488798425431156E-4</c:v>
                </c:pt>
                <c:pt idx="98">
                  <c:v>2.9202095626509574E-4</c:v>
                </c:pt>
                <c:pt idx="99">
                  <c:v>1.987058454756565E-4</c:v>
                </c:pt>
                <c:pt idx="100">
                  <c:v>1.3386416177901966E-4</c:v>
                </c:pt>
                <c:pt idx="101">
                  <c:v>8.9284291711613464E-5</c:v>
                </c:pt>
                <c:pt idx="102">
                  <c:v>5.8958014251392452E-5</c:v>
                </c:pt>
                <c:pt idx="103">
                  <c:v>3.8544968308815362E-5</c:v>
                </c:pt>
                <c:pt idx="104">
                  <c:v>2.4948796079938849E-5</c:v>
                </c:pt>
                <c:pt idx="105">
                  <c:v>1.5987794185804785E-5</c:v>
                </c:pt>
                <c:pt idx="106">
                  <c:v>1.0143423533158361E-5</c:v>
                </c:pt>
                <c:pt idx="107">
                  <c:v>6.3714404079835182E-6</c:v>
                </c:pt>
                <c:pt idx="108">
                  <c:v>3.962303577882349E-6</c:v>
                </c:pt>
                <c:pt idx="109">
                  <c:v>2.439579205631265E-6</c:v>
                </c:pt>
                <c:pt idx="110">
                  <c:v>1.4870965097978638E-6</c:v>
                </c:pt>
                <c:pt idx="111">
                  <c:v>8.9747103486110571E-7</c:v>
                </c:pt>
                <c:pt idx="112">
                  <c:v>5.362394769821564E-7</c:v>
                </c:pt>
                <c:pt idx="113">
                  <c:v>3.1721533919405086E-7</c:v>
                </c:pt>
                <c:pt idx="114">
                  <c:v>1.8578328252882038E-7</c:v>
                </c:pt>
                <c:pt idx="115">
                  <c:v>1.0772490985624194E-7</c:v>
                </c:pt>
                <c:pt idx="116">
                  <c:v>6.1841882588355174E-8</c:v>
                </c:pt>
                <c:pt idx="117">
                  <c:v>3.5148461463680277E-8</c:v>
                </c:pt>
                <c:pt idx="118">
                  <c:v>1.977821039668656E-8</c:v>
                </c:pt>
                <c:pt idx="119">
                  <c:v>1.1018556948148594E-8</c:v>
                </c:pt>
                <c:pt idx="120">
                  <c:v>6.0774235424816708E-9</c:v>
                </c:pt>
              </c:numCache>
            </c:numRef>
          </c:val>
        </c:ser>
        <c:ser>
          <c:idx val="2"/>
          <c:order val="1"/>
          <c:tx>
            <c:v>µ=0,s=2</c:v>
          </c:tx>
          <c:spPr>
            <a:ln w="25400">
              <a:solidFill>
                <a:srgbClr val="FFFF00"/>
              </a:solidFill>
              <a:prstDash val="solid"/>
            </a:ln>
          </c:spPr>
          <c:marker>
            <c:symbol val="none"/>
          </c:marker>
          <c:cat>
            <c:numRef>
              <c:f>'normal distribution'!$A$7:$A$127</c:f>
              <c:numCache>
                <c:formatCode>0.0</c:formatCode>
                <c:ptCount val="121"/>
                <c:pt idx="0" formatCode="General">
                  <c:v>-6</c:v>
                </c:pt>
                <c:pt idx="1">
                  <c:v>-5.9</c:v>
                </c:pt>
                <c:pt idx="2">
                  <c:v>-5.8000000000000007</c:v>
                </c:pt>
                <c:pt idx="3">
                  <c:v>-5.7000000000000011</c:v>
                </c:pt>
                <c:pt idx="4">
                  <c:v>-5.6000000000000014</c:v>
                </c:pt>
                <c:pt idx="5">
                  <c:v>-5.5000000000000018</c:v>
                </c:pt>
                <c:pt idx="6">
                  <c:v>-5.4000000000000021</c:v>
                </c:pt>
                <c:pt idx="7">
                  <c:v>-5.3000000000000025</c:v>
                </c:pt>
                <c:pt idx="8">
                  <c:v>-5.2000000000000028</c:v>
                </c:pt>
                <c:pt idx="9">
                  <c:v>-5.1000000000000032</c:v>
                </c:pt>
                <c:pt idx="10">
                  <c:v>-5.0000000000000036</c:v>
                </c:pt>
                <c:pt idx="11">
                  <c:v>-4.9000000000000039</c:v>
                </c:pt>
                <c:pt idx="12">
                  <c:v>-4.8000000000000043</c:v>
                </c:pt>
                <c:pt idx="13">
                  <c:v>-4.7000000000000046</c:v>
                </c:pt>
                <c:pt idx="14">
                  <c:v>-4.600000000000005</c:v>
                </c:pt>
                <c:pt idx="15">
                  <c:v>-4.5000000000000053</c:v>
                </c:pt>
                <c:pt idx="16">
                  <c:v>-4.4000000000000057</c:v>
                </c:pt>
                <c:pt idx="17">
                  <c:v>-4.300000000000006</c:v>
                </c:pt>
                <c:pt idx="18">
                  <c:v>-4.2000000000000064</c:v>
                </c:pt>
                <c:pt idx="19">
                  <c:v>-4.1000000000000068</c:v>
                </c:pt>
                <c:pt idx="20">
                  <c:v>-4.0000000000000071</c:v>
                </c:pt>
                <c:pt idx="21">
                  <c:v>-3.900000000000007</c:v>
                </c:pt>
                <c:pt idx="22">
                  <c:v>-3.8000000000000069</c:v>
                </c:pt>
                <c:pt idx="23">
                  <c:v>-3.7000000000000068</c:v>
                </c:pt>
                <c:pt idx="24">
                  <c:v>-3.6000000000000068</c:v>
                </c:pt>
                <c:pt idx="25">
                  <c:v>-3.5000000000000067</c:v>
                </c:pt>
                <c:pt idx="26">
                  <c:v>-3.4000000000000066</c:v>
                </c:pt>
                <c:pt idx="27">
                  <c:v>-3.3000000000000065</c:v>
                </c:pt>
                <c:pt idx="28">
                  <c:v>-3.2000000000000064</c:v>
                </c:pt>
                <c:pt idx="29">
                  <c:v>-3.1000000000000063</c:v>
                </c:pt>
                <c:pt idx="30">
                  <c:v>-3.0000000000000062</c:v>
                </c:pt>
                <c:pt idx="31">
                  <c:v>-2.9000000000000061</c:v>
                </c:pt>
                <c:pt idx="32">
                  <c:v>-2.800000000000006</c:v>
                </c:pt>
                <c:pt idx="33">
                  <c:v>-2.700000000000006</c:v>
                </c:pt>
                <c:pt idx="34">
                  <c:v>-2.6000000000000059</c:v>
                </c:pt>
                <c:pt idx="35">
                  <c:v>-2.5000000000000058</c:v>
                </c:pt>
                <c:pt idx="36">
                  <c:v>-2.4000000000000057</c:v>
                </c:pt>
                <c:pt idx="37">
                  <c:v>-2.3000000000000056</c:v>
                </c:pt>
                <c:pt idx="38">
                  <c:v>-2.2000000000000055</c:v>
                </c:pt>
                <c:pt idx="39">
                  <c:v>-2.1000000000000054</c:v>
                </c:pt>
                <c:pt idx="40">
                  <c:v>-2.0000000000000053</c:v>
                </c:pt>
                <c:pt idx="41">
                  <c:v>-1.9000000000000052</c:v>
                </c:pt>
                <c:pt idx="42">
                  <c:v>-1.8000000000000052</c:v>
                </c:pt>
                <c:pt idx="43">
                  <c:v>-1.7000000000000051</c:v>
                </c:pt>
                <c:pt idx="44">
                  <c:v>-1.600000000000005</c:v>
                </c:pt>
                <c:pt idx="45">
                  <c:v>-1.5000000000000049</c:v>
                </c:pt>
                <c:pt idx="46">
                  <c:v>-1.4000000000000048</c:v>
                </c:pt>
                <c:pt idx="47">
                  <c:v>-1.3000000000000047</c:v>
                </c:pt>
                <c:pt idx="48">
                  <c:v>-1.2000000000000046</c:v>
                </c:pt>
                <c:pt idx="49">
                  <c:v>-1.1000000000000045</c:v>
                </c:pt>
                <c:pt idx="50">
                  <c:v>-1.0000000000000044</c:v>
                </c:pt>
                <c:pt idx="51">
                  <c:v>-0.90000000000000446</c:v>
                </c:pt>
                <c:pt idx="52">
                  <c:v>-0.80000000000000449</c:v>
                </c:pt>
                <c:pt idx="53">
                  <c:v>-0.70000000000000451</c:v>
                </c:pt>
                <c:pt idx="54">
                  <c:v>-0.60000000000000453</c:v>
                </c:pt>
                <c:pt idx="55">
                  <c:v>-0.50000000000000455</c:v>
                </c:pt>
                <c:pt idx="56">
                  <c:v>-0.40000000000000457</c:v>
                </c:pt>
                <c:pt idx="57">
                  <c:v>-0.3000000000000046</c:v>
                </c:pt>
                <c:pt idx="58">
                  <c:v>-0.20000000000000459</c:v>
                </c:pt>
                <c:pt idx="59">
                  <c:v>-0.10000000000000459</c:v>
                </c:pt>
                <c:pt idx="60">
                  <c:v>-4.5796699765787707E-15</c:v>
                </c:pt>
                <c:pt idx="61">
                  <c:v>9.9999999999995426E-2</c:v>
                </c:pt>
                <c:pt idx="62">
                  <c:v>0.19999999999999543</c:v>
                </c:pt>
                <c:pt idx="63">
                  <c:v>0.29999999999999544</c:v>
                </c:pt>
                <c:pt idx="64">
                  <c:v>0.39999999999999547</c:v>
                </c:pt>
                <c:pt idx="65">
                  <c:v>0.49999999999999545</c:v>
                </c:pt>
                <c:pt idx="66">
                  <c:v>0.59999999999999543</c:v>
                </c:pt>
                <c:pt idx="67">
                  <c:v>0.6999999999999954</c:v>
                </c:pt>
                <c:pt idx="68">
                  <c:v>0.79999999999999538</c:v>
                </c:pt>
                <c:pt idx="69">
                  <c:v>0.89999999999999536</c:v>
                </c:pt>
                <c:pt idx="70">
                  <c:v>0.99999999999999534</c:v>
                </c:pt>
                <c:pt idx="71">
                  <c:v>1.0999999999999954</c:v>
                </c:pt>
                <c:pt idx="72">
                  <c:v>1.1999999999999955</c:v>
                </c:pt>
                <c:pt idx="73">
                  <c:v>1.2999999999999956</c:v>
                </c:pt>
                <c:pt idx="74">
                  <c:v>1.3999999999999957</c:v>
                </c:pt>
                <c:pt idx="75">
                  <c:v>1.4999999999999958</c:v>
                </c:pt>
                <c:pt idx="76">
                  <c:v>1.5999999999999959</c:v>
                </c:pt>
                <c:pt idx="77">
                  <c:v>1.699999999999996</c:v>
                </c:pt>
                <c:pt idx="78">
                  <c:v>1.799999999999996</c:v>
                </c:pt>
                <c:pt idx="79">
                  <c:v>1.8999999999999961</c:v>
                </c:pt>
                <c:pt idx="80">
                  <c:v>1.9999999999999962</c:v>
                </c:pt>
                <c:pt idx="81">
                  <c:v>2.0999999999999961</c:v>
                </c:pt>
                <c:pt idx="82">
                  <c:v>2.1999999999999962</c:v>
                </c:pt>
                <c:pt idx="83">
                  <c:v>2.2999999999999963</c:v>
                </c:pt>
                <c:pt idx="84">
                  <c:v>2.3999999999999964</c:v>
                </c:pt>
                <c:pt idx="85">
                  <c:v>2.4999999999999964</c:v>
                </c:pt>
                <c:pt idx="86">
                  <c:v>2.5999999999999965</c:v>
                </c:pt>
                <c:pt idx="87">
                  <c:v>2.6999999999999966</c:v>
                </c:pt>
                <c:pt idx="88">
                  <c:v>2.7999999999999967</c:v>
                </c:pt>
                <c:pt idx="89">
                  <c:v>2.8999999999999968</c:v>
                </c:pt>
                <c:pt idx="90">
                  <c:v>2.9999999999999969</c:v>
                </c:pt>
                <c:pt idx="91">
                  <c:v>3.099999999999997</c:v>
                </c:pt>
                <c:pt idx="92">
                  <c:v>3.1999999999999971</c:v>
                </c:pt>
                <c:pt idx="93">
                  <c:v>3.2999999999999972</c:v>
                </c:pt>
                <c:pt idx="94">
                  <c:v>3.3999999999999972</c:v>
                </c:pt>
                <c:pt idx="95">
                  <c:v>3.4999999999999973</c:v>
                </c:pt>
                <c:pt idx="96">
                  <c:v>3.5999999999999974</c:v>
                </c:pt>
                <c:pt idx="97">
                  <c:v>3.6999999999999975</c:v>
                </c:pt>
                <c:pt idx="98">
                  <c:v>3.7999999999999976</c:v>
                </c:pt>
                <c:pt idx="99">
                  <c:v>3.8999999999999977</c:v>
                </c:pt>
                <c:pt idx="100">
                  <c:v>3.9999999999999978</c:v>
                </c:pt>
                <c:pt idx="101">
                  <c:v>4.0999999999999979</c:v>
                </c:pt>
                <c:pt idx="102">
                  <c:v>4.1999999999999975</c:v>
                </c:pt>
                <c:pt idx="103">
                  <c:v>4.2999999999999972</c:v>
                </c:pt>
                <c:pt idx="104">
                  <c:v>4.3999999999999968</c:v>
                </c:pt>
                <c:pt idx="105">
                  <c:v>4.4999999999999964</c:v>
                </c:pt>
                <c:pt idx="106">
                  <c:v>4.5999999999999961</c:v>
                </c:pt>
                <c:pt idx="107">
                  <c:v>4.6999999999999957</c:v>
                </c:pt>
                <c:pt idx="108">
                  <c:v>4.7999999999999954</c:v>
                </c:pt>
                <c:pt idx="109">
                  <c:v>4.899999999999995</c:v>
                </c:pt>
                <c:pt idx="110">
                  <c:v>4.9999999999999947</c:v>
                </c:pt>
                <c:pt idx="111">
                  <c:v>5.0999999999999943</c:v>
                </c:pt>
                <c:pt idx="112">
                  <c:v>5.199999999999994</c:v>
                </c:pt>
                <c:pt idx="113">
                  <c:v>5.2999999999999936</c:v>
                </c:pt>
                <c:pt idx="114">
                  <c:v>5.3999999999999932</c:v>
                </c:pt>
                <c:pt idx="115">
                  <c:v>5.4999999999999929</c:v>
                </c:pt>
                <c:pt idx="116">
                  <c:v>5.5999999999999925</c:v>
                </c:pt>
                <c:pt idx="117">
                  <c:v>5.6999999999999922</c:v>
                </c:pt>
                <c:pt idx="118">
                  <c:v>5.7999999999999918</c:v>
                </c:pt>
                <c:pt idx="119">
                  <c:v>5.8999999999999915</c:v>
                </c:pt>
                <c:pt idx="120">
                  <c:v>5.9999999999999911</c:v>
                </c:pt>
              </c:numCache>
            </c:numRef>
          </c:cat>
          <c:val>
            <c:numRef>
              <c:f>'normal distribution'!$C$7:$C$127</c:f>
              <c:numCache>
                <c:formatCode>General</c:formatCode>
                <c:ptCount val="121"/>
                <c:pt idx="0">
                  <c:v>2.1937692630343714E-43</c:v>
                </c:pt>
                <c:pt idx="1">
                  <c:v>3.5361412705989527E-42</c:v>
                </c:pt>
                <c:pt idx="2">
                  <c:v>5.4764167156318255E-41</c:v>
                </c:pt>
                <c:pt idx="3">
                  <c:v>8.1487611542209829E-40</c:v>
                </c:pt>
                <c:pt idx="4">
                  <c:v>1.1649704525681656E-38</c:v>
                </c:pt>
                <c:pt idx="5">
                  <c:v>1.6001712121259302E-37</c:v>
                </c:pt>
                <c:pt idx="6">
                  <c:v>2.1117680565533547E-36</c:v>
                </c:pt>
                <c:pt idx="7">
                  <c:v>2.6776524123813629E-35</c:v>
                </c:pt>
                <c:pt idx="8">
                  <c:v>3.2620484342699037E-34</c:v>
                </c:pt>
                <c:pt idx="9">
                  <c:v>3.8181662157418614E-33</c:v>
                </c:pt>
                <c:pt idx="10">
                  <c:v>4.2938560103067238E-32</c:v>
                </c:pt>
                <c:pt idx="11">
                  <c:v>4.6394697103071357E-31</c:v>
                </c:pt>
                <c:pt idx="12">
                  <c:v>4.816343258832684E-30</c:v>
                </c:pt>
                <c:pt idx="13">
                  <c:v>4.8039086428613976E-29</c:v>
                </c:pt>
                <c:pt idx="14">
                  <c:v>4.6036284873530399E-28</c:v>
                </c:pt>
                <c:pt idx="15">
                  <c:v>4.2387130666660418E-27</c:v>
                </c:pt>
                <c:pt idx="16">
                  <c:v>3.7496953930569517E-26</c:v>
                </c:pt>
                <c:pt idx="17">
                  <c:v>3.1870302120608985E-25</c:v>
                </c:pt>
                <c:pt idx="18">
                  <c:v>2.6025830228175659E-24</c:v>
                </c:pt>
                <c:pt idx="19">
                  <c:v>2.0419787825873854E-23</c:v>
                </c:pt>
                <c:pt idx="20">
                  <c:v>1.5393099570787043E-22</c:v>
                </c:pt>
                <c:pt idx="21">
                  <c:v>1.1148826393620249E-21</c:v>
                </c:pt>
                <c:pt idx="22">
                  <c:v>7.7581906488072281E-21</c:v>
                </c:pt>
                <c:pt idx="23">
                  <c:v>5.1870443741003912E-20</c:v>
                </c:pt>
                <c:pt idx="24">
                  <c:v>3.332020768094328E-19</c:v>
                </c:pt>
                <c:pt idx="25">
                  <c:v>2.0564760532750325E-18</c:v>
                </c:pt>
                <c:pt idx="26">
                  <c:v>1.2194607724192126E-17</c:v>
                </c:pt>
                <c:pt idx="27">
                  <c:v>6.9476868109491691E-17</c:v>
                </c:pt>
                <c:pt idx="28">
                  <c:v>3.803127209733251E-16</c:v>
                </c:pt>
                <c:pt idx="29">
                  <c:v>2.0001828176961096E-15</c:v>
                </c:pt>
                <c:pt idx="30">
                  <c:v>1.010710442745776E-14</c:v>
                </c:pt>
                <c:pt idx="31">
                  <c:v>4.9069545374869901E-14</c:v>
                </c:pt>
                <c:pt idx="32">
                  <c:v>2.2888932395742917E-13</c:v>
                </c:pt>
                <c:pt idx="33">
                  <c:v>1.0258107814970825E-12</c:v>
                </c:pt>
                <c:pt idx="34">
                  <c:v>4.4170997088666238E-12</c:v>
                </c:pt>
                <c:pt idx="35">
                  <c:v>1.8274073492180618E-11</c:v>
                </c:pt>
                <c:pt idx="36">
                  <c:v>7.2637644465027826E-11</c:v>
                </c:pt>
                <c:pt idx="37">
                  <c:v>2.7740632433927443E-10</c:v>
                </c:pt>
                <c:pt idx="38">
                  <c:v>1.0178861014746034E-9</c:v>
                </c:pt>
                <c:pt idx="39">
                  <c:v>3.5884775338291654E-9</c:v>
                </c:pt>
                <c:pt idx="40">
                  <c:v>1.2154847084961916E-8</c:v>
                </c:pt>
                <c:pt idx="41">
                  <c:v>3.9556420793368905E-8</c:v>
                </c:pt>
                <c:pt idx="42">
                  <c:v>1.2368376517669804E-7</c:v>
                </c:pt>
                <c:pt idx="43">
                  <c:v>3.7156656505760641E-7</c:v>
                </c:pt>
                <c:pt idx="44">
                  <c:v>1.0724789539642249E-6</c:v>
                </c:pt>
                <c:pt idx="45">
                  <c:v>2.9741930195954998E-6</c:v>
                </c:pt>
                <c:pt idx="46">
                  <c:v>7.9246071557641628E-6</c:v>
                </c:pt>
                <c:pt idx="47">
                  <c:v>2.0286847066315499E-5</c:v>
                </c:pt>
                <c:pt idx="48">
                  <c:v>4.9897592159874948E-5</c:v>
                </c:pt>
                <c:pt idx="49">
                  <c:v>1.1791602850277927E-4</c:v>
                </c:pt>
                <c:pt idx="50">
                  <c:v>2.6772832355802738E-4</c:v>
                </c:pt>
                <c:pt idx="51">
                  <c:v>5.8404191253016665E-4</c:v>
                </c:pt>
                <c:pt idx="52">
                  <c:v>1.2241141864251888E-3</c:v>
                </c:pt>
                <c:pt idx="53">
                  <c:v>2.4650632571667462E-3</c:v>
                </c:pt>
                <c:pt idx="54">
                  <c:v>4.7693854937823328E-3</c:v>
                </c:pt>
                <c:pt idx="55">
                  <c:v>8.8659444367671664E-3</c:v>
                </c:pt>
                <c:pt idx="56">
                  <c:v>1.583491748896099E-2</c:v>
                </c:pt>
                <c:pt idx="57">
                  <c:v>2.7172827073188119E-2</c:v>
                </c:pt>
                <c:pt idx="58">
                  <c:v>4.4800417980621662E-2</c:v>
                </c:pt>
                <c:pt idx="59">
                  <c:v>7.0967176639981949E-2</c:v>
                </c:pt>
                <c:pt idx="60">
                  <c:v>0.10800931455684944</c:v>
                </c:pt>
                <c:pt idx="61">
                  <c:v>0.15794035619183491</c:v>
                </c:pt>
                <c:pt idx="62">
                  <c:v>0.22189792288447463</c:v>
                </c:pt>
                <c:pt idx="63">
                  <c:v>0.29953086558842934</c:v>
                </c:pt>
                <c:pt idx="64">
                  <c:v>0.38847059146667612</c:v>
                </c:pt>
                <c:pt idx="65">
                  <c:v>0.48406416454414269</c:v>
                </c:pt>
                <c:pt idx="66">
                  <c:v>0.57953002265730158</c:v>
                </c:pt>
                <c:pt idx="67">
                  <c:v>0.6666182007138306</c:v>
                </c:pt>
                <c:pt idx="68">
                  <c:v>0.73672704888884177</c:v>
                </c:pt>
                <c:pt idx="69">
                  <c:v>0.78228370533868352</c:v>
                </c:pt>
                <c:pt idx="70">
                  <c:v>0.79808688446762222</c:v>
                </c:pt>
                <c:pt idx="71">
                  <c:v>0.78228370533868641</c:v>
                </c:pt>
                <c:pt idx="72">
                  <c:v>0.7367270488888471</c:v>
                </c:pt>
                <c:pt idx="73">
                  <c:v>0.66661820071383771</c:v>
                </c:pt>
                <c:pt idx="74">
                  <c:v>0.57953002265730991</c:v>
                </c:pt>
                <c:pt idx="75">
                  <c:v>0.48406416454415119</c:v>
                </c:pt>
                <c:pt idx="76">
                  <c:v>0.38847059146668417</c:v>
                </c:pt>
                <c:pt idx="77">
                  <c:v>0.29953086558843661</c:v>
                </c:pt>
                <c:pt idx="78">
                  <c:v>0.22189792288448071</c:v>
                </c:pt>
                <c:pt idx="79">
                  <c:v>0.15794035619183971</c:v>
                </c:pt>
                <c:pt idx="80">
                  <c:v>0.10800931455685306</c:v>
                </c:pt>
                <c:pt idx="81">
                  <c:v>7.09671766399846E-2</c:v>
                </c:pt>
                <c:pt idx="82">
                  <c:v>4.4800417980623473E-2</c:v>
                </c:pt>
                <c:pt idx="83">
                  <c:v>2.7172827073189302E-2</c:v>
                </c:pt>
                <c:pt idx="84">
                  <c:v>1.5834917488961719E-2</c:v>
                </c:pt>
                <c:pt idx="85">
                  <c:v>8.8659444367675914E-3</c:v>
                </c:pt>
                <c:pt idx="86">
                  <c:v>4.7693854937825792E-3</c:v>
                </c:pt>
                <c:pt idx="87">
                  <c:v>2.4650632571668798E-3</c:v>
                </c:pt>
                <c:pt idx="88">
                  <c:v>1.2241141864252573E-3</c:v>
                </c:pt>
                <c:pt idx="89">
                  <c:v>5.8404191253020037E-4</c:v>
                </c:pt>
                <c:pt idx="90">
                  <c:v>2.6772832355804359E-4</c:v>
                </c:pt>
                <c:pt idx="91">
                  <c:v>1.179160285027866E-4</c:v>
                </c:pt>
                <c:pt idx="92">
                  <c:v>4.9897592159878227E-5</c:v>
                </c:pt>
                <c:pt idx="93">
                  <c:v>2.0286847066316905E-5</c:v>
                </c:pt>
                <c:pt idx="94">
                  <c:v>7.9246071557647404E-6</c:v>
                </c:pt>
                <c:pt idx="95">
                  <c:v>2.9741930195957276E-6</c:v>
                </c:pt>
                <c:pt idx="96">
                  <c:v>1.0724789539643088E-6</c:v>
                </c:pt>
                <c:pt idx="97">
                  <c:v>3.715665650576368E-7</c:v>
                </c:pt>
                <c:pt idx="98">
                  <c:v>1.236837651767086E-7</c:v>
                </c:pt>
                <c:pt idx="99">
                  <c:v>3.9556420793372419E-8</c:v>
                </c:pt>
                <c:pt idx="100">
                  <c:v>1.2154847084963041E-8</c:v>
                </c:pt>
                <c:pt idx="101">
                  <c:v>3.5884775338294971E-9</c:v>
                </c:pt>
                <c:pt idx="102">
                  <c:v>1.0178861014747084E-9</c:v>
                </c:pt>
                <c:pt idx="103">
                  <c:v>2.7740632433930494E-10</c:v>
                </c:pt>
                <c:pt idx="104">
                  <c:v>7.2637644465036589E-11</c:v>
                </c:pt>
                <c:pt idx="105">
                  <c:v>1.8274073492183018E-11</c:v>
                </c:pt>
                <c:pt idx="106">
                  <c:v>4.4170997088672361E-12</c:v>
                </c:pt>
                <c:pt idx="107">
                  <c:v>1.0258107814972356E-12</c:v>
                </c:pt>
                <c:pt idx="108">
                  <c:v>2.2888932395746577E-13</c:v>
                </c:pt>
                <c:pt idx="109">
                  <c:v>4.9069545374878276E-14</c:v>
                </c:pt>
                <c:pt idx="110">
                  <c:v>1.0107104427459626E-14</c:v>
                </c:pt>
                <c:pt idx="111">
                  <c:v>2.0001828176965214E-15</c:v>
                </c:pt>
                <c:pt idx="112">
                  <c:v>3.8031272097340344E-16</c:v>
                </c:pt>
                <c:pt idx="113">
                  <c:v>6.9476868109506507E-17</c:v>
                </c:pt>
                <c:pt idx="114">
                  <c:v>1.2194607724194986E-17</c:v>
                </c:pt>
                <c:pt idx="115">
                  <c:v>2.0564760532755583E-18</c:v>
                </c:pt>
                <c:pt idx="116">
                  <c:v>3.3320207680951802E-19</c:v>
                </c:pt>
                <c:pt idx="117">
                  <c:v>5.1870443741017917E-20</c:v>
                </c:pt>
                <c:pt idx="118">
                  <c:v>7.7581906488094881E-21</c:v>
                </c:pt>
                <c:pt idx="119">
                  <c:v>1.1148826393623734E-21</c:v>
                </c:pt>
                <c:pt idx="120">
                  <c:v>1.5393099570791966E-22</c:v>
                </c:pt>
              </c:numCache>
            </c:numRef>
          </c:val>
        </c:ser>
        <c:ser>
          <c:idx val="3"/>
          <c:order val="2"/>
          <c:tx>
            <c:v>µ=1,s=1</c:v>
          </c:tx>
          <c:spPr>
            <a:ln w="25400">
              <a:solidFill>
                <a:srgbClr val="00FFFF"/>
              </a:solidFill>
              <a:prstDash val="solid"/>
            </a:ln>
          </c:spPr>
          <c:marker>
            <c:symbol val="none"/>
          </c:marker>
          <c:cat>
            <c:numRef>
              <c:f>'normal distribution'!$A$7:$A$127</c:f>
              <c:numCache>
                <c:formatCode>0.0</c:formatCode>
                <c:ptCount val="121"/>
                <c:pt idx="0" formatCode="General">
                  <c:v>-6</c:v>
                </c:pt>
                <c:pt idx="1">
                  <c:v>-5.9</c:v>
                </c:pt>
                <c:pt idx="2">
                  <c:v>-5.8000000000000007</c:v>
                </c:pt>
                <c:pt idx="3">
                  <c:v>-5.7000000000000011</c:v>
                </c:pt>
                <c:pt idx="4">
                  <c:v>-5.6000000000000014</c:v>
                </c:pt>
                <c:pt idx="5">
                  <c:v>-5.5000000000000018</c:v>
                </c:pt>
                <c:pt idx="6">
                  <c:v>-5.4000000000000021</c:v>
                </c:pt>
                <c:pt idx="7">
                  <c:v>-5.3000000000000025</c:v>
                </c:pt>
                <c:pt idx="8">
                  <c:v>-5.2000000000000028</c:v>
                </c:pt>
                <c:pt idx="9">
                  <c:v>-5.1000000000000032</c:v>
                </c:pt>
                <c:pt idx="10">
                  <c:v>-5.0000000000000036</c:v>
                </c:pt>
                <c:pt idx="11">
                  <c:v>-4.9000000000000039</c:v>
                </c:pt>
                <c:pt idx="12">
                  <c:v>-4.8000000000000043</c:v>
                </c:pt>
                <c:pt idx="13">
                  <c:v>-4.7000000000000046</c:v>
                </c:pt>
                <c:pt idx="14">
                  <c:v>-4.600000000000005</c:v>
                </c:pt>
                <c:pt idx="15">
                  <c:v>-4.5000000000000053</c:v>
                </c:pt>
                <c:pt idx="16">
                  <c:v>-4.4000000000000057</c:v>
                </c:pt>
                <c:pt idx="17">
                  <c:v>-4.300000000000006</c:v>
                </c:pt>
                <c:pt idx="18">
                  <c:v>-4.2000000000000064</c:v>
                </c:pt>
                <c:pt idx="19">
                  <c:v>-4.1000000000000068</c:v>
                </c:pt>
                <c:pt idx="20">
                  <c:v>-4.0000000000000071</c:v>
                </c:pt>
                <c:pt idx="21">
                  <c:v>-3.900000000000007</c:v>
                </c:pt>
                <c:pt idx="22">
                  <c:v>-3.8000000000000069</c:v>
                </c:pt>
                <c:pt idx="23">
                  <c:v>-3.7000000000000068</c:v>
                </c:pt>
                <c:pt idx="24">
                  <c:v>-3.6000000000000068</c:v>
                </c:pt>
                <c:pt idx="25">
                  <c:v>-3.5000000000000067</c:v>
                </c:pt>
                <c:pt idx="26">
                  <c:v>-3.4000000000000066</c:v>
                </c:pt>
                <c:pt idx="27">
                  <c:v>-3.3000000000000065</c:v>
                </c:pt>
                <c:pt idx="28">
                  <c:v>-3.2000000000000064</c:v>
                </c:pt>
                <c:pt idx="29">
                  <c:v>-3.1000000000000063</c:v>
                </c:pt>
                <c:pt idx="30">
                  <c:v>-3.0000000000000062</c:v>
                </c:pt>
                <c:pt idx="31">
                  <c:v>-2.9000000000000061</c:v>
                </c:pt>
                <c:pt idx="32">
                  <c:v>-2.800000000000006</c:v>
                </c:pt>
                <c:pt idx="33">
                  <c:v>-2.700000000000006</c:v>
                </c:pt>
                <c:pt idx="34">
                  <c:v>-2.6000000000000059</c:v>
                </c:pt>
                <c:pt idx="35">
                  <c:v>-2.5000000000000058</c:v>
                </c:pt>
                <c:pt idx="36">
                  <c:v>-2.4000000000000057</c:v>
                </c:pt>
                <c:pt idx="37">
                  <c:v>-2.3000000000000056</c:v>
                </c:pt>
                <c:pt idx="38">
                  <c:v>-2.2000000000000055</c:v>
                </c:pt>
                <c:pt idx="39">
                  <c:v>-2.1000000000000054</c:v>
                </c:pt>
                <c:pt idx="40">
                  <c:v>-2.0000000000000053</c:v>
                </c:pt>
                <c:pt idx="41">
                  <c:v>-1.9000000000000052</c:v>
                </c:pt>
                <c:pt idx="42">
                  <c:v>-1.8000000000000052</c:v>
                </c:pt>
                <c:pt idx="43">
                  <c:v>-1.7000000000000051</c:v>
                </c:pt>
                <c:pt idx="44">
                  <c:v>-1.600000000000005</c:v>
                </c:pt>
                <c:pt idx="45">
                  <c:v>-1.5000000000000049</c:v>
                </c:pt>
                <c:pt idx="46">
                  <c:v>-1.4000000000000048</c:v>
                </c:pt>
                <c:pt idx="47">
                  <c:v>-1.3000000000000047</c:v>
                </c:pt>
                <c:pt idx="48">
                  <c:v>-1.2000000000000046</c:v>
                </c:pt>
                <c:pt idx="49">
                  <c:v>-1.1000000000000045</c:v>
                </c:pt>
                <c:pt idx="50">
                  <c:v>-1.0000000000000044</c:v>
                </c:pt>
                <c:pt idx="51">
                  <c:v>-0.90000000000000446</c:v>
                </c:pt>
                <c:pt idx="52">
                  <c:v>-0.80000000000000449</c:v>
                </c:pt>
                <c:pt idx="53">
                  <c:v>-0.70000000000000451</c:v>
                </c:pt>
                <c:pt idx="54">
                  <c:v>-0.60000000000000453</c:v>
                </c:pt>
                <c:pt idx="55">
                  <c:v>-0.50000000000000455</c:v>
                </c:pt>
                <c:pt idx="56">
                  <c:v>-0.40000000000000457</c:v>
                </c:pt>
                <c:pt idx="57">
                  <c:v>-0.3000000000000046</c:v>
                </c:pt>
                <c:pt idx="58">
                  <c:v>-0.20000000000000459</c:v>
                </c:pt>
                <c:pt idx="59">
                  <c:v>-0.10000000000000459</c:v>
                </c:pt>
                <c:pt idx="60">
                  <c:v>-4.5796699765787707E-15</c:v>
                </c:pt>
                <c:pt idx="61">
                  <c:v>9.9999999999995426E-2</c:v>
                </c:pt>
                <c:pt idx="62">
                  <c:v>0.19999999999999543</c:v>
                </c:pt>
                <c:pt idx="63">
                  <c:v>0.29999999999999544</c:v>
                </c:pt>
                <c:pt idx="64">
                  <c:v>0.39999999999999547</c:v>
                </c:pt>
                <c:pt idx="65">
                  <c:v>0.49999999999999545</c:v>
                </c:pt>
                <c:pt idx="66">
                  <c:v>0.59999999999999543</c:v>
                </c:pt>
                <c:pt idx="67">
                  <c:v>0.6999999999999954</c:v>
                </c:pt>
                <c:pt idx="68">
                  <c:v>0.79999999999999538</c:v>
                </c:pt>
                <c:pt idx="69">
                  <c:v>0.89999999999999536</c:v>
                </c:pt>
                <c:pt idx="70">
                  <c:v>0.99999999999999534</c:v>
                </c:pt>
                <c:pt idx="71">
                  <c:v>1.0999999999999954</c:v>
                </c:pt>
                <c:pt idx="72">
                  <c:v>1.1999999999999955</c:v>
                </c:pt>
                <c:pt idx="73">
                  <c:v>1.2999999999999956</c:v>
                </c:pt>
                <c:pt idx="74">
                  <c:v>1.3999999999999957</c:v>
                </c:pt>
                <c:pt idx="75">
                  <c:v>1.4999999999999958</c:v>
                </c:pt>
                <c:pt idx="76">
                  <c:v>1.5999999999999959</c:v>
                </c:pt>
                <c:pt idx="77">
                  <c:v>1.699999999999996</c:v>
                </c:pt>
                <c:pt idx="78">
                  <c:v>1.799999999999996</c:v>
                </c:pt>
                <c:pt idx="79">
                  <c:v>1.8999999999999961</c:v>
                </c:pt>
                <c:pt idx="80">
                  <c:v>1.9999999999999962</c:v>
                </c:pt>
                <c:pt idx="81">
                  <c:v>2.0999999999999961</c:v>
                </c:pt>
                <c:pt idx="82">
                  <c:v>2.1999999999999962</c:v>
                </c:pt>
                <c:pt idx="83">
                  <c:v>2.2999999999999963</c:v>
                </c:pt>
                <c:pt idx="84">
                  <c:v>2.3999999999999964</c:v>
                </c:pt>
                <c:pt idx="85">
                  <c:v>2.4999999999999964</c:v>
                </c:pt>
                <c:pt idx="86">
                  <c:v>2.5999999999999965</c:v>
                </c:pt>
                <c:pt idx="87">
                  <c:v>2.6999999999999966</c:v>
                </c:pt>
                <c:pt idx="88">
                  <c:v>2.7999999999999967</c:v>
                </c:pt>
                <c:pt idx="89">
                  <c:v>2.8999999999999968</c:v>
                </c:pt>
                <c:pt idx="90">
                  <c:v>2.9999999999999969</c:v>
                </c:pt>
                <c:pt idx="91">
                  <c:v>3.099999999999997</c:v>
                </c:pt>
                <c:pt idx="92">
                  <c:v>3.1999999999999971</c:v>
                </c:pt>
                <c:pt idx="93">
                  <c:v>3.2999999999999972</c:v>
                </c:pt>
                <c:pt idx="94">
                  <c:v>3.3999999999999972</c:v>
                </c:pt>
                <c:pt idx="95">
                  <c:v>3.4999999999999973</c:v>
                </c:pt>
                <c:pt idx="96">
                  <c:v>3.5999999999999974</c:v>
                </c:pt>
                <c:pt idx="97">
                  <c:v>3.6999999999999975</c:v>
                </c:pt>
                <c:pt idx="98">
                  <c:v>3.7999999999999976</c:v>
                </c:pt>
                <c:pt idx="99">
                  <c:v>3.8999999999999977</c:v>
                </c:pt>
                <c:pt idx="100">
                  <c:v>3.9999999999999978</c:v>
                </c:pt>
                <c:pt idx="101">
                  <c:v>4.0999999999999979</c:v>
                </c:pt>
                <c:pt idx="102">
                  <c:v>4.1999999999999975</c:v>
                </c:pt>
                <c:pt idx="103">
                  <c:v>4.2999999999999972</c:v>
                </c:pt>
                <c:pt idx="104">
                  <c:v>4.3999999999999968</c:v>
                </c:pt>
                <c:pt idx="105">
                  <c:v>4.4999999999999964</c:v>
                </c:pt>
                <c:pt idx="106">
                  <c:v>4.5999999999999961</c:v>
                </c:pt>
                <c:pt idx="107">
                  <c:v>4.6999999999999957</c:v>
                </c:pt>
                <c:pt idx="108">
                  <c:v>4.7999999999999954</c:v>
                </c:pt>
                <c:pt idx="109">
                  <c:v>4.899999999999995</c:v>
                </c:pt>
                <c:pt idx="110">
                  <c:v>4.9999999999999947</c:v>
                </c:pt>
                <c:pt idx="111">
                  <c:v>5.0999999999999943</c:v>
                </c:pt>
                <c:pt idx="112">
                  <c:v>5.199999999999994</c:v>
                </c:pt>
                <c:pt idx="113">
                  <c:v>5.2999999999999936</c:v>
                </c:pt>
                <c:pt idx="114">
                  <c:v>5.3999999999999932</c:v>
                </c:pt>
                <c:pt idx="115">
                  <c:v>5.4999999999999929</c:v>
                </c:pt>
                <c:pt idx="116">
                  <c:v>5.5999999999999925</c:v>
                </c:pt>
                <c:pt idx="117">
                  <c:v>5.6999999999999922</c:v>
                </c:pt>
                <c:pt idx="118">
                  <c:v>5.7999999999999918</c:v>
                </c:pt>
                <c:pt idx="119">
                  <c:v>5.8999999999999915</c:v>
                </c:pt>
                <c:pt idx="120">
                  <c:v>5.9999999999999911</c:v>
                </c:pt>
              </c:numCache>
            </c:numRef>
          </c:cat>
          <c:val>
            <c:numRef>
              <c:f>'normal distribution'!$D$7:$D$127</c:f>
              <c:numCache>
                <c:formatCode>General</c:formatCode>
                <c:ptCount val="121"/>
                <c:pt idx="0">
                  <c:v>4.3645199282779347E-4</c:v>
                </c:pt>
                <c:pt idx="1">
                  <c:v>5.1927228897724858E-4</c:v>
                </c:pt>
                <c:pt idx="2">
                  <c:v>6.1626581429170509E-4</c:v>
                </c:pt>
                <c:pt idx="3">
                  <c:v>7.295503512450267E-4</c:v>
                </c:pt>
                <c:pt idx="4">
                  <c:v>8.6150286983038274E-4</c:v>
                </c:pt>
                <c:pt idx="5">
                  <c:v>1.0147812866913876E-3</c:v>
                </c:pt>
                <c:pt idx="6">
                  <c:v>1.192346373445614E-3</c:v>
                </c:pt>
                <c:pt idx="7">
                  <c:v>1.3974834846312745E-3</c:v>
                </c:pt>
                <c:pt idx="8">
                  <c:v>1.6338237200996602E-3</c:v>
                </c:pt>
                <c:pt idx="9">
                  <c:v>1.9053640795312278E-3</c:v>
                </c:pt>
                <c:pt idx="10">
                  <c:v>2.2164861091918389E-3</c:v>
                </c:pt>
                <c:pt idx="11">
                  <c:v>2.5719724843941694E-3</c:v>
                </c:pt>
                <c:pt idx="12">
                  <c:v>2.9770209169175444E-3</c:v>
                </c:pt>
                <c:pt idx="13">
                  <c:v>3.4372547265895297E-3</c:v>
                </c:pt>
                <c:pt idx="14">
                  <c:v>3.9587293722403204E-3</c:v>
                </c:pt>
                <c:pt idx="15">
                  <c:v>4.5479342013483703E-3</c:v>
                </c:pt>
                <c:pt idx="16">
                  <c:v>5.2117886520538226E-3</c:v>
                </c:pt>
                <c:pt idx="17">
                  <c:v>5.9576321280402616E-3</c:v>
                </c:pt>
                <c:pt idx="18">
                  <c:v>6.793206768297139E-3</c:v>
                </c:pt>
                <c:pt idx="19">
                  <c:v>7.7266323521420384E-3</c:v>
                </c:pt>
                <c:pt idx="20">
                  <c:v>8.7663726171414071E-3</c:v>
                </c:pt>
                <c:pt idx="21">
                  <c:v>9.9211923255521604E-3</c:v>
                </c:pt>
                <c:pt idx="22">
                  <c:v>1.120010449515557E-2</c:v>
                </c:pt>
                <c:pt idx="23">
                  <c:v>1.2612307314033443E-2</c:v>
                </c:pt>
                <c:pt idx="24">
                  <c:v>1.4167110386646968E-2</c:v>
                </c:pt>
                <c:pt idx="25">
                  <c:v>1.5873850110676112E-2</c:v>
                </c:pt>
                <c:pt idx="26">
                  <c:v>1.7741794159995713E-2</c:v>
                </c:pt>
                <c:pt idx="27">
                  <c:v>1.9780035247745454E-2</c:v>
                </c:pt>
                <c:pt idx="28">
                  <c:v>2.199737456279369E-2</c:v>
                </c:pt>
                <c:pt idx="29">
                  <c:v>2.4402195510314598E-2</c:v>
                </c:pt>
                <c:pt idx="30">
                  <c:v>2.7002328639212689E-2</c:v>
                </c:pt>
                <c:pt idx="31">
                  <c:v>2.9804908901461993E-2</c:v>
                </c:pt>
                <c:pt idx="32">
                  <c:v>3.2816226656041503E-2</c:v>
                </c:pt>
                <c:pt idx="33">
                  <c:v>3.6041574097303963E-2</c:v>
                </c:pt>
                <c:pt idx="34">
                  <c:v>3.9485089047959172E-2</c:v>
                </c:pt>
                <c:pt idx="35">
                  <c:v>4.3149598303533605E-2</c:v>
                </c:pt>
                <c:pt idx="36">
                  <c:v>4.7036462940983445E-2</c:v>
                </c:pt>
                <c:pt idx="37">
                  <c:v>5.1145428201703425E-2</c:v>
                </c:pt>
                <c:pt idx="38">
                  <c:v>5.5474480721119233E-2</c:v>
                </c:pt>
                <c:pt idx="39">
                  <c:v>6.0019715996230107E-2</c:v>
                </c:pt>
                <c:pt idx="40">
                  <c:v>6.4775219052187666E-2</c:v>
                </c:pt>
                <c:pt idx="41">
                  <c:v>6.9732961283246644E-2</c:v>
                </c:pt>
                <c:pt idx="42">
                  <c:v>7.4882716397108043E-2</c:v>
                </c:pt>
                <c:pt idx="43">
                  <c:v>8.0211998280844091E-2</c:v>
                </c:pt>
                <c:pt idx="44">
                  <c:v>8.5706023428637521E-2</c:v>
                </c:pt>
                <c:pt idx="45">
                  <c:v>9.1347700325411063E-2</c:v>
                </c:pt>
                <c:pt idx="46">
                  <c:v>9.7117647866669807E-2</c:v>
                </c:pt>
                <c:pt idx="47">
                  <c:v>0.10299424451591732</c:v>
                </c:pt>
                <c:pt idx="48">
                  <c:v>0.10895370946108193</c:v>
                </c:pt>
                <c:pt idx="49">
                  <c:v>0.11497021653659741</c:v>
                </c:pt>
                <c:pt idx="50">
                  <c:v>0.12101604113603652</c:v>
                </c:pt>
                <c:pt idx="51">
                  <c:v>0.12706173976110741</c:v>
                </c:pt>
                <c:pt idx="52">
                  <c:v>0.13307636124754732</c:v>
                </c:pt>
                <c:pt idx="53">
                  <c:v>0.13902768808944754</c:v>
                </c:pt>
                <c:pt idx="54">
                  <c:v>0.1448825056643262</c:v>
                </c:pt>
                <c:pt idx="55">
                  <c:v>0.15060689655604645</c:v>
                </c:pt>
                <c:pt idx="56">
                  <c:v>0.1561665565960301</c:v>
                </c:pt>
                <c:pt idx="57">
                  <c:v>0.16152712870966732</c:v>
                </c:pt>
                <c:pt idx="58">
                  <c:v>0.16665455017845832</c:v>
                </c:pt>
                <c:pt idx="59">
                  <c:v>0.171515408522461</c:v>
                </c:pt>
                <c:pt idx="60">
                  <c:v>0.17607730088401641</c:v>
                </c:pt>
                <c:pt idx="61">
                  <c:v>0.18030919156278929</c:v>
                </c:pt>
                <c:pt idx="62">
                  <c:v>0.18418176222221097</c:v>
                </c:pt>
                <c:pt idx="63">
                  <c:v>0.18766774926447038</c:v>
                </c:pt>
                <c:pt idx="64">
                  <c:v>0.19074226295876762</c:v>
                </c:pt>
                <c:pt idx="65">
                  <c:v>0.19338308310642535</c:v>
                </c:pt>
                <c:pt idx="66">
                  <c:v>0.19557092633467113</c:v>
                </c:pt>
                <c:pt idx="67">
                  <c:v>0.19728968052368068</c:v>
                </c:pt>
                <c:pt idx="68">
                  <c:v>0.19852660238132311</c:v>
                </c:pt>
                <c:pt idx="69">
                  <c:v>0.19927247477692583</c:v>
                </c:pt>
                <c:pt idx="70">
                  <c:v>0.19952172111690555</c:v>
                </c:pt>
                <c:pt idx="71">
                  <c:v>0.19927247477692589</c:v>
                </c:pt>
                <c:pt idx="72">
                  <c:v>0.19852660238132319</c:v>
                </c:pt>
                <c:pt idx="73">
                  <c:v>0.19728968052368079</c:v>
                </c:pt>
                <c:pt idx="74">
                  <c:v>0.19557092633467132</c:v>
                </c:pt>
                <c:pt idx="75">
                  <c:v>0.19338308310642555</c:v>
                </c:pt>
                <c:pt idx="76">
                  <c:v>0.19074226295876787</c:v>
                </c:pt>
                <c:pt idx="77">
                  <c:v>0.18766774926447069</c:v>
                </c:pt>
                <c:pt idx="78">
                  <c:v>0.18418176222221128</c:v>
                </c:pt>
                <c:pt idx="79">
                  <c:v>0.18030919156278963</c:v>
                </c:pt>
                <c:pt idx="80">
                  <c:v>0.17607730088401677</c:v>
                </c:pt>
                <c:pt idx="81">
                  <c:v>0.17151540852246142</c:v>
                </c:pt>
                <c:pt idx="82">
                  <c:v>0.16665455017845876</c:v>
                </c:pt>
                <c:pt idx="83">
                  <c:v>0.16152712870966776</c:v>
                </c:pt>
                <c:pt idx="84">
                  <c:v>0.15616655659603054</c:v>
                </c:pt>
                <c:pt idx="85">
                  <c:v>0.15060689655604689</c:v>
                </c:pt>
                <c:pt idx="86">
                  <c:v>0.14488250566432667</c:v>
                </c:pt>
                <c:pt idx="87">
                  <c:v>0.13902768808944804</c:v>
                </c:pt>
                <c:pt idx="88">
                  <c:v>0.13307636124754779</c:v>
                </c:pt>
                <c:pt idx="89">
                  <c:v>0.12706173976110785</c:v>
                </c:pt>
                <c:pt idx="90">
                  <c:v>0.12101604113603696</c:v>
                </c:pt>
                <c:pt idx="91">
                  <c:v>0.11497021653659788</c:v>
                </c:pt>
                <c:pt idx="92">
                  <c:v>0.10895370946108238</c:v>
                </c:pt>
                <c:pt idx="93">
                  <c:v>0.10299424451591777</c:v>
                </c:pt>
                <c:pt idx="94">
                  <c:v>9.7117647866670251E-2</c:v>
                </c:pt>
                <c:pt idx="95">
                  <c:v>9.1347700325411507E-2</c:v>
                </c:pt>
                <c:pt idx="96">
                  <c:v>8.5706023428637937E-2</c:v>
                </c:pt>
                <c:pt idx="97">
                  <c:v>8.0211998280844507E-2</c:v>
                </c:pt>
                <c:pt idx="98">
                  <c:v>7.4882716397108431E-2</c:v>
                </c:pt>
                <c:pt idx="99">
                  <c:v>6.9732961283247033E-2</c:v>
                </c:pt>
                <c:pt idx="100">
                  <c:v>6.4775219052188054E-2</c:v>
                </c:pt>
                <c:pt idx="101">
                  <c:v>6.0019715996230454E-2</c:v>
                </c:pt>
                <c:pt idx="102">
                  <c:v>5.5474480721119587E-2</c:v>
                </c:pt>
                <c:pt idx="103">
                  <c:v>5.1145428201703778E-2</c:v>
                </c:pt>
                <c:pt idx="104">
                  <c:v>4.7036462940983799E-2</c:v>
                </c:pt>
                <c:pt idx="105">
                  <c:v>4.3149598303533959E-2</c:v>
                </c:pt>
                <c:pt idx="106">
                  <c:v>3.9485089047959512E-2</c:v>
                </c:pt>
                <c:pt idx="107">
                  <c:v>3.6041574097304303E-2</c:v>
                </c:pt>
                <c:pt idx="108">
                  <c:v>3.2816226656041829E-2</c:v>
                </c:pt>
                <c:pt idx="109">
                  <c:v>2.9804908901462316E-2</c:v>
                </c:pt>
                <c:pt idx="110">
                  <c:v>2.7002328639213004E-2</c:v>
                </c:pt>
                <c:pt idx="111">
                  <c:v>2.4402195510314913E-2</c:v>
                </c:pt>
                <c:pt idx="112">
                  <c:v>2.1997374562793975E-2</c:v>
                </c:pt>
                <c:pt idx="113">
                  <c:v>1.9780035247745718E-2</c:v>
                </c:pt>
                <c:pt idx="114">
                  <c:v>1.7741794159995973E-2</c:v>
                </c:pt>
                <c:pt idx="115">
                  <c:v>1.5873850110676366E-2</c:v>
                </c:pt>
                <c:pt idx="116">
                  <c:v>1.4167110386647195E-2</c:v>
                </c:pt>
                <c:pt idx="117">
                  <c:v>1.2612307314033656E-2</c:v>
                </c:pt>
                <c:pt idx="118">
                  <c:v>1.1200104495155773E-2</c:v>
                </c:pt>
                <c:pt idx="119">
                  <c:v>9.9211923255523547E-3</c:v>
                </c:pt>
                <c:pt idx="120">
                  <c:v>8.7663726171415823E-3</c:v>
                </c:pt>
              </c:numCache>
            </c:numRef>
          </c:val>
        </c:ser>
        <c:ser>
          <c:idx val="4"/>
          <c:order val="3"/>
          <c:tx>
            <c:v>µ=1,s=2</c:v>
          </c:tx>
          <c:spPr>
            <a:ln w="25400">
              <a:solidFill>
                <a:srgbClr val="800080"/>
              </a:solidFill>
              <a:prstDash val="solid"/>
            </a:ln>
          </c:spPr>
          <c:marker>
            <c:symbol val="none"/>
          </c:marker>
          <c:cat>
            <c:numRef>
              <c:f>'normal distribution'!$A$7:$A$127</c:f>
              <c:numCache>
                <c:formatCode>0.0</c:formatCode>
                <c:ptCount val="121"/>
                <c:pt idx="0" formatCode="General">
                  <c:v>-6</c:v>
                </c:pt>
                <c:pt idx="1">
                  <c:v>-5.9</c:v>
                </c:pt>
                <c:pt idx="2">
                  <c:v>-5.8000000000000007</c:v>
                </c:pt>
                <c:pt idx="3">
                  <c:v>-5.7000000000000011</c:v>
                </c:pt>
                <c:pt idx="4">
                  <c:v>-5.6000000000000014</c:v>
                </c:pt>
                <c:pt idx="5">
                  <c:v>-5.5000000000000018</c:v>
                </c:pt>
                <c:pt idx="6">
                  <c:v>-5.4000000000000021</c:v>
                </c:pt>
                <c:pt idx="7">
                  <c:v>-5.3000000000000025</c:v>
                </c:pt>
                <c:pt idx="8">
                  <c:v>-5.2000000000000028</c:v>
                </c:pt>
                <c:pt idx="9">
                  <c:v>-5.1000000000000032</c:v>
                </c:pt>
                <c:pt idx="10">
                  <c:v>-5.0000000000000036</c:v>
                </c:pt>
                <c:pt idx="11">
                  <c:v>-4.9000000000000039</c:v>
                </c:pt>
                <c:pt idx="12">
                  <c:v>-4.8000000000000043</c:v>
                </c:pt>
                <c:pt idx="13">
                  <c:v>-4.7000000000000046</c:v>
                </c:pt>
                <c:pt idx="14">
                  <c:v>-4.600000000000005</c:v>
                </c:pt>
                <c:pt idx="15">
                  <c:v>-4.5000000000000053</c:v>
                </c:pt>
                <c:pt idx="16">
                  <c:v>-4.4000000000000057</c:v>
                </c:pt>
                <c:pt idx="17">
                  <c:v>-4.300000000000006</c:v>
                </c:pt>
                <c:pt idx="18">
                  <c:v>-4.2000000000000064</c:v>
                </c:pt>
                <c:pt idx="19">
                  <c:v>-4.1000000000000068</c:v>
                </c:pt>
                <c:pt idx="20">
                  <c:v>-4.0000000000000071</c:v>
                </c:pt>
                <c:pt idx="21">
                  <c:v>-3.900000000000007</c:v>
                </c:pt>
                <c:pt idx="22">
                  <c:v>-3.8000000000000069</c:v>
                </c:pt>
                <c:pt idx="23">
                  <c:v>-3.7000000000000068</c:v>
                </c:pt>
                <c:pt idx="24">
                  <c:v>-3.6000000000000068</c:v>
                </c:pt>
                <c:pt idx="25">
                  <c:v>-3.5000000000000067</c:v>
                </c:pt>
                <c:pt idx="26">
                  <c:v>-3.4000000000000066</c:v>
                </c:pt>
                <c:pt idx="27">
                  <c:v>-3.3000000000000065</c:v>
                </c:pt>
                <c:pt idx="28">
                  <c:v>-3.2000000000000064</c:v>
                </c:pt>
                <c:pt idx="29">
                  <c:v>-3.1000000000000063</c:v>
                </c:pt>
                <c:pt idx="30">
                  <c:v>-3.0000000000000062</c:v>
                </c:pt>
                <c:pt idx="31">
                  <c:v>-2.9000000000000061</c:v>
                </c:pt>
                <c:pt idx="32">
                  <c:v>-2.800000000000006</c:v>
                </c:pt>
                <c:pt idx="33">
                  <c:v>-2.700000000000006</c:v>
                </c:pt>
                <c:pt idx="34">
                  <c:v>-2.6000000000000059</c:v>
                </c:pt>
                <c:pt idx="35">
                  <c:v>-2.5000000000000058</c:v>
                </c:pt>
                <c:pt idx="36">
                  <c:v>-2.4000000000000057</c:v>
                </c:pt>
                <c:pt idx="37">
                  <c:v>-2.3000000000000056</c:v>
                </c:pt>
                <c:pt idx="38">
                  <c:v>-2.2000000000000055</c:v>
                </c:pt>
                <c:pt idx="39">
                  <c:v>-2.1000000000000054</c:v>
                </c:pt>
                <c:pt idx="40">
                  <c:v>-2.0000000000000053</c:v>
                </c:pt>
                <c:pt idx="41">
                  <c:v>-1.9000000000000052</c:v>
                </c:pt>
                <c:pt idx="42">
                  <c:v>-1.8000000000000052</c:v>
                </c:pt>
                <c:pt idx="43">
                  <c:v>-1.7000000000000051</c:v>
                </c:pt>
                <c:pt idx="44">
                  <c:v>-1.600000000000005</c:v>
                </c:pt>
                <c:pt idx="45">
                  <c:v>-1.5000000000000049</c:v>
                </c:pt>
                <c:pt idx="46">
                  <c:v>-1.4000000000000048</c:v>
                </c:pt>
                <c:pt idx="47">
                  <c:v>-1.3000000000000047</c:v>
                </c:pt>
                <c:pt idx="48">
                  <c:v>-1.2000000000000046</c:v>
                </c:pt>
                <c:pt idx="49">
                  <c:v>-1.1000000000000045</c:v>
                </c:pt>
                <c:pt idx="50">
                  <c:v>-1.0000000000000044</c:v>
                </c:pt>
                <c:pt idx="51">
                  <c:v>-0.90000000000000446</c:v>
                </c:pt>
                <c:pt idx="52">
                  <c:v>-0.80000000000000449</c:v>
                </c:pt>
                <c:pt idx="53">
                  <c:v>-0.70000000000000451</c:v>
                </c:pt>
                <c:pt idx="54">
                  <c:v>-0.60000000000000453</c:v>
                </c:pt>
                <c:pt idx="55">
                  <c:v>-0.50000000000000455</c:v>
                </c:pt>
                <c:pt idx="56">
                  <c:v>-0.40000000000000457</c:v>
                </c:pt>
                <c:pt idx="57">
                  <c:v>-0.3000000000000046</c:v>
                </c:pt>
                <c:pt idx="58">
                  <c:v>-0.20000000000000459</c:v>
                </c:pt>
                <c:pt idx="59">
                  <c:v>-0.10000000000000459</c:v>
                </c:pt>
                <c:pt idx="60">
                  <c:v>-4.5796699765787707E-15</c:v>
                </c:pt>
                <c:pt idx="61">
                  <c:v>9.9999999999995426E-2</c:v>
                </c:pt>
                <c:pt idx="62">
                  <c:v>0.19999999999999543</c:v>
                </c:pt>
                <c:pt idx="63">
                  <c:v>0.29999999999999544</c:v>
                </c:pt>
                <c:pt idx="64">
                  <c:v>0.39999999999999547</c:v>
                </c:pt>
                <c:pt idx="65">
                  <c:v>0.49999999999999545</c:v>
                </c:pt>
                <c:pt idx="66">
                  <c:v>0.59999999999999543</c:v>
                </c:pt>
                <c:pt idx="67">
                  <c:v>0.6999999999999954</c:v>
                </c:pt>
                <c:pt idx="68">
                  <c:v>0.79999999999999538</c:v>
                </c:pt>
                <c:pt idx="69">
                  <c:v>0.89999999999999536</c:v>
                </c:pt>
                <c:pt idx="70">
                  <c:v>0.99999999999999534</c:v>
                </c:pt>
                <c:pt idx="71">
                  <c:v>1.0999999999999954</c:v>
                </c:pt>
                <c:pt idx="72">
                  <c:v>1.1999999999999955</c:v>
                </c:pt>
                <c:pt idx="73">
                  <c:v>1.2999999999999956</c:v>
                </c:pt>
                <c:pt idx="74">
                  <c:v>1.3999999999999957</c:v>
                </c:pt>
                <c:pt idx="75">
                  <c:v>1.4999999999999958</c:v>
                </c:pt>
                <c:pt idx="76">
                  <c:v>1.5999999999999959</c:v>
                </c:pt>
                <c:pt idx="77">
                  <c:v>1.699999999999996</c:v>
                </c:pt>
                <c:pt idx="78">
                  <c:v>1.799999999999996</c:v>
                </c:pt>
                <c:pt idx="79">
                  <c:v>1.8999999999999961</c:v>
                </c:pt>
                <c:pt idx="80">
                  <c:v>1.9999999999999962</c:v>
                </c:pt>
                <c:pt idx="81">
                  <c:v>2.0999999999999961</c:v>
                </c:pt>
                <c:pt idx="82">
                  <c:v>2.1999999999999962</c:v>
                </c:pt>
                <c:pt idx="83">
                  <c:v>2.2999999999999963</c:v>
                </c:pt>
                <c:pt idx="84">
                  <c:v>2.3999999999999964</c:v>
                </c:pt>
                <c:pt idx="85">
                  <c:v>2.4999999999999964</c:v>
                </c:pt>
                <c:pt idx="86">
                  <c:v>2.5999999999999965</c:v>
                </c:pt>
                <c:pt idx="87">
                  <c:v>2.6999999999999966</c:v>
                </c:pt>
                <c:pt idx="88">
                  <c:v>2.7999999999999967</c:v>
                </c:pt>
                <c:pt idx="89">
                  <c:v>2.8999999999999968</c:v>
                </c:pt>
                <c:pt idx="90">
                  <c:v>2.9999999999999969</c:v>
                </c:pt>
                <c:pt idx="91">
                  <c:v>3.099999999999997</c:v>
                </c:pt>
                <c:pt idx="92">
                  <c:v>3.1999999999999971</c:v>
                </c:pt>
                <c:pt idx="93">
                  <c:v>3.2999999999999972</c:v>
                </c:pt>
                <c:pt idx="94">
                  <c:v>3.3999999999999972</c:v>
                </c:pt>
                <c:pt idx="95">
                  <c:v>3.4999999999999973</c:v>
                </c:pt>
                <c:pt idx="96">
                  <c:v>3.5999999999999974</c:v>
                </c:pt>
                <c:pt idx="97">
                  <c:v>3.6999999999999975</c:v>
                </c:pt>
                <c:pt idx="98">
                  <c:v>3.7999999999999976</c:v>
                </c:pt>
                <c:pt idx="99">
                  <c:v>3.8999999999999977</c:v>
                </c:pt>
                <c:pt idx="100">
                  <c:v>3.9999999999999978</c:v>
                </c:pt>
                <c:pt idx="101">
                  <c:v>4.0999999999999979</c:v>
                </c:pt>
                <c:pt idx="102">
                  <c:v>4.1999999999999975</c:v>
                </c:pt>
                <c:pt idx="103">
                  <c:v>4.2999999999999972</c:v>
                </c:pt>
                <c:pt idx="104">
                  <c:v>4.3999999999999968</c:v>
                </c:pt>
                <c:pt idx="105">
                  <c:v>4.4999999999999964</c:v>
                </c:pt>
                <c:pt idx="106">
                  <c:v>4.5999999999999961</c:v>
                </c:pt>
                <c:pt idx="107">
                  <c:v>4.6999999999999957</c:v>
                </c:pt>
                <c:pt idx="108">
                  <c:v>4.7999999999999954</c:v>
                </c:pt>
                <c:pt idx="109">
                  <c:v>4.899999999999995</c:v>
                </c:pt>
                <c:pt idx="110">
                  <c:v>4.9999999999999947</c:v>
                </c:pt>
                <c:pt idx="111">
                  <c:v>5.0999999999999943</c:v>
                </c:pt>
                <c:pt idx="112">
                  <c:v>5.199999999999994</c:v>
                </c:pt>
                <c:pt idx="113">
                  <c:v>5.2999999999999936</c:v>
                </c:pt>
                <c:pt idx="114">
                  <c:v>5.3999999999999932</c:v>
                </c:pt>
                <c:pt idx="115">
                  <c:v>5.4999999999999929</c:v>
                </c:pt>
                <c:pt idx="116">
                  <c:v>5.5999999999999925</c:v>
                </c:pt>
                <c:pt idx="117">
                  <c:v>5.6999999999999922</c:v>
                </c:pt>
                <c:pt idx="118">
                  <c:v>5.7999999999999918</c:v>
                </c:pt>
                <c:pt idx="119">
                  <c:v>5.8999999999999915</c:v>
                </c:pt>
                <c:pt idx="120">
                  <c:v>5.9999999999999911</c:v>
                </c:pt>
              </c:numCache>
            </c:numRef>
          </c:cat>
          <c:val>
            <c:numRef>
              <c:f>'normal distribution'!$E$7:$E$127</c:f>
              <c:numCache>
                <c:formatCode>General</c:formatCode>
                <c:ptCount val="121"/>
                <c:pt idx="0">
                  <c:v>6.6932080889509231E-5</c:v>
                </c:pt>
                <c:pt idx="1">
                  <c:v>8.1648903263973751E-5</c:v>
                </c:pt>
                <c:pt idx="2">
                  <c:v>9.9352922737827194E-5</c:v>
                </c:pt>
                <c:pt idx="3">
                  <c:v>1.205938619624709E-4</c:v>
                </c:pt>
                <c:pt idx="4">
                  <c:v>1.4601047813254619E-4</c:v>
                </c:pt>
                <c:pt idx="5">
                  <c:v>1.7634254592807896E-4</c:v>
                </c:pt>
                <c:pt idx="6">
                  <c:v>2.1244399212715296E-4</c:v>
                </c:pt>
                <c:pt idx="7">
                  <c:v>2.5529720777793682E-4</c:v>
                </c:pt>
                <c:pt idx="8">
                  <c:v>3.0602854660630559E-4</c:v>
                </c:pt>
                <c:pt idx="9">
                  <c:v>3.659249973632392E-4</c:v>
                </c:pt>
                <c:pt idx="10">
                  <c:v>4.3645199282779076E-4</c:v>
                </c:pt>
                <c:pt idx="11">
                  <c:v>5.1927228897724522E-4</c:v>
                </c:pt>
                <c:pt idx="12">
                  <c:v>6.162658142917013E-4</c:v>
                </c:pt>
                <c:pt idx="13">
                  <c:v>7.2955035124502225E-4</c:v>
                </c:pt>
                <c:pt idx="14">
                  <c:v>8.6150286983037742E-4</c:v>
                </c:pt>
                <c:pt idx="15">
                  <c:v>1.0147812866913813E-3</c:v>
                </c:pt>
                <c:pt idx="16">
                  <c:v>1.1923463734456077E-3</c:v>
                </c:pt>
                <c:pt idx="17">
                  <c:v>1.3974834846312669E-3</c:v>
                </c:pt>
                <c:pt idx="18">
                  <c:v>1.6338237200996511E-3</c:v>
                </c:pt>
                <c:pt idx="19">
                  <c:v>1.9053640795312179E-3</c:v>
                </c:pt>
                <c:pt idx="20">
                  <c:v>2.2164861091918272E-3</c:v>
                </c:pt>
                <c:pt idx="21">
                  <c:v>2.5719724843941555E-3</c:v>
                </c:pt>
                <c:pt idx="22">
                  <c:v>2.9770209169175344E-3</c:v>
                </c:pt>
                <c:pt idx="23">
                  <c:v>3.4372547265895206E-3</c:v>
                </c:pt>
                <c:pt idx="24">
                  <c:v>3.9587293722403126E-3</c:v>
                </c:pt>
                <c:pt idx="25">
                  <c:v>4.5479342013483573E-3</c:v>
                </c:pt>
                <c:pt idx="26">
                  <c:v>5.2117886520538156E-3</c:v>
                </c:pt>
                <c:pt idx="27">
                  <c:v>5.9576321280402616E-3</c:v>
                </c:pt>
                <c:pt idx="28">
                  <c:v>6.793206768297139E-3</c:v>
                </c:pt>
                <c:pt idx="29">
                  <c:v>7.7266323521420384E-3</c:v>
                </c:pt>
                <c:pt idx="30">
                  <c:v>8.7663726171414158E-3</c:v>
                </c:pt>
                <c:pt idx="31">
                  <c:v>9.921192325552183E-3</c:v>
                </c:pt>
                <c:pt idx="32">
                  <c:v>1.1200104495155579E-2</c:v>
                </c:pt>
                <c:pt idx="33">
                  <c:v>1.2612307314033443E-2</c:v>
                </c:pt>
                <c:pt idx="34">
                  <c:v>1.416711038664698E-2</c:v>
                </c:pt>
                <c:pt idx="35">
                  <c:v>1.587385011067614E-2</c:v>
                </c:pt>
                <c:pt idx="36">
                  <c:v>1.774179415999573E-2</c:v>
                </c:pt>
                <c:pt idx="37">
                  <c:v>1.9780035247745454E-2</c:v>
                </c:pt>
                <c:pt idx="38">
                  <c:v>2.1997374562793711E-2</c:v>
                </c:pt>
                <c:pt idx="39">
                  <c:v>2.4402195510314643E-2</c:v>
                </c:pt>
                <c:pt idx="40">
                  <c:v>2.7002328639212717E-2</c:v>
                </c:pt>
                <c:pt idx="41">
                  <c:v>2.9804908901462018E-2</c:v>
                </c:pt>
                <c:pt idx="42">
                  <c:v>3.2816226656041531E-2</c:v>
                </c:pt>
                <c:pt idx="43">
                  <c:v>3.6041574097303998E-2</c:v>
                </c:pt>
                <c:pt idx="44">
                  <c:v>3.94850890479592E-2</c:v>
                </c:pt>
                <c:pt idx="45">
                  <c:v>4.3149598303533647E-2</c:v>
                </c:pt>
                <c:pt idx="46">
                  <c:v>4.703646294098348E-2</c:v>
                </c:pt>
                <c:pt idx="47">
                  <c:v>5.1145428201703459E-2</c:v>
                </c:pt>
                <c:pt idx="48">
                  <c:v>5.5474480721119268E-2</c:v>
                </c:pt>
                <c:pt idx="49">
                  <c:v>6.0019715996230141E-2</c:v>
                </c:pt>
                <c:pt idx="50">
                  <c:v>6.4775219052187721E-2</c:v>
                </c:pt>
                <c:pt idx="51">
                  <c:v>6.97329612832467E-2</c:v>
                </c:pt>
                <c:pt idx="52">
                  <c:v>7.4882716397108084E-2</c:v>
                </c:pt>
                <c:pt idx="53">
                  <c:v>8.0211998280844132E-2</c:v>
                </c:pt>
                <c:pt idx="54">
                  <c:v>8.5706023428637534E-2</c:v>
                </c:pt>
                <c:pt idx="55">
                  <c:v>9.1347700325411091E-2</c:v>
                </c:pt>
                <c:pt idx="56">
                  <c:v>9.7117647866669807E-2</c:v>
                </c:pt>
                <c:pt idx="57">
                  <c:v>0.10299424451591732</c:v>
                </c:pt>
                <c:pt idx="58">
                  <c:v>0.10895370946108193</c:v>
                </c:pt>
                <c:pt idx="59">
                  <c:v>0.11497021653659741</c:v>
                </c:pt>
                <c:pt idx="60">
                  <c:v>0.12101604113603652</c:v>
                </c:pt>
                <c:pt idx="61">
                  <c:v>0.12706173976110741</c:v>
                </c:pt>
                <c:pt idx="62">
                  <c:v>0.13307636124754732</c:v>
                </c:pt>
                <c:pt idx="63">
                  <c:v>0.13902768808944754</c:v>
                </c:pt>
                <c:pt idx="64">
                  <c:v>0.1448825056643262</c:v>
                </c:pt>
                <c:pt idx="65">
                  <c:v>0.15060689655604645</c:v>
                </c:pt>
                <c:pt idx="66">
                  <c:v>0.1561665565960301</c:v>
                </c:pt>
                <c:pt idx="67">
                  <c:v>0.16152712870966732</c:v>
                </c:pt>
                <c:pt idx="68">
                  <c:v>0.16665455017845832</c:v>
                </c:pt>
                <c:pt idx="69">
                  <c:v>0.171515408522461</c:v>
                </c:pt>
                <c:pt idx="70">
                  <c:v>0.17607730088401641</c:v>
                </c:pt>
                <c:pt idx="71">
                  <c:v>0.18030919156278929</c:v>
                </c:pt>
                <c:pt idx="72">
                  <c:v>0.18418176222221097</c:v>
                </c:pt>
                <c:pt idx="73">
                  <c:v>0.18766774926447038</c:v>
                </c:pt>
                <c:pt idx="74">
                  <c:v>0.19074226295876762</c:v>
                </c:pt>
                <c:pt idx="75">
                  <c:v>0.19338308310642535</c:v>
                </c:pt>
                <c:pt idx="76">
                  <c:v>0.19557092633467116</c:v>
                </c:pt>
                <c:pt idx="77">
                  <c:v>0.19728968052368068</c:v>
                </c:pt>
                <c:pt idx="78">
                  <c:v>0.19852660238132311</c:v>
                </c:pt>
                <c:pt idx="79">
                  <c:v>0.19927247477692583</c:v>
                </c:pt>
                <c:pt idx="80">
                  <c:v>0.19952172111690555</c:v>
                </c:pt>
                <c:pt idx="81">
                  <c:v>0.19927247477692586</c:v>
                </c:pt>
                <c:pt idx="82">
                  <c:v>0.19852660238132319</c:v>
                </c:pt>
                <c:pt idx="83">
                  <c:v>0.19728968052368079</c:v>
                </c:pt>
                <c:pt idx="84">
                  <c:v>0.19557092633467132</c:v>
                </c:pt>
                <c:pt idx="85">
                  <c:v>0.19338308310642552</c:v>
                </c:pt>
                <c:pt idx="86">
                  <c:v>0.19074226295876784</c:v>
                </c:pt>
                <c:pt idx="87">
                  <c:v>0.18766774926447066</c:v>
                </c:pt>
                <c:pt idx="88">
                  <c:v>0.18418176222221125</c:v>
                </c:pt>
                <c:pt idx="89">
                  <c:v>0.1803091915627896</c:v>
                </c:pt>
                <c:pt idx="90">
                  <c:v>0.17607730088401674</c:v>
                </c:pt>
                <c:pt idx="91">
                  <c:v>0.17151540852246136</c:v>
                </c:pt>
                <c:pt idx="92">
                  <c:v>0.1666545501784587</c:v>
                </c:pt>
                <c:pt idx="93">
                  <c:v>0.16152712870966773</c:v>
                </c:pt>
                <c:pt idx="94">
                  <c:v>0.15616655659603051</c:v>
                </c:pt>
                <c:pt idx="95">
                  <c:v>0.15060689655604687</c:v>
                </c:pt>
                <c:pt idx="96">
                  <c:v>0.14488250566432662</c:v>
                </c:pt>
                <c:pt idx="97">
                  <c:v>0.13902768808944796</c:v>
                </c:pt>
                <c:pt idx="98">
                  <c:v>0.13307636124754774</c:v>
                </c:pt>
                <c:pt idx="99">
                  <c:v>0.12706173976110782</c:v>
                </c:pt>
                <c:pt idx="100">
                  <c:v>0.12101604113603692</c:v>
                </c:pt>
                <c:pt idx="101">
                  <c:v>0.11497021653659781</c:v>
                </c:pt>
                <c:pt idx="102">
                  <c:v>0.10895370946108235</c:v>
                </c:pt>
                <c:pt idx="103">
                  <c:v>0.10299424451591777</c:v>
                </c:pt>
                <c:pt idx="104">
                  <c:v>9.7117647866670279E-2</c:v>
                </c:pt>
                <c:pt idx="105">
                  <c:v>9.1347700325411549E-2</c:v>
                </c:pt>
                <c:pt idx="106">
                  <c:v>8.570602342863802E-2</c:v>
                </c:pt>
                <c:pt idx="107">
                  <c:v>8.0211998280844604E-2</c:v>
                </c:pt>
                <c:pt idx="108">
                  <c:v>7.4882716397108542E-2</c:v>
                </c:pt>
                <c:pt idx="109">
                  <c:v>6.9732961283247158E-2</c:v>
                </c:pt>
                <c:pt idx="110">
                  <c:v>6.4775219052188193E-2</c:v>
                </c:pt>
                <c:pt idx="111">
                  <c:v>6.001971599623062E-2</c:v>
                </c:pt>
                <c:pt idx="112">
                  <c:v>5.547448072111974E-2</c:v>
                </c:pt>
                <c:pt idx="113">
                  <c:v>5.1145428201703924E-2</c:v>
                </c:pt>
                <c:pt idx="114">
                  <c:v>4.7036462940983938E-2</c:v>
                </c:pt>
                <c:pt idx="115">
                  <c:v>4.3149598303534091E-2</c:v>
                </c:pt>
                <c:pt idx="116">
                  <c:v>3.9485089047959644E-2</c:v>
                </c:pt>
                <c:pt idx="117">
                  <c:v>3.6041574097304421E-2</c:v>
                </c:pt>
                <c:pt idx="118">
                  <c:v>3.2816226656041947E-2</c:v>
                </c:pt>
                <c:pt idx="119">
                  <c:v>2.980490890146242E-2</c:v>
                </c:pt>
                <c:pt idx="120">
                  <c:v>2.7002328639213102E-2</c:v>
                </c:pt>
              </c:numCache>
            </c:numRef>
          </c:val>
        </c:ser>
        <c:marker val="1"/>
        <c:axId val="156440832"/>
        <c:axId val="156463104"/>
      </c:lineChart>
      <c:catAx>
        <c:axId val="156440832"/>
        <c:scaling>
          <c:orientation val="minMax"/>
        </c:scaling>
        <c:axPos val="b"/>
        <c:numFmt formatCode="General" sourceLinked="1"/>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156463104"/>
        <c:crosses val="autoZero"/>
        <c:auto val="1"/>
        <c:lblAlgn val="ctr"/>
        <c:lblOffset val="100"/>
        <c:tickLblSkip val="10"/>
        <c:tickMarkSkip val="5"/>
      </c:catAx>
      <c:valAx>
        <c:axId val="156463104"/>
        <c:scaling>
          <c:orientation val="minMax"/>
        </c:scaling>
        <c:axPos val="l"/>
        <c:majorGridlines>
          <c:spPr>
            <a:ln w="3175">
              <a:solidFill>
                <a:srgbClr val="000000"/>
              </a:solidFill>
              <a:prstDash val="solid"/>
            </a:ln>
          </c:spPr>
        </c:majorGridlines>
        <c:numFmt formatCode="0.0" sourceLinked="0"/>
        <c:tickLblPos val="nextTo"/>
        <c:spPr>
          <a:ln w="3175">
            <a:solidFill>
              <a:srgbClr val="000000"/>
            </a:solidFill>
            <a:prstDash val="solid"/>
          </a:ln>
        </c:spPr>
        <c:txPr>
          <a:bodyPr rot="0" vert="horz"/>
          <a:lstStyle/>
          <a:p>
            <a:pPr>
              <a:defRPr sz="1075" b="0" i="0" u="none" strike="noStrike" baseline="0">
                <a:solidFill>
                  <a:srgbClr val="000000"/>
                </a:solidFill>
                <a:latin typeface="Arial"/>
                <a:ea typeface="Arial"/>
                <a:cs typeface="Arial"/>
              </a:defRPr>
            </a:pPr>
            <a:endParaRPr lang="en-US"/>
          </a:p>
        </c:txPr>
        <c:crossAx val="156440832"/>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800" b="0" i="0" u="none" strike="noStrike" baseline="0">
                <a:solidFill>
                  <a:srgbClr val="000000"/>
                </a:solidFill>
                <a:latin typeface="Arial"/>
                <a:ea typeface="Arial"/>
                <a:cs typeface="Arial"/>
              </a:defRPr>
            </a:pPr>
            <a:r>
              <a:rPr lang="en-US"/>
              <a:t>NORMDIST(x) </a:t>
            </a:r>
          </a:p>
        </c:rich>
      </c:tx>
      <c:layout>
        <c:manualLayout>
          <c:xMode val="edge"/>
          <c:yMode val="edge"/>
          <c:x val="0.32954545454545481"/>
          <c:y val="3.8327526132404179E-2"/>
        </c:manualLayout>
      </c:layout>
      <c:spPr>
        <a:noFill/>
        <a:ln w="25400">
          <a:noFill/>
        </a:ln>
      </c:spPr>
    </c:title>
    <c:plotArea>
      <c:layout>
        <c:manualLayout>
          <c:layoutTarget val="inner"/>
          <c:xMode val="edge"/>
          <c:yMode val="edge"/>
          <c:x val="0.13863636363636389"/>
          <c:y val="0.10801393728223013"/>
          <c:w val="0.80454545454545556"/>
          <c:h val="0.67247386759582006"/>
        </c:manualLayout>
      </c:layout>
      <c:scatterChart>
        <c:scatterStyle val="lineMarker"/>
        <c:ser>
          <c:idx val="0"/>
          <c:order val="0"/>
          <c:spPr>
            <a:ln w="12700">
              <a:solidFill>
                <a:srgbClr val="000080"/>
              </a:solidFill>
              <a:prstDash val="solid"/>
            </a:ln>
          </c:spPr>
          <c:marker>
            <c:symbol val="none"/>
          </c:marker>
          <c:xVal>
            <c:numRef>
              <c:f>personnel!$D$22:$D$36</c:f>
              <c:numCache>
                <c:formatCode>General</c:formatCode>
                <c:ptCount val="15"/>
                <c:pt idx="0">
                  <c:v>350</c:v>
                </c:pt>
                <c:pt idx="1">
                  <c:v>375</c:v>
                </c:pt>
                <c:pt idx="2">
                  <c:v>400</c:v>
                </c:pt>
                <c:pt idx="3">
                  <c:v>425</c:v>
                </c:pt>
                <c:pt idx="4">
                  <c:v>450</c:v>
                </c:pt>
                <c:pt idx="5">
                  <c:v>475</c:v>
                </c:pt>
                <c:pt idx="6">
                  <c:v>500</c:v>
                </c:pt>
                <c:pt idx="7">
                  <c:v>525</c:v>
                </c:pt>
                <c:pt idx="8">
                  <c:v>550</c:v>
                </c:pt>
                <c:pt idx="9">
                  <c:v>575</c:v>
                </c:pt>
                <c:pt idx="10">
                  <c:v>600</c:v>
                </c:pt>
                <c:pt idx="11">
                  <c:v>625</c:v>
                </c:pt>
                <c:pt idx="12">
                  <c:v>650</c:v>
                </c:pt>
                <c:pt idx="13">
                  <c:v>675</c:v>
                </c:pt>
                <c:pt idx="14">
                  <c:v>700</c:v>
                </c:pt>
              </c:numCache>
            </c:numRef>
          </c:xVal>
          <c:yVal>
            <c:numRef>
              <c:f>personnel!$E$22:$E$36</c:f>
              <c:numCache>
                <c:formatCode>General</c:formatCode>
                <c:ptCount val="15"/>
                <c:pt idx="0">
                  <c:v>7.3176832239285616E-4</c:v>
                </c:pt>
                <c:pt idx="1">
                  <c:v>3.1930116413534382E-3</c:v>
                </c:pt>
                <c:pt idx="2">
                  <c:v>1.1521310043880906E-2</c:v>
                </c:pt>
                <c:pt idx="3">
                  <c:v>3.451817399720758E-2</c:v>
                </c:pt>
                <c:pt idx="4">
                  <c:v>8.6341020709374328E-2</c:v>
                </c:pt>
                <c:pt idx="5">
                  <c:v>0.18165107044344886</c:v>
                </c:pt>
                <c:pt idx="6">
                  <c:v>0.32471814186337733</c:v>
                </c:pt>
                <c:pt idx="7">
                  <c:v>0.5</c:v>
                </c:pt>
                <c:pt idx="8">
                  <c:v>0.67528185813662267</c:v>
                </c:pt>
                <c:pt idx="9">
                  <c:v>0.81834892955655114</c:v>
                </c:pt>
                <c:pt idx="10">
                  <c:v>0.91365897929062567</c:v>
                </c:pt>
                <c:pt idx="11">
                  <c:v>0.96548182600279242</c:v>
                </c:pt>
                <c:pt idx="12">
                  <c:v>0.98847868995611909</c:v>
                </c:pt>
                <c:pt idx="13">
                  <c:v>0.99680698835864656</c:v>
                </c:pt>
                <c:pt idx="14">
                  <c:v>0.99926823167760714</c:v>
                </c:pt>
              </c:numCache>
            </c:numRef>
          </c:yVal>
        </c:ser>
        <c:ser>
          <c:idx val="1"/>
          <c:order val="1"/>
          <c:spPr>
            <a:ln w="12700">
              <a:solidFill>
                <a:srgbClr val="FF00FF"/>
              </a:solidFill>
              <a:prstDash val="solid"/>
            </a:ln>
          </c:spPr>
          <c:marker>
            <c:symbol val="none"/>
          </c:marker>
          <c:xVal>
            <c:numLit>
              <c:formatCode>General</c:formatCode>
              <c:ptCount val="3"/>
              <c:pt idx="0">
                <c:v>600</c:v>
              </c:pt>
              <c:pt idx="1">
                <c:v>600</c:v>
              </c:pt>
              <c:pt idx="2">
                <c:v>350</c:v>
              </c:pt>
            </c:numLit>
          </c:xVal>
          <c:yVal>
            <c:numLit>
              <c:formatCode>General</c:formatCode>
              <c:ptCount val="3"/>
              <c:pt idx="0">
                <c:v>0</c:v>
              </c:pt>
              <c:pt idx="1">
                <c:v>0.91366000000000003</c:v>
              </c:pt>
              <c:pt idx="2">
                <c:v>0.91366000000000003</c:v>
              </c:pt>
            </c:numLit>
          </c:yVal>
        </c:ser>
        <c:axId val="158179328"/>
        <c:axId val="158181248"/>
      </c:scatterChart>
      <c:valAx>
        <c:axId val="158179328"/>
        <c:scaling>
          <c:orientation val="minMax"/>
          <c:max val="700"/>
          <c:min val="350"/>
        </c:scaling>
        <c:axPos val="b"/>
        <c:title>
          <c:tx>
            <c:rich>
              <a:bodyPr/>
              <a:lstStyle/>
              <a:p>
                <a:pPr>
                  <a:defRPr sz="800" b="0" i="0" u="none" strike="noStrike" baseline="0">
                    <a:solidFill>
                      <a:srgbClr val="000000"/>
                    </a:solidFill>
                    <a:latin typeface="Arial"/>
                    <a:ea typeface="Arial"/>
                    <a:cs typeface="Arial"/>
                  </a:defRPr>
                </a:pPr>
                <a:r>
                  <a:rPr lang="en-US"/>
                  <a:t>x</a:t>
                </a:r>
              </a:p>
            </c:rich>
          </c:tx>
          <c:layout>
            <c:manualLayout>
              <c:xMode val="edge"/>
              <c:yMode val="edge"/>
              <c:x val="0.52954545454545465"/>
              <c:y val="0.87456445993031351"/>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8181248"/>
        <c:crosses val="autoZero"/>
        <c:crossBetween val="midCat"/>
      </c:valAx>
      <c:valAx>
        <c:axId val="158181248"/>
        <c:scaling>
          <c:orientation val="minMax"/>
          <c:max val="1"/>
        </c:scaling>
        <c:axPos val="l"/>
        <c:majorGridlines>
          <c:spPr>
            <a:ln w="3175">
              <a:solidFill>
                <a:srgbClr val="000000"/>
              </a:solidFill>
              <a:prstDash val="solid"/>
            </a:ln>
          </c:spPr>
        </c:majorGridlines>
        <c:title>
          <c:tx>
            <c:rich>
              <a:bodyPr/>
              <a:lstStyle/>
              <a:p>
                <a:pPr>
                  <a:defRPr sz="800" b="0" i="0" u="none" strike="noStrike" baseline="0">
                    <a:solidFill>
                      <a:srgbClr val="000000"/>
                    </a:solidFill>
                    <a:latin typeface="Arial"/>
                    <a:ea typeface="Arial"/>
                    <a:cs typeface="Arial"/>
                  </a:defRPr>
                </a:pPr>
                <a:r>
                  <a:rPr lang="en-US"/>
                  <a:t>Probability</a:t>
                </a:r>
              </a:p>
            </c:rich>
          </c:tx>
          <c:layout>
            <c:manualLayout>
              <c:xMode val="edge"/>
              <c:yMode val="edge"/>
              <c:x val="3.4090909090909088E-2"/>
              <c:y val="0.35191637630662093"/>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8179328"/>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0411622276029078"/>
          <c:y val="8.7248465106676734E-2"/>
          <c:w val="0.82324455205811298"/>
          <c:h val="0.74832337379957281"/>
        </c:manualLayout>
      </c:layout>
      <c:lineChart>
        <c:grouping val="standard"/>
        <c:ser>
          <c:idx val="0"/>
          <c:order val="0"/>
          <c:tx>
            <c:strRef>
              <c:f>'project duration'!$B$29</c:f>
              <c:strCache>
                <c:ptCount val="1"/>
                <c:pt idx="0">
                  <c:v>normal</c:v>
                </c:pt>
              </c:strCache>
            </c:strRef>
          </c:tx>
          <c:spPr>
            <a:ln w="12700">
              <a:solidFill>
                <a:srgbClr val="000080"/>
              </a:solidFill>
              <a:prstDash val="solid"/>
            </a:ln>
          </c:spPr>
          <c:marker>
            <c:symbol val="none"/>
          </c:marker>
          <c:cat>
            <c:numRef>
              <c:f>'project duration'!$A$30:$A$75</c:f>
              <c:numCache>
                <c:formatCode>General</c:formatCode>
                <c:ptCount val="46"/>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96</c:v>
                </c:pt>
                <c:pt idx="44">
                  <c:v>98</c:v>
                </c:pt>
                <c:pt idx="45">
                  <c:v>100</c:v>
                </c:pt>
              </c:numCache>
            </c:numRef>
          </c:cat>
          <c:val>
            <c:numRef>
              <c:f>'project duration'!$B$30:$B$75</c:f>
              <c:numCache>
                <c:formatCode>General</c:formatCode>
                <c:ptCount val="46"/>
                <c:pt idx="0">
                  <c:v>1.9035494997975786E-18</c:v>
                </c:pt>
                <c:pt idx="1">
                  <c:v>5.274493010305446E-17</c:v>
                </c:pt>
                <c:pt idx="2">
                  <c:v>1.2617258063571035E-15</c:v>
                </c:pt>
                <c:pt idx="3">
                  <c:v>2.6061327997954713E-14</c:v>
                </c:pt>
                <c:pt idx="4">
                  <c:v>4.6490701367767E-13</c:v>
                </c:pt>
                <c:pt idx="5">
                  <c:v>7.1643633687900323E-12</c:v>
                </c:pt>
                <c:pt idx="6">
                  <c:v>9.5400547749318451E-11</c:v>
                </c:pt>
                <c:pt idx="7">
                  <c:v>1.0980568198496987E-9</c:v>
                </c:pt>
                <c:pt idx="8">
                  <c:v>1.0928526086580885E-8</c:v>
                </c:pt>
                <c:pt idx="9">
                  <c:v>9.4091806238542455E-8</c:v>
                </c:pt>
                <c:pt idx="10">
                  <c:v>7.0116665162878178E-7</c:v>
                </c:pt>
                <c:pt idx="11">
                  <c:v>4.5252150149277526E-6</c:v>
                </c:pt>
                <c:pt idx="12">
                  <c:v>2.5312234172569781E-5</c:v>
                </c:pt>
                <c:pt idx="13">
                  <c:v>1.2282574407218583E-4</c:v>
                </c:pt>
                <c:pt idx="14">
                  <c:v>5.1760688911173247E-4</c:v>
                </c:pt>
                <c:pt idx="15">
                  <c:v>1.8969787356128975E-3</c:v>
                </c:pt>
                <c:pt idx="16">
                  <c:v>6.0565909051589761E-3</c:v>
                </c:pt>
                <c:pt idx="17">
                  <c:v>1.6882959319215574E-2</c:v>
                </c:pt>
                <c:pt idx="18">
                  <c:v>4.1203982960923424E-2</c:v>
                </c:pt>
                <c:pt idx="19">
                  <c:v>8.8362392105196585E-2</c:v>
                </c:pt>
                <c:pt idx="20">
                  <c:v>0.16728879607332803</c:v>
                </c:pt>
                <c:pt idx="21">
                  <c:v>0.28130783434962392</c:v>
                </c:pt>
                <c:pt idx="22">
                  <c:v>0.42348460941218624</c:v>
                </c:pt>
                <c:pt idx="23">
                  <c:v>0.57651539058781376</c:v>
                </c:pt>
                <c:pt idx="24">
                  <c:v>0.71869216565037608</c:v>
                </c:pt>
                <c:pt idx="25">
                  <c:v>0.83271120392667197</c:v>
                </c:pt>
                <c:pt idx="26">
                  <c:v>0.91163760789480341</c:v>
                </c:pt>
                <c:pt idx="27">
                  <c:v>0.95879601703907658</c:v>
                </c:pt>
                <c:pt idx="28">
                  <c:v>0.98311704068078443</c:v>
                </c:pt>
                <c:pt idx="29">
                  <c:v>0.99394340909484102</c:v>
                </c:pt>
                <c:pt idx="30">
                  <c:v>0.9981030212643871</c:v>
                </c:pt>
                <c:pt idx="31">
                  <c:v>0.99948239311088827</c:v>
                </c:pt>
                <c:pt idx="32">
                  <c:v>0.99987717425592781</c:v>
                </c:pt>
                <c:pt idx="33">
                  <c:v>0.99997468776582743</c:v>
                </c:pt>
                <c:pt idx="34">
                  <c:v>0.99999547478498507</c:v>
                </c:pt>
                <c:pt idx="35">
                  <c:v>0.99999929883334837</c:v>
                </c:pt>
                <c:pt idx="36">
                  <c:v>0.99999990590819376</c:v>
                </c:pt>
                <c:pt idx="37">
                  <c:v>0.99999998907147392</c:v>
                </c:pt>
                <c:pt idx="38">
                  <c:v>0.99999999890194313</c:v>
                </c:pt>
                <c:pt idx="39">
                  <c:v>0.99999999990459942</c:v>
                </c:pt>
                <c:pt idx="40">
                  <c:v>0.99999999999283562</c:v>
                </c:pt>
                <c:pt idx="41">
                  <c:v>0.99999999999953504</c:v>
                </c:pt>
                <c:pt idx="42">
                  <c:v>0.99999999999997391</c:v>
                </c:pt>
                <c:pt idx="43">
                  <c:v>0.99999999999999878</c:v>
                </c:pt>
                <c:pt idx="44">
                  <c:v>1</c:v>
                </c:pt>
                <c:pt idx="45">
                  <c:v>1</c:v>
                </c:pt>
              </c:numCache>
            </c:numRef>
          </c:val>
        </c:ser>
        <c:ser>
          <c:idx val="1"/>
          <c:order val="1"/>
          <c:tx>
            <c:strRef>
              <c:f>'project duration'!$C$29</c:f>
              <c:strCache>
                <c:ptCount val="1"/>
                <c:pt idx="0">
                  <c:v>beta</c:v>
                </c:pt>
              </c:strCache>
            </c:strRef>
          </c:tx>
          <c:spPr>
            <a:ln w="12700">
              <a:solidFill>
                <a:srgbClr val="FF00FF"/>
              </a:solidFill>
              <a:prstDash val="solid"/>
            </a:ln>
          </c:spPr>
          <c:marker>
            <c:symbol val="none"/>
          </c:marker>
          <c:cat>
            <c:numRef>
              <c:f>'project duration'!$A$30:$A$75</c:f>
              <c:numCache>
                <c:formatCode>General</c:formatCode>
                <c:ptCount val="46"/>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96</c:v>
                </c:pt>
                <c:pt idx="44">
                  <c:v>98</c:v>
                </c:pt>
                <c:pt idx="45">
                  <c:v>100</c:v>
                </c:pt>
              </c:numCache>
            </c:numRef>
          </c:cat>
          <c:val>
            <c:numRef>
              <c:f>'project duration'!$C$30:$C$75</c:f>
              <c:numCache>
                <c:formatCode>General</c:formatCode>
                <c:ptCount val="46"/>
                <c:pt idx="5">
                  <c:v>1.6084399598900648E-39</c:v>
                </c:pt>
                <c:pt idx="6">
                  <c:v>1.0611559803969326E-25</c:v>
                </c:pt>
                <c:pt idx="7">
                  <c:v>1.7999125394071697E-19</c:v>
                </c:pt>
                <c:pt idx="8">
                  <c:v>1.6848933108383679E-15</c:v>
                </c:pt>
                <c:pt idx="9">
                  <c:v>1.2293243025179228E-12</c:v>
                </c:pt>
                <c:pt idx="10">
                  <c:v>1.9462005953550521E-10</c:v>
                </c:pt>
                <c:pt idx="11">
                  <c:v>1.107213295453939E-8</c:v>
                </c:pt>
                <c:pt idx="12">
                  <c:v>3.0123081914372446E-7</c:v>
                </c:pt>
                <c:pt idx="13">
                  <c:v>4.679834099310871E-6</c:v>
                </c:pt>
                <c:pt idx="14">
                  <c:v>4.6694141064146648E-5</c:v>
                </c:pt>
                <c:pt idx="15">
                  <c:v>3.2471221465620124E-4</c:v>
                </c:pt>
                <c:pt idx="16">
                  <c:v>1.6695656058645114E-3</c:v>
                </c:pt>
                <c:pt idx="17">
                  <c:v>6.6333504787015191E-3</c:v>
                </c:pt>
                <c:pt idx="18">
                  <c:v>2.1067210294286119E-2</c:v>
                </c:pt>
                <c:pt idx="19">
                  <c:v>5.4938768793892298E-2</c:v>
                </c:pt>
                <c:pt idx="20">
                  <c:v>0.12025430218535056</c:v>
                </c:pt>
                <c:pt idx="21">
                  <c:v>0.2251429272578987</c:v>
                </c:pt>
                <c:pt idx="22">
                  <c:v>0.36675806109304954</c:v>
                </c:pt>
                <c:pt idx="23">
                  <c:v>0.52852488514277485</c:v>
                </c:pt>
                <c:pt idx="24">
                  <c:v>0.68539738142879925</c:v>
                </c:pt>
                <c:pt idx="25">
                  <c:v>0.81463737847856066</c:v>
                </c:pt>
                <c:pt idx="26">
                  <c:v>0.90492201017307206</c:v>
                </c:pt>
                <c:pt idx="27">
                  <c:v>0.95815632950834517</c:v>
                </c:pt>
                <c:pt idx="28">
                  <c:v>0.98444945552809804</c:v>
                </c:pt>
                <c:pt idx="29">
                  <c:v>0.99520951668646385</c:v>
                </c:pt>
                <c:pt idx="30">
                  <c:v>0.99880385405170757</c:v>
                </c:pt>
                <c:pt idx="31">
                  <c:v>0.99976460879250484</c:v>
                </c:pt>
                <c:pt idx="32">
                  <c:v>0.99996477765446434</c:v>
                </c:pt>
                <c:pt idx="33">
                  <c:v>0.99999617662182239</c:v>
                </c:pt>
                <c:pt idx="34">
                  <c:v>0.99999971737083826</c:v>
                </c:pt>
                <c:pt idx="35">
                  <c:v>0.99999998696613923</c:v>
                </c:pt>
                <c:pt idx="36">
                  <c:v>0.99999999966942499</c:v>
                </c:pt>
                <c:pt idx="37">
                  <c:v>0.99999999999618805</c:v>
                </c:pt>
                <c:pt idx="38">
                  <c:v>0.99999999999998535</c:v>
                </c:pt>
                <c:pt idx="39">
                  <c:v>1</c:v>
                </c:pt>
                <c:pt idx="40">
                  <c:v>1</c:v>
                </c:pt>
                <c:pt idx="41">
                  <c:v>1</c:v>
                </c:pt>
              </c:numCache>
            </c:numRef>
          </c:val>
        </c:ser>
        <c:marker val="1"/>
        <c:axId val="158753152"/>
        <c:axId val="158754688"/>
      </c:lineChart>
      <c:catAx>
        <c:axId val="158753152"/>
        <c:scaling>
          <c:orientation val="minMax"/>
        </c:scaling>
        <c:axPos val="b"/>
        <c:numFmt formatCode="General" sourceLinked="1"/>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58754688"/>
        <c:crosses val="autoZero"/>
        <c:auto val="1"/>
        <c:lblAlgn val="ctr"/>
        <c:lblOffset val="100"/>
        <c:tickLblSkip val="3"/>
        <c:tickMarkSkip val="1"/>
      </c:catAx>
      <c:valAx>
        <c:axId val="158754688"/>
        <c:scaling>
          <c:orientation val="minMax"/>
          <c:max val="1"/>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8753152"/>
        <c:crosses val="autoZero"/>
        <c:crossBetween val="between"/>
      </c:valAx>
      <c:spPr>
        <a:solidFill>
          <a:srgbClr val="C0C0C0"/>
        </a:solidFill>
        <a:ln w="12700">
          <a:solidFill>
            <a:srgbClr val="808080"/>
          </a:solidFill>
          <a:prstDash val="solid"/>
        </a:ln>
      </c:spPr>
    </c:plotArea>
    <c:legend>
      <c:legendPos val="r"/>
      <c:layout>
        <c:manualLayout>
          <c:xMode val="edge"/>
          <c:yMode val="edge"/>
          <c:x val="0.19854721549636847"/>
          <c:y val="0.13758424492240509"/>
          <c:w val="0.1622276029055687"/>
          <c:h val="0.13087283552643175"/>
        </c:manualLayout>
      </c:layout>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0.10411622276029081"/>
          <c:y val="9.3959885499498089E-2"/>
          <c:w val="0.8232445520581132"/>
          <c:h val="0.74161195340675168"/>
        </c:manualLayout>
      </c:layout>
      <c:lineChart>
        <c:grouping val="standard"/>
        <c:ser>
          <c:idx val="0"/>
          <c:order val="0"/>
          <c:tx>
            <c:strRef>
              <c:f>'project duration+correlations'!$B$29</c:f>
              <c:strCache>
                <c:ptCount val="1"/>
              </c:strCache>
            </c:strRef>
          </c:tx>
          <c:spPr>
            <a:ln w="12700">
              <a:solidFill>
                <a:srgbClr val="000080"/>
              </a:solidFill>
              <a:prstDash val="solid"/>
            </a:ln>
          </c:spPr>
          <c:marker>
            <c:symbol val="none"/>
          </c:marker>
          <c:cat>
            <c:numRef>
              <c:f>'project duration+correlations'!$A$30:$A$75</c:f>
              <c:numCache>
                <c:formatCode>General</c:formatCode>
                <c:ptCount val="46"/>
                <c:pt idx="0">
                  <c:v>10</c:v>
                </c:pt>
                <c:pt idx="1">
                  <c:v>12</c:v>
                </c:pt>
                <c:pt idx="2">
                  <c:v>14</c:v>
                </c:pt>
                <c:pt idx="3">
                  <c:v>16</c:v>
                </c:pt>
                <c:pt idx="4">
                  <c:v>18</c:v>
                </c:pt>
                <c:pt idx="5">
                  <c:v>20</c:v>
                </c:pt>
                <c:pt idx="6">
                  <c:v>22</c:v>
                </c:pt>
                <c:pt idx="7">
                  <c:v>24</c:v>
                </c:pt>
                <c:pt idx="8">
                  <c:v>26</c:v>
                </c:pt>
                <c:pt idx="9">
                  <c:v>28</c:v>
                </c:pt>
                <c:pt idx="10">
                  <c:v>30</c:v>
                </c:pt>
                <c:pt idx="11">
                  <c:v>32</c:v>
                </c:pt>
                <c:pt idx="12">
                  <c:v>34</c:v>
                </c:pt>
                <c:pt idx="13">
                  <c:v>36</c:v>
                </c:pt>
                <c:pt idx="14">
                  <c:v>38</c:v>
                </c:pt>
                <c:pt idx="15">
                  <c:v>40</c:v>
                </c:pt>
                <c:pt idx="16">
                  <c:v>42</c:v>
                </c:pt>
                <c:pt idx="17">
                  <c:v>44</c:v>
                </c:pt>
                <c:pt idx="18">
                  <c:v>46</c:v>
                </c:pt>
                <c:pt idx="19">
                  <c:v>48</c:v>
                </c:pt>
                <c:pt idx="20">
                  <c:v>50</c:v>
                </c:pt>
                <c:pt idx="21">
                  <c:v>52</c:v>
                </c:pt>
                <c:pt idx="22">
                  <c:v>54</c:v>
                </c:pt>
                <c:pt idx="23">
                  <c:v>56</c:v>
                </c:pt>
                <c:pt idx="24">
                  <c:v>58</c:v>
                </c:pt>
                <c:pt idx="25">
                  <c:v>60</c:v>
                </c:pt>
                <c:pt idx="26">
                  <c:v>62</c:v>
                </c:pt>
                <c:pt idx="27">
                  <c:v>64</c:v>
                </c:pt>
                <c:pt idx="28">
                  <c:v>66</c:v>
                </c:pt>
                <c:pt idx="29">
                  <c:v>68</c:v>
                </c:pt>
                <c:pt idx="30">
                  <c:v>70</c:v>
                </c:pt>
                <c:pt idx="31">
                  <c:v>72</c:v>
                </c:pt>
                <c:pt idx="32">
                  <c:v>74</c:v>
                </c:pt>
                <c:pt idx="33">
                  <c:v>76</c:v>
                </c:pt>
                <c:pt idx="34">
                  <c:v>78</c:v>
                </c:pt>
                <c:pt idx="35">
                  <c:v>80</c:v>
                </c:pt>
                <c:pt idx="36">
                  <c:v>82</c:v>
                </c:pt>
                <c:pt idx="37">
                  <c:v>84</c:v>
                </c:pt>
                <c:pt idx="38">
                  <c:v>86</c:v>
                </c:pt>
                <c:pt idx="39">
                  <c:v>88</c:v>
                </c:pt>
                <c:pt idx="40">
                  <c:v>90</c:v>
                </c:pt>
                <c:pt idx="41">
                  <c:v>92</c:v>
                </c:pt>
                <c:pt idx="42">
                  <c:v>94</c:v>
                </c:pt>
                <c:pt idx="43">
                  <c:v>96</c:v>
                </c:pt>
                <c:pt idx="44">
                  <c:v>98</c:v>
                </c:pt>
                <c:pt idx="45">
                  <c:v>100</c:v>
                </c:pt>
              </c:numCache>
            </c:numRef>
          </c:cat>
          <c:val>
            <c:numRef>
              <c:f>'project duration+correlations'!$B$30:$B$75</c:f>
              <c:numCache>
                <c:formatCode>General</c:formatCode>
                <c:ptCount val="46"/>
                <c:pt idx="0">
                  <c:v>8.2634627062150826E-8</c:v>
                </c:pt>
                <c:pt idx="1">
                  <c:v>2.8364974282892173E-7</c:v>
                </c:pt>
                <c:pt idx="2">
                  <c:v>9.2398363316092968E-7</c:v>
                </c:pt>
                <c:pt idx="3">
                  <c:v>2.856735924705589E-6</c:v>
                </c:pt>
                <c:pt idx="4">
                  <c:v>8.3843649445469737E-6</c:v>
                </c:pt>
                <c:pt idx="5">
                  <c:v>2.3363781013863161E-5</c:v>
                </c:pt>
                <c:pt idx="6">
                  <c:v>6.1826922238550353E-5</c:v>
                </c:pt>
                <c:pt idx="7">
                  <c:v>1.5540820378978637E-4</c:v>
                </c:pt>
                <c:pt idx="8">
                  <c:v>3.7114691506001662E-4</c:v>
                </c:pt>
                <c:pt idx="9">
                  <c:v>8.4240897562437578E-4</c:v>
                </c:pt>
                <c:pt idx="10">
                  <c:v>1.8178311145571335E-3</c:v>
                </c:pt>
                <c:pt idx="11">
                  <c:v>3.7308483019257155E-3</c:v>
                </c:pt>
                <c:pt idx="12">
                  <c:v>7.2858649664850894E-3</c:v>
                </c:pt>
                <c:pt idx="13">
                  <c:v>1.3545676528952999E-2</c:v>
                </c:pt>
                <c:pt idx="14">
                  <c:v>2.3989945446367456E-2</c:v>
                </c:pt>
                <c:pt idx="15">
                  <c:v>4.0501664284715133E-2</c:v>
                </c:pt>
                <c:pt idx="16">
                  <c:v>6.523622697765763E-2</c:v>
                </c:pt>
                <c:pt idx="17">
                  <c:v>0.10034487687469973</c:v>
                </c:pt>
                <c:pt idx="18">
                  <c:v>0.14756446138824653</c:v>
                </c:pt>
                <c:pt idx="19">
                  <c:v>0.20774118000973607</c:v>
                </c:pt>
                <c:pt idx="20">
                  <c:v>0.28040752065267061</c:v>
                </c:pt>
                <c:pt idx="21">
                  <c:v>0.36355261553150653</c:v>
                </c:pt>
                <c:pt idx="22">
                  <c:v>0.45369698556677185</c:v>
                </c:pt>
                <c:pt idx="23">
                  <c:v>0.54630301443322815</c:v>
                </c:pt>
                <c:pt idx="24">
                  <c:v>0.63644738446849347</c:v>
                </c:pt>
                <c:pt idx="25">
                  <c:v>0.71959247934732939</c:v>
                </c:pt>
                <c:pt idx="26">
                  <c:v>0.79225881999026393</c:v>
                </c:pt>
                <c:pt idx="27">
                  <c:v>0.85243553861175347</c:v>
                </c:pt>
                <c:pt idx="28">
                  <c:v>0.89965512312530027</c:v>
                </c:pt>
                <c:pt idx="29">
                  <c:v>0.93476377302234237</c:v>
                </c:pt>
                <c:pt idx="30">
                  <c:v>0.95949833571528487</c:v>
                </c:pt>
                <c:pt idx="31">
                  <c:v>0.97601005455363254</c:v>
                </c:pt>
                <c:pt idx="32">
                  <c:v>0.986454323471047</c:v>
                </c:pt>
                <c:pt idx="33">
                  <c:v>0.99271413503351491</c:v>
                </c:pt>
                <c:pt idx="34">
                  <c:v>0.99626915169807428</c:v>
                </c:pt>
                <c:pt idx="35">
                  <c:v>0.99818216888544287</c:v>
                </c:pt>
                <c:pt idx="36">
                  <c:v>0.99915759102437562</c:v>
                </c:pt>
                <c:pt idx="37">
                  <c:v>0.99962885308493998</c:v>
                </c:pt>
                <c:pt idx="38">
                  <c:v>0.99984459179621021</c:v>
                </c:pt>
                <c:pt idx="39">
                  <c:v>0.99993817307776145</c:v>
                </c:pt>
                <c:pt idx="40">
                  <c:v>0.99997663621898614</c:v>
                </c:pt>
                <c:pt idx="41">
                  <c:v>0.99999161563505545</c:v>
                </c:pt>
                <c:pt idx="42">
                  <c:v>0.99999714326407529</c:v>
                </c:pt>
                <c:pt idx="43">
                  <c:v>0.99999907601636684</c:v>
                </c:pt>
                <c:pt idx="44">
                  <c:v>0.9999997163502572</c:v>
                </c:pt>
                <c:pt idx="45">
                  <c:v>0.99999991736537297</c:v>
                </c:pt>
              </c:numCache>
            </c:numRef>
          </c:val>
        </c:ser>
        <c:marker val="1"/>
        <c:axId val="143940224"/>
        <c:axId val="143950208"/>
      </c:lineChart>
      <c:catAx>
        <c:axId val="143940224"/>
        <c:scaling>
          <c:orientation val="minMax"/>
        </c:scaling>
        <c:axPos val="b"/>
        <c:numFmt formatCode="General" sourceLinked="1"/>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43950208"/>
        <c:crosses val="autoZero"/>
        <c:auto val="1"/>
        <c:lblAlgn val="ctr"/>
        <c:lblOffset val="100"/>
        <c:tickLblSkip val="3"/>
        <c:tickMarkSkip val="1"/>
      </c:catAx>
      <c:valAx>
        <c:axId val="143950208"/>
        <c:scaling>
          <c:orientation val="minMax"/>
          <c:max val="1"/>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3940224"/>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5" footer="0.49212598450000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052752863025366"/>
          <c:y val="8.1504826950717368E-2"/>
          <c:w val="0.82862675933299368"/>
          <c:h val="0.74608264670271851"/>
        </c:manualLayout>
      </c:layout>
      <c:barChart>
        <c:barDir val="col"/>
        <c:grouping val="clustered"/>
        <c:ser>
          <c:idx val="1"/>
          <c:order val="0"/>
          <c:tx>
            <c:strRef>
              <c:f>'lognormal distribution'!$H$2</c:f>
              <c:strCache>
                <c:ptCount val="1"/>
                <c:pt idx="0">
                  <c:v>relative
frequency</c:v>
                </c:pt>
              </c:strCache>
            </c:strRef>
          </c:tx>
          <c:spPr>
            <a:solidFill>
              <a:srgbClr val="993366"/>
            </a:solidFill>
            <a:ln w="12700">
              <a:solidFill>
                <a:srgbClr val="000000"/>
              </a:solidFill>
              <a:prstDash val="solid"/>
            </a:ln>
          </c:spPr>
          <c:cat>
            <c:numRef>
              <c:f>'lognormal distribution'!$F$3:$F$14</c:f>
              <c:numCache>
                <c:formatCode>General</c:formatCode>
                <c:ptCount val="12"/>
                <c:pt idx="0">
                  <c:v>30000</c:v>
                </c:pt>
                <c:pt idx="1">
                  <c:v>35000</c:v>
                </c:pt>
                <c:pt idx="2">
                  <c:v>40000</c:v>
                </c:pt>
                <c:pt idx="3">
                  <c:v>45000</c:v>
                </c:pt>
                <c:pt idx="4">
                  <c:v>50000</c:v>
                </c:pt>
                <c:pt idx="5">
                  <c:v>55000</c:v>
                </c:pt>
                <c:pt idx="6">
                  <c:v>60000</c:v>
                </c:pt>
                <c:pt idx="7">
                  <c:v>65000</c:v>
                </c:pt>
                <c:pt idx="8">
                  <c:v>70000</c:v>
                </c:pt>
                <c:pt idx="9">
                  <c:v>75000</c:v>
                </c:pt>
                <c:pt idx="10">
                  <c:v>80000</c:v>
                </c:pt>
                <c:pt idx="11">
                  <c:v>85000</c:v>
                </c:pt>
              </c:numCache>
            </c:numRef>
          </c:cat>
          <c:val>
            <c:numRef>
              <c:f>'lognormal distribution'!$H$3:$H$14</c:f>
              <c:numCache>
                <c:formatCode>0.0%</c:formatCode>
                <c:ptCount val="12"/>
                <c:pt idx="0">
                  <c:v>0</c:v>
                </c:pt>
                <c:pt idx="1">
                  <c:v>3.3333333333333333E-2</c:v>
                </c:pt>
                <c:pt idx="2">
                  <c:v>0.1</c:v>
                </c:pt>
                <c:pt idx="3">
                  <c:v>0.13333333333333333</c:v>
                </c:pt>
                <c:pt idx="4">
                  <c:v>0.23333333333333334</c:v>
                </c:pt>
                <c:pt idx="5">
                  <c:v>0.13333333333333333</c:v>
                </c:pt>
                <c:pt idx="6">
                  <c:v>0.13333333333333333</c:v>
                </c:pt>
                <c:pt idx="7">
                  <c:v>0.13333333333333333</c:v>
                </c:pt>
                <c:pt idx="8">
                  <c:v>3.3333333333333333E-2</c:v>
                </c:pt>
                <c:pt idx="9">
                  <c:v>0</c:v>
                </c:pt>
                <c:pt idx="10">
                  <c:v>3.3333333333333333E-2</c:v>
                </c:pt>
                <c:pt idx="11">
                  <c:v>3.3333333333333333E-2</c:v>
                </c:pt>
              </c:numCache>
            </c:numRef>
          </c:val>
        </c:ser>
        <c:axId val="158927872"/>
        <c:axId val="158946432"/>
      </c:barChart>
      <c:lineChart>
        <c:grouping val="standard"/>
        <c:ser>
          <c:idx val="0"/>
          <c:order val="1"/>
          <c:tx>
            <c:strRef>
              <c:f>'lognormal distribution'!$J$2</c:f>
              <c:strCache>
                <c:ptCount val="1"/>
                <c:pt idx="0">
                  <c:v>lognormal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'lognormal distribution'!$F$3:$F$14</c:f>
              <c:numCache>
                <c:formatCode>General</c:formatCode>
                <c:ptCount val="12"/>
                <c:pt idx="0">
                  <c:v>30000</c:v>
                </c:pt>
                <c:pt idx="1">
                  <c:v>35000</c:v>
                </c:pt>
                <c:pt idx="2">
                  <c:v>40000</c:v>
                </c:pt>
                <c:pt idx="3">
                  <c:v>45000</c:v>
                </c:pt>
                <c:pt idx="4">
                  <c:v>50000</c:v>
                </c:pt>
                <c:pt idx="5">
                  <c:v>55000</c:v>
                </c:pt>
                <c:pt idx="6">
                  <c:v>60000</c:v>
                </c:pt>
                <c:pt idx="7">
                  <c:v>65000</c:v>
                </c:pt>
                <c:pt idx="8">
                  <c:v>70000</c:v>
                </c:pt>
                <c:pt idx="9">
                  <c:v>75000</c:v>
                </c:pt>
                <c:pt idx="10">
                  <c:v>80000</c:v>
                </c:pt>
                <c:pt idx="11">
                  <c:v>85000</c:v>
                </c:pt>
              </c:numCache>
            </c:numRef>
          </c:cat>
          <c:val>
            <c:numRef>
              <c:f>'lognormal distribution'!$J$3:$J$14</c:f>
              <c:numCache>
                <c:formatCode>0.0%</c:formatCode>
                <c:ptCount val="12"/>
                <c:pt idx="0">
                  <c:v>7.2022933129722855E-3</c:v>
                </c:pt>
                <c:pt idx="1">
                  <c:v>3.3879243552255467E-2</c:v>
                </c:pt>
                <c:pt idx="2">
                  <c:v>8.9354728731975364E-2</c:v>
                </c:pt>
                <c:pt idx="3">
                  <c:v>0.14957838418542557</c:v>
                </c:pt>
                <c:pt idx="4">
                  <c:v>0.18080063211173425</c:v>
                </c:pt>
                <c:pt idx="5">
                  <c:v>0.17219221264012441</c:v>
                </c:pt>
                <c:pt idx="6">
                  <c:v>0.13730707600959713</c:v>
                </c:pt>
                <c:pt idx="7">
                  <c:v>9.5732291677007808E-2</c:v>
                </c:pt>
                <c:pt idx="8">
                  <c:v>6.0231922319628706E-2</c:v>
                </c:pt>
                <c:pt idx="9">
                  <c:v>3.5009403204715572E-2</c:v>
                </c:pt>
                <c:pt idx="10">
                  <c:v>1.9134796774760487E-2</c:v>
                </c:pt>
                <c:pt idx="11">
                  <c:v>9.9686398836056345E-3</c:v>
                </c:pt>
              </c:numCache>
            </c:numRef>
          </c:val>
        </c:ser>
        <c:marker val="1"/>
        <c:axId val="158947968"/>
        <c:axId val="158953856"/>
      </c:lineChart>
      <c:catAx>
        <c:axId val="158927872"/>
        <c:scaling>
          <c:orientation val="minMax"/>
        </c:scaling>
        <c:axPos val="b"/>
        <c:numFmt formatCode="General" sourceLinked="1"/>
        <c:majorTickMark val="cross"/>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58946432"/>
        <c:crosses val="autoZero"/>
        <c:lblAlgn val="ctr"/>
        <c:lblOffset val="100"/>
        <c:tickLblSkip val="1"/>
        <c:tickMarkSkip val="1"/>
      </c:catAx>
      <c:valAx>
        <c:axId val="158946432"/>
        <c:scaling>
          <c:orientation val="minMax"/>
        </c:scaling>
        <c:axPos val="l"/>
        <c:numFmt formatCode="0.0%"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8927872"/>
        <c:crosses val="autoZero"/>
        <c:crossBetween val="between"/>
      </c:valAx>
      <c:catAx>
        <c:axId val="158947968"/>
        <c:scaling>
          <c:orientation val="minMax"/>
        </c:scaling>
        <c:delete val="1"/>
        <c:axPos val="b"/>
        <c:numFmt formatCode="General" sourceLinked="1"/>
        <c:tickLblPos val="none"/>
        <c:crossAx val="158953856"/>
        <c:crosses val="autoZero"/>
        <c:lblAlgn val="ctr"/>
        <c:lblOffset val="100"/>
      </c:catAx>
      <c:valAx>
        <c:axId val="158953856"/>
        <c:scaling>
          <c:orientation val="minMax"/>
        </c:scaling>
        <c:delete val="1"/>
        <c:axPos val="l"/>
        <c:numFmt formatCode="0.0%" sourceLinked="1"/>
        <c:tickLblPos val="none"/>
        <c:crossAx val="158947968"/>
        <c:crosses val="autoZero"/>
        <c:crossBetween val="between"/>
      </c:valAx>
      <c:spPr>
        <a:solidFill>
          <a:srgbClr val="C0C0C0"/>
        </a:solidFill>
        <a:ln w="12700">
          <a:solidFill>
            <a:srgbClr val="808080"/>
          </a:solidFill>
          <a:prstDash val="solid"/>
        </a:ln>
      </c:spPr>
    </c:plotArea>
    <c:legend>
      <c:legendPos val="r"/>
      <c:layout>
        <c:manualLayout>
          <c:xMode val="edge"/>
          <c:yMode val="edge"/>
          <c:x val="0.72316522581569953"/>
          <c:y val="0.14106615983346943"/>
          <c:w val="0.17890811671140047"/>
          <c:h val="0.2351100469808047"/>
        </c:manualLayout>
      </c:layout>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99999956" l="0.78740157499999996" r="0.78740157499999996" t="0.98425196899999956"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6.9716923927959945E-2"/>
          <c:y val="8.4175360951181791E-2"/>
          <c:w val="0.86274693360850407"/>
          <c:h val="0.77778033518891865"/>
        </c:manualLayout>
      </c:layout>
      <c:scatterChart>
        <c:scatterStyle val="lineMarker"/>
        <c:ser>
          <c:idx val="0"/>
          <c:order val="0"/>
          <c:spPr>
            <a:ln w="12700">
              <a:solidFill>
                <a:srgbClr val="000080"/>
              </a:solidFill>
              <a:prstDash val="solid"/>
            </a:ln>
          </c:spPr>
          <c:marker>
            <c:symbol val="none"/>
          </c:marker>
          <c:xVal>
            <c:numRef>
              <c:f>'VaR lognormal'!$D$14:$D$26</c:f>
              <c:numCache>
                <c:formatCode>0.00</c:formatCode>
                <c:ptCount val="13"/>
                <c:pt idx="0">
                  <c:v>-18.500664012302252</c:v>
                </c:pt>
                <c:pt idx="1">
                  <c:v>-15.443920882808129</c:v>
                </c:pt>
                <c:pt idx="2">
                  <c:v>-12.367772371288765</c:v>
                </c:pt>
                <c:pt idx="3">
                  <c:v>-9.272095284909426</c:v>
                </c:pt>
                <c:pt idx="4">
                  <c:v>-6.1567656487596309</c:v>
                </c:pt>
                <c:pt idx="5">
                  <c:v>-3.0216587008886222</c:v>
                </c:pt>
                <c:pt idx="6">
                  <c:v>0.13335111269140043</c:v>
                </c:pt>
                <c:pt idx="7">
                  <c:v>3.3083901430333071</c:v>
                </c:pt>
                <c:pt idx="8">
                  <c:v>6.5035855433147844</c:v>
                </c:pt>
                <c:pt idx="9">
                  <c:v>9.7190652739311645</c:v>
                </c:pt>
                <c:pt idx="10">
                  <c:v>12.954958107619518</c:v>
                </c:pt>
                <c:pt idx="11">
                  <c:v>16.211393634615661</c:v>
                </c:pt>
                <c:pt idx="12">
                  <c:v>19.488502267844524</c:v>
                </c:pt>
              </c:numCache>
            </c:numRef>
          </c:xVal>
          <c:yVal>
            <c:numRef>
              <c:f>'VaR lognormal'!$E$14:$E$26</c:f>
              <c:numCache>
                <c:formatCode>General</c:formatCode>
                <c:ptCount val="13"/>
                <c:pt idx="0">
                  <c:v>1.3221166171406562E-3</c:v>
                </c:pt>
                <c:pt idx="1">
                  <c:v>6.0996142328362257E-3</c:v>
                </c:pt>
                <c:pt idx="2">
                  <c:v>2.2410615274176982E-2</c:v>
                </c:pt>
                <c:pt idx="3">
                  <c:v>6.5991455936548538E-2</c:v>
                </c:pt>
                <c:pt idx="4">
                  <c:v>0.15712883118576748</c:v>
                </c:pt>
                <c:pt idx="5">
                  <c:v>0.30631309305915688</c:v>
                </c:pt>
                <c:pt idx="6">
                  <c:v>0.49747538291092863</c:v>
                </c:pt>
                <c:pt idx="7">
                  <c:v>0.68923096598284683</c:v>
                </c:pt>
                <c:pt idx="8">
                  <c:v>0.83980863303613051</c:v>
                </c:pt>
                <c:pt idx="9">
                  <c:v>0.93236927311130957</c:v>
                </c:pt>
                <c:pt idx="10">
                  <c:v>0.97690602694407014</c:v>
                </c:pt>
                <c:pt idx="11">
                  <c:v>0.99367852864549877</c:v>
                </c:pt>
                <c:pt idx="12">
                  <c:v>0.99862178808828816</c:v>
                </c:pt>
              </c:numCache>
            </c:numRef>
          </c:yVal>
        </c:ser>
        <c:ser>
          <c:idx val="1"/>
          <c:order val="1"/>
          <c:spPr>
            <a:ln w="12700">
              <a:solidFill>
                <a:srgbClr val="FF00FF"/>
              </a:solidFill>
              <a:prstDash val="solid"/>
            </a:ln>
          </c:spPr>
          <c:marker>
            <c:symbol val="none"/>
          </c:marker>
          <c:xVal>
            <c:numLit>
              <c:formatCode>General</c:formatCode>
              <c:ptCount val="3"/>
              <c:pt idx="0">
                <c:v>-10.130000000000001</c:v>
              </c:pt>
              <c:pt idx="1">
                <c:v>-10.130000000000001</c:v>
              </c:pt>
              <c:pt idx="2">
                <c:v>-20</c:v>
              </c:pt>
            </c:numLit>
          </c:xVal>
          <c:yVal>
            <c:numLit>
              <c:formatCode>General</c:formatCode>
              <c:ptCount val="3"/>
              <c:pt idx="0">
                <c:v>0</c:v>
              </c:pt>
              <c:pt idx="1">
                <c:v>0.05</c:v>
              </c:pt>
              <c:pt idx="2">
                <c:v>0.05</c:v>
              </c:pt>
            </c:numLit>
          </c:yVal>
        </c:ser>
        <c:axId val="159974144"/>
        <c:axId val="159975680"/>
      </c:scatterChart>
      <c:valAx>
        <c:axId val="159974144"/>
        <c:scaling>
          <c:orientation val="minMax"/>
          <c:max val="20"/>
          <c:min val="-20"/>
        </c:scaling>
        <c:axPos val="b"/>
        <c:numFmt formatCode="0.0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9975680"/>
        <c:crosses val="autoZero"/>
        <c:crossBetween val="midCat"/>
      </c:valAx>
      <c:valAx>
        <c:axId val="159975680"/>
        <c:scaling>
          <c:orientation val="minMax"/>
          <c:max val="1"/>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9974144"/>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6.9716923927959945E-2"/>
          <c:y val="8.4175360951181791E-2"/>
          <c:w val="0.86274693360850407"/>
          <c:h val="0.77778033518891865"/>
        </c:manualLayout>
      </c:layout>
      <c:scatterChart>
        <c:scatterStyle val="lineMarker"/>
        <c:ser>
          <c:idx val="0"/>
          <c:order val="0"/>
          <c:spPr>
            <a:ln w="12700">
              <a:solidFill>
                <a:srgbClr val="000080"/>
              </a:solidFill>
              <a:prstDash val="solid"/>
            </a:ln>
          </c:spPr>
          <c:marker>
            <c:symbol val="none"/>
          </c:marker>
          <c:xVal>
            <c:numRef>
              <c:f>VaR!$D$14:$D$26</c:f>
              <c:numCache>
                <c:formatCode>0.00</c:formatCode>
                <c:ptCount val="13"/>
                <c:pt idx="0">
                  <c:v>-18.851623117198017</c:v>
                </c:pt>
                <c:pt idx="1">
                  <c:v>-15.687463708776079</c:v>
                </c:pt>
                <c:pt idx="2">
                  <c:v>-12.523304300354198</c:v>
                </c:pt>
                <c:pt idx="3">
                  <c:v>-9.3591448919323739</c:v>
                </c:pt>
                <c:pt idx="4">
                  <c:v>-6.1949854835104361</c:v>
                </c:pt>
                <c:pt idx="5">
                  <c:v>-3.0308260750885552</c:v>
                </c:pt>
                <c:pt idx="6">
                  <c:v>0.13333333333332575</c:v>
                </c:pt>
                <c:pt idx="7">
                  <c:v>3.2974927417551498</c:v>
                </c:pt>
                <c:pt idx="8">
                  <c:v>6.4616521501771444</c:v>
                </c:pt>
                <c:pt idx="9">
                  <c:v>9.6258115585989685</c:v>
                </c:pt>
                <c:pt idx="10">
                  <c:v>12.789970967020849</c:v>
                </c:pt>
                <c:pt idx="11">
                  <c:v>15.954130375442787</c:v>
                </c:pt>
                <c:pt idx="12">
                  <c:v>19.118289783864611</c:v>
                </c:pt>
              </c:numCache>
            </c:numRef>
          </c:xVal>
          <c:yVal>
            <c:numRef>
              <c:f>VaR!$E$14:$E$26</c:f>
              <c:numCache>
                <c:formatCode>0.000</c:formatCode>
                <c:ptCount val="13"/>
                <c:pt idx="0">
                  <c:v>1.3498980316299924E-3</c:v>
                </c:pt>
                <c:pt idx="1">
                  <c:v>6.2096653257759371E-3</c:v>
                </c:pt>
                <c:pt idx="2">
                  <c:v>2.2750131948179431E-2</c:v>
                </c:pt>
                <c:pt idx="3">
                  <c:v>6.6807201268857308E-2</c:v>
                </c:pt>
                <c:pt idx="4">
                  <c:v>0.15865525393145741</c:v>
                </c:pt>
                <c:pt idx="5">
                  <c:v>0.30853753872598699</c:v>
                </c:pt>
                <c:pt idx="6">
                  <c:v>0.49999999999999956</c:v>
                </c:pt>
                <c:pt idx="7">
                  <c:v>0.69146246127400901</c:v>
                </c:pt>
                <c:pt idx="8">
                  <c:v>0.84134474606854415</c:v>
                </c:pt>
                <c:pt idx="9">
                  <c:v>0.93319279873114125</c:v>
                </c:pt>
                <c:pt idx="10">
                  <c:v>0.97724986805182046</c:v>
                </c:pt>
                <c:pt idx="11">
                  <c:v>0.99379033467422384</c:v>
                </c:pt>
                <c:pt idx="12">
                  <c:v>0.99865010196837023</c:v>
                </c:pt>
              </c:numCache>
            </c:numRef>
          </c:yVal>
        </c:ser>
        <c:ser>
          <c:idx val="1"/>
          <c:order val="1"/>
          <c:spPr>
            <a:ln w="12700">
              <a:solidFill>
                <a:srgbClr val="FF00FF"/>
              </a:solidFill>
              <a:prstDash val="solid"/>
            </a:ln>
          </c:spPr>
          <c:marker>
            <c:symbol val="none"/>
          </c:marker>
          <c:xVal>
            <c:numLit>
              <c:formatCode>General</c:formatCode>
              <c:ptCount val="3"/>
              <c:pt idx="0">
                <c:v>-10.41</c:v>
              </c:pt>
              <c:pt idx="1">
                <c:v>-10.41</c:v>
              </c:pt>
              <c:pt idx="2">
                <c:v>-20</c:v>
              </c:pt>
            </c:numLit>
          </c:xVal>
          <c:yVal>
            <c:numLit>
              <c:formatCode>General</c:formatCode>
              <c:ptCount val="3"/>
              <c:pt idx="0">
                <c:v>0</c:v>
              </c:pt>
              <c:pt idx="1">
                <c:v>0.05</c:v>
              </c:pt>
              <c:pt idx="2">
                <c:v>0.05</c:v>
              </c:pt>
            </c:numLit>
          </c:yVal>
        </c:ser>
        <c:axId val="160020736"/>
        <c:axId val="160030720"/>
      </c:scatterChart>
      <c:valAx>
        <c:axId val="160020736"/>
        <c:scaling>
          <c:orientation val="minMax"/>
          <c:max val="20"/>
          <c:min val="-20"/>
        </c:scaling>
        <c:axPos val="b"/>
        <c:numFmt formatCode="0.0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0030720"/>
        <c:crosses val="autoZero"/>
        <c:crossBetween val="midCat"/>
      </c:valAx>
      <c:valAx>
        <c:axId val="160030720"/>
        <c:scaling>
          <c:orientation val="minMax"/>
          <c:max val="1"/>
        </c:scaling>
        <c:axPos val="l"/>
        <c:majorGridlines>
          <c:spPr>
            <a:ln w="3175">
              <a:solidFill>
                <a:srgbClr val="000000"/>
              </a:solidFill>
              <a:prstDash val="solid"/>
            </a:ln>
          </c:spPr>
        </c:majorGridlines>
        <c:numFmt formatCode="0.00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0020736"/>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8126272912423624"/>
          <c:y val="7.9365325413335366E-2"/>
          <c:w val="0.74949083503055103"/>
          <c:h val="0.65397028140588398"/>
        </c:manualLayout>
      </c:layout>
      <c:barChart>
        <c:barDir val="col"/>
        <c:grouping val="clustered"/>
        <c:ser>
          <c:idx val="0"/>
          <c:order val="0"/>
          <c:tx>
            <c:strRef>
              <c:f>overbooking!$B$29</c:f>
              <c:strCache>
                <c:ptCount val="1"/>
                <c:pt idx="0">
                  <c:v>number = y</c:v>
                </c:pt>
              </c:strCache>
            </c:strRef>
          </c:tx>
          <c:spPr>
            <a:solidFill>
              <a:srgbClr val="9999FF"/>
            </a:solidFill>
            <a:ln w="12700">
              <a:solidFill>
                <a:srgbClr val="000000"/>
              </a:solidFill>
              <a:prstDash val="solid"/>
            </a:ln>
          </c:spPr>
          <c:cat>
            <c:numRef>
              <c:f>overbooking!$A$30:$A$70</c:f>
              <c:numCache>
                <c:formatCode>General</c:formatCode>
                <c:ptCount val="41"/>
                <c:pt idx="0">
                  <c:v>175</c:v>
                </c:pt>
                <c:pt idx="1">
                  <c:v>176</c:v>
                </c:pt>
                <c:pt idx="2">
                  <c:v>177</c:v>
                </c:pt>
                <c:pt idx="3">
                  <c:v>178</c:v>
                </c:pt>
                <c:pt idx="4">
                  <c:v>179</c:v>
                </c:pt>
                <c:pt idx="5">
                  <c:v>180</c:v>
                </c:pt>
                <c:pt idx="6">
                  <c:v>181</c:v>
                </c:pt>
                <c:pt idx="7">
                  <c:v>182</c:v>
                </c:pt>
                <c:pt idx="8">
                  <c:v>183</c:v>
                </c:pt>
                <c:pt idx="9">
                  <c:v>184</c:v>
                </c:pt>
                <c:pt idx="10">
                  <c:v>185</c:v>
                </c:pt>
                <c:pt idx="11">
                  <c:v>186</c:v>
                </c:pt>
                <c:pt idx="12">
                  <c:v>187</c:v>
                </c:pt>
                <c:pt idx="13">
                  <c:v>188</c:v>
                </c:pt>
                <c:pt idx="14">
                  <c:v>189</c:v>
                </c:pt>
                <c:pt idx="15">
                  <c:v>190</c:v>
                </c:pt>
                <c:pt idx="16">
                  <c:v>191</c:v>
                </c:pt>
                <c:pt idx="17">
                  <c:v>192</c:v>
                </c:pt>
                <c:pt idx="18">
                  <c:v>193</c:v>
                </c:pt>
                <c:pt idx="19">
                  <c:v>194</c:v>
                </c:pt>
                <c:pt idx="20">
                  <c:v>195</c:v>
                </c:pt>
                <c:pt idx="21">
                  <c:v>196</c:v>
                </c:pt>
                <c:pt idx="22">
                  <c:v>197</c:v>
                </c:pt>
                <c:pt idx="23">
                  <c:v>198</c:v>
                </c:pt>
                <c:pt idx="24">
                  <c:v>199</c:v>
                </c:pt>
                <c:pt idx="25">
                  <c:v>200</c:v>
                </c:pt>
                <c:pt idx="26">
                  <c:v>201</c:v>
                </c:pt>
                <c:pt idx="27">
                  <c:v>202</c:v>
                </c:pt>
                <c:pt idx="28">
                  <c:v>203</c:v>
                </c:pt>
                <c:pt idx="29">
                  <c:v>204</c:v>
                </c:pt>
                <c:pt idx="30">
                  <c:v>205</c:v>
                </c:pt>
                <c:pt idx="31">
                  <c:v>206</c:v>
                </c:pt>
                <c:pt idx="32">
                  <c:v>207</c:v>
                </c:pt>
                <c:pt idx="33">
                  <c:v>208</c:v>
                </c:pt>
                <c:pt idx="34">
                  <c:v>209</c:v>
                </c:pt>
                <c:pt idx="35">
                  <c:v>210</c:v>
                </c:pt>
                <c:pt idx="36">
                  <c:v>211</c:v>
                </c:pt>
                <c:pt idx="37">
                  <c:v>212</c:v>
                </c:pt>
                <c:pt idx="38">
                  <c:v>213</c:v>
                </c:pt>
                <c:pt idx="39">
                  <c:v>214</c:v>
                </c:pt>
                <c:pt idx="40">
                  <c:v>215</c:v>
                </c:pt>
              </c:numCache>
            </c:numRef>
          </c:cat>
          <c:val>
            <c:numRef>
              <c:f>overbooking!$B$30:$B$70</c:f>
              <c:numCache>
                <c:formatCode>0.0%</c:formatCode>
                <c:ptCount val="41"/>
                <c:pt idx="0">
                  <c:v>4.9692048378686593E-5</c:v>
                </c:pt>
                <c:pt idx="1">
                  <c:v>1.0164282622913231E-4</c:v>
                </c:pt>
                <c:pt idx="2">
                  <c:v>2.0156289269166976E-4</c:v>
                </c:pt>
                <c:pt idx="3">
                  <c:v>3.8727252416040136E-4</c:v>
                </c:pt>
                <c:pt idx="4">
                  <c:v>7.2045670695761199E-4</c:v>
                </c:pt>
                <c:pt idx="5">
                  <c:v>1.2968220725237051E-3</c:v>
                </c:pt>
                <c:pt idx="6">
                  <c:v>2.2569002919611584E-3</c:v>
                </c:pt>
                <c:pt idx="7">
                  <c:v>3.7945686227478475E-3</c:v>
                </c:pt>
                <c:pt idx="8">
                  <c:v>6.1583982565907832E-3</c:v>
                </c:pt>
                <c:pt idx="9">
                  <c:v>9.6392320537943364E-3</c:v>
                </c:pt>
                <c:pt idx="10">
                  <c:v>1.453700401626268E-2</c:v>
                </c:pt>
                <c:pt idx="11">
                  <c:v>2.1102102604252326E-2</c:v>
                </c:pt>
                <c:pt idx="12">
                  <c:v>2.94526672711759E-2</c:v>
                </c:pt>
                <c:pt idx="13">
                  <c:v>3.9479107193278143E-2</c:v>
                </c:pt>
                <c:pt idx="14">
                  <c:v>5.0758852105643286E-2</c:v>
                </c:pt>
                <c:pt idx="15">
                  <c:v>6.2513533645897859E-2</c:v>
                </c:pt>
                <c:pt idx="16">
                  <c:v>7.3641597226842673E-2</c:v>
                </c:pt>
                <c:pt idx="17">
                  <c:v>8.2846796880197943E-2</c:v>
                </c:pt>
                <c:pt idx="18">
                  <c:v>8.8856409089124719E-2</c:v>
                </c:pt>
                <c:pt idx="19">
                  <c:v>9.0688499998178379E-2</c:v>
                </c:pt>
                <c:pt idx="20">
                  <c:v>8.7898084613619004E-2</c:v>
                </c:pt>
                <c:pt idx="21">
                  <c:v>8.0722730767609746E-2</c:v>
                </c:pt>
                <c:pt idx="22">
                  <c:v>7.0068969346503515E-2</c:v>
                </c:pt>
                <c:pt idx="23">
                  <c:v>5.7329156738048732E-2</c:v>
                </c:pt>
                <c:pt idx="24">
                  <c:v>4.4077190858901556E-2</c:v>
                </c:pt>
                <c:pt idx="25">
                  <c:v>3.1735577418409079E-2</c:v>
                </c:pt>
                <c:pt idx="26">
                  <c:v>2.1314940057140568E-2</c:v>
                </c:pt>
                <c:pt idx="27">
                  <c:v>1.3295457659404446E-2</c:v>
                </c:pt>
                <c:pt idx="28">
                  <c:v>7.662899242119818E-3</c:v>
                </c:pt>
                <c:pt idx="29">
                  <c:v>4.0568290105340342E-3</c:v>
                </c:pt>
                <c:pt idx="30">
                  <c:v>1.9591515709408164E-3</c:v>
                </c:pt>
                <c:pt idx="31">
                  <c:v>8.5594000672171782E-4</c:v>
                </c:pt>
                <c:pt idx="32">
                  <c:v>3.3493304610849922E-4</c:v>
                </c:pt>
                <c:pt idx="33">
                  <c:v>1.1593836211448036E-4</c:v>
                </c:pt>
                <c:pt idx="34">
                  <c:v>3.4947927335943857E-5</c:v>
                </c:pt>
                <c:pt idx="35">
                  <c:v>8.9866098863855704E-6</c:v>
                </c:pt>
                <c:pt idx="36">
                  <c:v>1.9165755681864937E-6</c:v>
                </c:pt>
                <c:pt idx="37">
                  <c:v>3.2545622855997103E-7</c:v>
                </c:pt>
                <c:pt idx="38">
                  <c:v>4.1255014887883578E-8</c:v>
                </c:pt>
                <c:pt idx="39">
                  <c:v>3.4700479812238577E-9</c:v>
                </c:pt>
                <c:pt idx="40">
                  <c:v>1.4525782246983613E-10</c:v>
                </c:pt>
              </c:numCache>
            </c:numRef>
          </c:val>
        </c:ser>
        <c:ser>
          <c:idx val="1"/>
          <c:order val="1"/>
          <c:tx>
            <c:strRef>
              <c:f>overbooking!$C$29</c:f>
              <c:strCache>
                <c:ptCount val="1"/>
                <c:pt idx="0">
                  <c:v>number ≤ y
(cumulative)</c:v>
                </c:pt>
              </c:strCache>
            </c:strRef>
          </c:tx>
          <c:spPr>
            <a:solidFill>
              <a:srgbClr val="993366"/>
            </a:solidFill>
            <a:ln w="12700">
              <a:solidFill>
                <a:srgbClr val="000000"/>
              </a:solidFill>
              <a:prstDash val="solid"/>
            </a:ln>
          </c:spPr>
          <c:cat>
            <c:numRef>
              <c:f>overbooking!$A$30:$A$70</c:f>
              <c:numCache>
                <c:formatCode>General</c:formatCode>
                <c:ptCount val="41"/>
                <c:pt idx="0">
                  <c:v>175</c:v>
                </c:pt>
                <c:pt idx="1">
                  <c:v>176</c:v>
                </c:pt>
                <c:pt idx="2">
                  <c:v>177</c:v>
                </c:pt>
                <c:pt idx="3">
                  <c:v>178</c:v>
                </c:pt>
                <c:pt idx="4">
                  <c:v>179</c:v>
                </c:pt>
                <c:pt idx="5">
                  <c:v>180</c:v>
                </c:pt>
                <c:pt idx="6">
                  <c:v>181</c:v>
                </c:pt>
                <c:pt idx="7">
                  <c:v>182</c:v>
                </c:pt>
                <c:pt idx="8">
                  <c:v>183</c:v>
                </c:pt>
                <c:pt idx="9">
                  <c:v>184</c:v>
                </c:pt>
                <c:pt idx="10">
                  <c:v>185</c:v>
                </c:pt>
                <c:pt idx="11">
                  <c:v>186</c:v>
                </c:pt>
                <c:pt idx="12">
                  <c:v>187</c:v>
                </c:pt>
                <c:pt idx="13">
                  <c:v>188</c:v>
                </c:pt>
                <c:pt idx="14">
                  <c:v>189</c:v>
                </c:pt>
                <c:pt idx="15">
                  <c:v>190</c:v>
                </c:pt>
                <c:pt idx="16">
                  <c:v>191</c:v>
                </c:pt>
                <c:pt idx="17">
                  <c:v>192</c:v>
                </c:pt>
                <c:pt idx="18">
                  <c:v>193</c:v>
                </c:pt>
                <c:pt idx="19">
                  <c:v>194</c:v>
                </c:pt>
                <c:pt idx="20">
                  <c:v>195</c:v>
                </c:pt>
                <c:pt idx="21">
                  <c:v>196</c:v>
                </c:pt>
                <c:pt idx="22">
                  <c:v>197</c:v>
                </c:pt>
                <c:pt idx="23">
                  <c:v>198</c:v>
                </c:pt>
                <c:pt idx="24">
                  <c:v>199</c:v>
                </c:pt>
                <c:pt idx="25">
                  <c:v>200</c:v>
                </c:pt>
                <c:pt idx="26">
                  <c:v>201</c:v>
                </c:pt>
                <c:pt idx="27">
                  <c:v>202</c:v>
                </c:pt>
                <c:pt idx="28">
                  <c:v>203</c:v>
                </c:pt>
                <c:pt idx="29">
                  <c:v>204</c:v>
                </c:pt>
                <c:pt idx="30">
                  <c:v>205</c:v>
                </c:pt>
                <c:pt idx="31">
                  <c:v>206</c:v>
                </c:pt>
                <c:pt idx="32">
                  <c:v>207</c:v>
                </c:pt>
                <c:pt idx="33">
                  <c:v>208</c:v>
                </c:pt>
                <c:pt idx="34">
                  <c:v>209</c:v>
                </c:pt>
                <c:pt idx="35">
                  <c:v>210</c:v>
                </c:pt>
                <c:pt idx="36">
                  <c:v>211</c:v>
                </c:pt>
                <c:pt idx="37">
                  <c:v>212</c:v>
                </c:pt>
                <c:pt idx="38">
                  <c:v>213</c:v>
                </c:pt>
                <c:pt idx="39">
                  <c:v>214</c:v>
                </c:pt>
                <c:pt idx="40">
                  <c:v>215</c:v>
                </c:pt>
              </c:numCache>
            </c:numRef>
          </c:cat>
          <c:val>
            <c:numRef>
              <c:f>overbooking!$C$30:$C$70</c:f>
              <c:numCache>
                <c:formatCode>0.0%</c:formatCode>
                <c:ptCount val="41"/>
                <c:pt idx="0">
                  <c:v>9.2553583972560338E-5</c:v>
                </c:pt>
                <c:pt idx="1">
                  <c:v>1.9419641020169265E-4</c:v>
                </c:pt>
                <c:pt idx="2">
                  <c:v>3.9575930289336239E-4</c:v>
                </c:pt>
                <c:pt idx="3">
                  <c:v>7.830318270537638E-4</c:v>
                </c:pt>
                <c:pt idx="4">
                  <c:v>1.5034885340113758E-3</c:v>
                </c:pt>
                <c:pt idx="5">
                  <c:v>2.8003106065350811E-3</c:v>
                </c:pt>
                <c:pt idx="6">
                  <c:v>5.0572108984962396E-3</c:v>
                </c:pt>
                <c:pt idx="7">
                  <c:v>8.8517795212440867E-3</c:v>
                </c:pt>
                <c:pt idx="8">
                  <c:v>1.5010177777834869E-2</c:v>
                </c:pt>
                <c:pt idx="9">
                  <c:v>2.4649409831629207E-2</c:v>
                </c:pt>
                <c:pt idx="10">
                  <c:v>3.9186413847891885E-2</c:v>
                </c:pt>
                <c:pt idx="11">
                  <c:v>6.0288516452144211E-2</c:v>
                </c:pt>
                <c:pt idx="12">
                  <c:v>8.9741183723320114E-2</c:v>
                </c:pt>
                <c:pt idx="13">
                  <c:v>0.12922029091659826</c:v>
                </c:pt>
                <c:pt idx="14">
                  <c:v>0.17997914302224155</c:v>
                </c:pt>
                <c:pt idx="15">
                  <c:v>0.2424926766681394</c:v>
                </c:pt>
                <c:pt idx="16">
                  <c:v>0.31613427389498205</c:v>
                </c:pt>
                <c:pt idx="17">
                  <c:v>0.39898107077517997</c:v>
                </c:pt>
                <c:pt idx="18">
                  <c:v>0.4878374798643047</c:v>
                </c:pt>
                <c:pt idx="19">
                  <c:v>0.57852597986248311</c:v>
                </c:pt>
                <c:pt idx="20">
                  <c:v>0.66642406447610214</c:v>
                </c:pt>
                <c:pt idx="21">
                  <c:v>0.74714679524371186</c:v>
                </c:pt>
                <c:pt idx="22">
                  <c:v>0.81721576459021539</c:v>
                </c:pt>
                <c:pt idx="23">
                  <c:v>0.87454492132826411</c:v>
                </c:pt>
                <c:pt idx="24">
                  <c:v>0.91862211218716572</c:v>
                </c:pt>
                <c:pt idx="25">
                  <c:v>0.95035768960557476</c:v>
                </c:pt>
                <c:pt idx="26">
                  <c:v>0.97167262966271528</c:v>
                </c:pt>
                <c:pt idx="27">
                  <c:v>0.98496808732211971</c:v>
                </c:pt>
                <c:pt idx="28">
                  <c:v>0.99263098656423954</c:v>
                </c:pt>
                <c:pt idx="29">
                  <c:v>0.99668781557477359</c:v>
                </c:pt>
                <c:pt idx="30">
                  <c:v>0.99864696714571444</c:v>
                </c:pt>
                <c:pt idx="31">
                  <c:v>0.99950290715243617</c:v>
                </c:pt>
                <c:pt idx="32">
                  <c:v>0.99983784019854471</c:v>
                </c:pt>
                <c:pt idx="33">
                  <c:v>0.99995377856065915</c:v>
                </c:pt>
                <c:pt idx="34">
                  <c:v>0.99998872648799508</c:v>
                </c:pt>
                <c:pt idx="35">
                  <c:v>0.99999771309788144</c:v>
                </c:pt>
                <c:pt idx="36">
                  <c:v>0.99999962967344957</c:v>
                </c:pt>
                <c:pt idx="37">
                  <c:v>0.9999999551296781</c:v>
                </c:pt>
                <c:pt idx="38">
                  <c:v>0.99999999638469295</c:v>
                </c:pt>
                <c:pt idx="39">
                  <c:v>0.99999999985474097</c:v>
                </c:pt>
                <c:pt idx="40">
                  <c:v>0.99999999999999878</c:v>
                </c:pt>
              </c:numCache>
            </c:numRef>
          </c:val>
        </c:ser>
        <c:axId val="163019776"/>
        <c:axId val="163026048"/>
      </c:barChart>
      <c:catAx>
        <c:axId val="163019776"/>
        <c:scaling>
          <c:orientation val="minMax"/>
        </c:scaling>
        <c:axPos val="b"/>
        <c:title>
          <c:tx>
            <c:rich>
              <a:bodyPr/>
              <a:lstStyle/>
              <a:p>
                <a:pPr>
                  <a:defRPr sz="1000" b="0" i="0" u="none" strike="noStrike" baseline="0">
                    <a:solidFill>
                      <a:srgbClr val="000000"/>
                    </a:solidFill>
                    <a:latin typeface="Arial"/>
                    <a:ea typeface="Arial"/>
                    <a:cs typeface="Arial"/>
                  </a:defRPr>
                </a:pPr>
                <a:r>
                  <a:rPr lang="en-US"/>
                  <a:t>number of passengers (y)</a:t>
                </a:r>
              </a:p>
            </c:rich>
          </c:tx>
          <c:layout>
            <c:manualLayout>
              <c:xMode val="edge"/>
              <c:yMode val="edge"/>
              <c:x val="0.40325865580448117"/>
              <c:y val="0.86349472982543851"/>
            </c:manualLayout>
          </c:layout>
          <c:spPr>
            <a:noFill/>
            <a:ln w="25400">
              <a:noFill/>
            </a:ln>
          </c:spPr>
        </c:title>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63026048"/>
        <c:crosses val="autoZero"/>
        <c:auto val="1"/>
        <c:lblAlgn val="ctr"/>
        <c:lblOffset val="100"/>
        <c:tickLblSkip val="3"/>
        <c:tickMarkSkip val="1"/>
      </c:catAx>
      <c:valAx>
        <c:axId val="163026048"/>
        <c:scaling>
          <c:orientation val="minMax"/>
          <c:max val="1"/>
        </c:scaling>
        <c:axPos val="l"/>
        <c:majorGridlines>
          <c:spPr>
            <a:ln w="3175">
              <a:solidFill>
                <a:srgbClr val="000000"/>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a:t>probability</a:t>
                </a:r>
              </a:p>
            </c:rich>
          </c:tx>
          <c:layout>
            <c:manualLayout>
              <c:xMode val="edge"/>
              <c:yMode val="edge"/>
              <c:x val="4.2769857433808574E-2"/>
              <c:y val="0.3079375078115235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63019776"/>
        <c:crosses val="autoZero"/>
        <c:crossBetween val="between"/>
      </c:valAx>
      <c:spPr>
        <a:solidFill>
          <a:srgbClr val="C0C0C0"/>
        </a:solidFill>
        <a:ln w="12700">
          <a:solidFill>
            <a:srgbClr val="808080"/>
          </a:solidFill>
          <a:prstDash val="solid"/>
        </a:ln>
      </c:spPr>
    </c:plotArea>
    <c:legend>
      <c:legendPos val="r"/>
      <c:layout>
        <c:manualLayout>
          <c:xMode val="edge"/>
          <c:yMode val="edge"/>
          <c:x val="0.22403258655804481"/>
          <c:y val="0.16825463483731232"/>
          <c:w val="0.18126272912423624"/>
          <c:h val="0.23809590467858188"/>
        </c:manualLayout>
      </c:layout>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6.9246435845213991E-2"/>
          <c:y val="9.0592334494773524E-2"/>
          <c:w val="0.85743380855397233"/>
          <c:h val="0.78048780487804859"/>
        </c:manualLayout>
      </c:layout>
      <c:scatterChart>
        <c:scatterStyle val="lineMarker"/>
        <c:ser>
          <c:idx val="0"/>
          <c:order val="0"/>
          <c:tx>
            <c:v> </c:v>
          </c:tx>
          <c:spPr>
            <a:ln w="12700">
              <a:solidFill>
                <a:srgbClr val="000080"/>
              </a:solidFill>
              <a:prstDash val="solid"/>
            </a:ln>
          </c:spPr>
          <c:marker>
            <c:symbol val="none"/>
          </c:marker>
          <c:xVal>
            <c:numRef>
              <c:f>'conf.intervals&amp;hypothesis tests'!$N$30:$N$100</c:f>
              <c:numCache>
                <c:formatCode>0</c:formatCode>
                <c:ptCount val="71"/>
                <c:pt idx="0">
                  <c:v>44919.418547132911</c:v>
                </c:pt>
                <c:pt idx="1">
                  <c:v>45129.244683881494</c:v>
                </c:pt>
                <c:pt idx="2">
                  <c:v>45339.070820630077</c:v>
                </c:pt>
                <c:pt idx="3">
                  <c:v>45548.89695737866</c:v>
                </c:pt>
                <c:pt idx="4">
                  <c:v>45758.723094127243</c:v>
                </c:pt>
                <c:pt idx="5">
                  <c:v>45968.549230875826</c:v>
                </c:pt>
                <c:pt idx="6">
                  <c:v>46178.375367624409</c:v>
                </c:pt>
                <c:pt idx="7">
                  <c:v>46388.201504372992</c:v>
                </c:pt>
                <c:pt idx="8">
                  <c:v>46598.027641121575</c:v>
                </c:pt>
                <c:pt idx="9">
                  <c:v>46807.853777870158</c:v>
                </c:pt>
                <c:pt idx="10">
                  <c:v>47017.679914618748</c:v>
                </c:pt>
                <c:pt idx="11">
                  <c:v>47227.506051367331</c:v>
                </c:pt>
                <c:pt idx="12">
                  <c:v>47437.332188115914</c:v>
                </c:pt>
                <c:pt idx="13">
                  <c:v>47647.158324864497</c:v>
                </c:pt>
                <c:pt idx="14">
                  <c:v>47856.984461613079</c:v>
                </c:pt>
                <c:pt idx="15">
                  <c:v>48066.810598361662</c:v>
                </c:pt>
                <c:pt idx="16">
                  <c:v>48276.636735110245</c:v>
                </c:pt>
                <c:pt idx="17">
                  <c:v>48486.462871858828</c:v>
                </c:pt>
                <c:pt idx="18">
                  <c:v>48696.289008607411</c:v>
                </c:pt>
                <c:pt idx="19">
                  <c:v>48906.115145356001</c:v>
                </c:pt>
                <c:pt idx="20">
                  <c:v>49115.941282104584</c:v>
                </c:pt>
                <c:pt idx="21">
                  <c:v>49325.767418853167</c:v>
                </c:pt>
                <c:pt idx="22">
                  <c:v>49535.59355560175</c:v>
                </c:pt>
                <c:pt idx="23">
                  <c:v>49745.419692350333</c:v>
                </c:pt>
                <c:pt idx="24">
                  <c:v>49955.245829098916</c:v>
                </c:pt>
                <c:pt idx="25">
                  <c:v>50165.071965847499</c:v>
                </c:pt>
                <c:pt idx="26">
                  <c:v>50374.898102596082</c:v>
                </c:pt>
                <c:pt idx="27">
                  <c:v>50584.724239344665</c:v>
                </c:pt>
                <c:pt idx="28">
                  <c:v>50794.550376093248</c:v>
                </c:pt>
                <c:pt idx="29">
                  <c:v>51004.376512841831</c:v>
                </c:pt>
                <c:pt idx="30">
                  <c:v>51214.202649590421</c:v>
                </c:pt>
                <c:pt idx="31">
                  <c:v>51424.028786339004</c:v>
                </c:pt>
                <c:pt idx="32">
                  <c:v>51633.854923087587</c:v>
                </c:pt>
                <c:pt idx="33">
                  <c:v>51843.68105983617</c:v>
                </c:pt>
                <c:pt idx="34">
                  <c:v>52053.507196584753</c:v>
                </c:pt>
                <c:pt idx="35">
                  <c:v>52263.333333333336</c:v>
                </c:pt>
                <c:pt idx="36">
                  <c:v>52473.159470081919</c:v>
                </c:pt>
                <c:pt idx="37">
                  <c:v>52682.985606830502</c:v>
                </c:pt>
                <c:pt idx="38">
                  <c:v>52892.811743579085</c:v>
                </c:pt>
                <c:pt idx="39">
                  <c:v>53102.637880327668</c:v>
                </c:pt>
                <c:pt idx="40">
                  <c:v>53312.46401707625</c:v>
                </c:pt>
                <c:pt idx="41">
                  <c:v>53522.290153824841</c:v>
                </c:pt>
                <c:pt idx="42">
                  <c:v>53732.116290573424</c:v>
                </c:pt>
                <c:pt idx="43">
                  <c:v>53941.942427322007</c:v>
                </c:pt>
                <c:pt idx="44">
                  <c:v>54151.768564070589</c:v>
                </c:pt>
                <c:pt idx="45">
                  <c:v>54361.594700819172</c:v>
                </c:pt>
                <c:pt idx="46">
                  <c:v>54571.420837567755</c:v>
                </c:pt>
                <c:pt idx="47">
                  <c:v>54781.246974316338</c:v>
                </c:pt>
                <c:pt idx="48">
                  <c:v>54991.073111064921</c:v>
                </c:pt>
                <c:pt idx="49">
                  <c:v>55200.899247813504</c:v>
                </c:pt>
                <c:pt idx="50">
                  <c:v>55410.725384562087</c:v>
                </c:pt>
                <c:pt idx="51">
                  <c:v>55620.55152131067</c:v>
                </c:pt>
                <c:pt idx="52">
                  <c:v>55830.37765805926</c:v>
                </c:pt>
                <c:pt idx="53">
                  <c:v>56040.203794807843</c:v>
                </c:pt>
                <c:pt idx="54">
                  <c:v>56250.029931556426</c:v>
                </c:pt>
                <c:pt idx="55">
                  <c:v>56459.856068305031</c:v>
                </c:pt>
                <c:pt idx="56">
                  <c:v>56669.682205053592</c:v>
                </c:pt>
                <c:pt idx="57">
                  <c:v>56879.508341802175</c:v>
                </c:pt>
                <c:pt idx="58">
                  <c:v>57089.33447855078</c:v>
                </c:pt>
                <c:pt idx="59">
                  <c:v>57299.160615299363</c:v>
                </c:pt>
                <c:pt idx="60">
                  <c:v>57508.986752047946</c:v>
                </c:pt>
                <c:pt idx="61">
                  <c:v>57718.812888796514</c:v>
                </c:pt>
                <c:pt idx="62">
                  <c:v>57928.639025545112</c:v>
                </c:pt>
                <c:pt idx="63">
                  <c:v>58138.465162293694</c:v>
                </c:pt>
                <c:pt idx="64">
                  <c:v>58348.291299042285</c:v>
                </c:pt>
                <c:pt idx="65">
                  <c:v>58558.117435790868</c:v>
                </c:pt>
                <c:pt idx="66">
                  <c:v>58767.943572539451</c:v>
                </c:pt>
                <c:pt idx="67">
                  <c:v>58977.769709288033</c:v>
                </c:pt>
                <c:pt idx="68">
                  <c:v>59187.595846036616</c:v>
                </c:pt>
                <c:pt idx="69">
                  <c:v>59397.421982785199</c:v>
                </c:pt>
                <c:pt idx="70">
                  <c:v>59607.248119533782</c:v>
                </c:pt>
              </c:numCache>
            </c:numRef>
          </c:xVal>
          <c:yVal>
            <c:numRef>
              <c:f>'conf.intervals&amp;hypothesis tests'!$O$30:$O$100</c:f>
              <c:numCache>
                <c:formatCode>General</c:formatCode>
                <c:ptCount val="71"/>
                <c:pt idx="0">
                  <c:v>2.3262907903598418E-4</c:v>
                </c:pt>
                <c:pt idx="1">
                  <c:v>1.0430018663987184E-4</c:v>
                </c:pt>
                <c:pt idx="2">
                  <c:v>1.4649487670836958E-4</c:v>
                </c:pt>
                <c:pt idx="3">
                  <c:v>2.0371379553163482E-4</c:v>
                </c:pt>
                <c:pt idx="4">
                  <c:v>2.8046527530256604E-4</c:v>
                </c:pt>
                <c:pt idx="5">
                  <c:v>3.8229481841156598E-4</c:v>
                </c:pt>
                <c:pt idx="6">
                  <c:v>5.1591526875416349E-4</c:v>
                </c:pt>
                <c:pt idx="7">
                  <c:v>6.8931703004371236E-4</c:v>
                </c:pt>
                <c:pt idx="8">
                  <c:v>9.1184347261275001E-4</c:v>
                </c:pt>
                <c:pt idx="9">
                  <c:v>1.1942142206780026E-3</c:v>
                </c:pt>
                <c:pt idx="10">
                  <c:v>1.5484773020575382E-3</c:v>
                </c:pt>
                <c:pt idx="11">
                  <c:v>1.9878705988198853E-3</c:v>
                </c:pt>
                <c:pt idx="12">
                  <c:v>2.5265740970799033E-3</c:v>
                </c:pt>
                <c:pt idx="13">
                  <c:v>3.1793374918225314E-3</c:v>
                </c:pt>
                <c:pt idx="14">
                  <c:v>3.9609730493179729E-3</c:v>
                </c:pt>
                <c:pt idx="15">
                  <c:v>4.8857113853628675E-3</c:v>
                </c:pt>
                <c:pt idx="16">
                  <c:v>5.9664278678226434E-3</c:v>
                </c:pt>
                <c:pt idx="17">
                  <c:v>7.2137592969239162E-3</c:v>
                </c:pt>
                <c:pt idx="18">
                  <c:v>8.6351436456170161E-3</c:v>
                </c:pt>
                <c:pt idx="19">
                  <c:v>1.0233828941015211E-2</c:v>
                </c:pt>
                <c:pt idx="20">
                  <c:v>1.2007909569300201E-2</c:v>
                </c:pt>
                <c:pt idx="21">
                  <c:v>1.394945796491287E-2</c:v>
                </c:pt>
                <c:pt idx="22">
                  <c:v>1.6043825351839347E-2</c:v>
                </c:pt>
                <c:pt idx="23">
                  <c:v>1.8269185636097807E-2</c:v>
                </c:pt>
                <c:pt idx="24">
                  <c:v>2.0596390724674341E-2</c:v>
                </c:pt>
                <c:pt idx="25">
                  <c:v>2.2989192985074292E-2</c:v>
                </c:pt>
                <c:pt idx="26">
                  <c:v>2.5404871415302455E-2</c:v>
                </c:pt>
                <c:pt idx="27">
                  <c:v>2.7795273236636997E-2</c:v>
                </c:pt>
                <c:pt idx="28">
                  <c:v>3.0108253639676175E-2</c:v>
                </c:pt>
                <c:pt idx="29">
                  <c:v>3.2289465527000516E-2</c:v>
                </c:pt>
                <c:pt idx="30">
                  <c:v>3.4284420975914331E-2</c:v>
                </c:pt>
                <c:pt idx="31">
                  <c:v>3.6040719663688825E-2</c:v>
                </c:pt>
                <c:pt idx="32">
                  <c:v>3.7510319421371507E-2</c:v>
                </c:pt>
                <c:pt idx="33">
                  <c:v>3.8651712749849465E-2</c:v>
                </c:pt>
                <c:pt idx="34">
                  <c:v>3.9431872162073889E-2</c:v>
                </c:pt>
                <c:pt idx="35">
                  <c:v>3.9827837277028877E-2</c:v>
                </c:pt>
                <c:pt idx="36">
                  <c:v>3.9827837277028877E-2</c:v>
                </c:pt>
                <c:pt idx="37">
                  <c:v>3.9431872162073889E-2</c:v>
                </c:pt>
                <c:pt idx="38">
                  <c:v>3.8651712749849465E-2</c:v>
                </c:pt>
                <c:pt idx="39">
                  <c:v>3.7510319421371507E-2</c:v>
                </c:pt>
                <c:pt idx="40">
                  <c:v>3.6040719663688825E-2</c:v>
                </c:pt>
                <c:pt idx="41">
                  <c:v>3.4284420975914331E-2</c:v>
                </c:pt>
                <c:pt idx="42">
                  <c:v>3.2289465527000516E-2</c:v>
                </c:pt>
                <c:pt idx="43">
                  <c:v>3.0108253639676175E-2</c:v>
                </c:pt>
                <c:pt idx="44">
                  <c:v>2.7795273236636997E-2</c:v>
                </c:pt>
                <c:pt idx="45">
                  <c:v>2.5404871415302455E-2</c:v>
                </c:pt>
                <c:pt idx="46">
                  <c:v>2.2989192985074292E-2</c:v>
                </c:pt>
                <c:pt idx="47">
                  <c:v>2.0596390724674341E-2</c:v>
                </c:pt>
                <c:pt idx="48">
                  <c:v>1.8269185636097807E-2</c:v>
                </c:pt>
                <c:pt idx="49">
                  <c:v>1.6043825351839347E-2</c:v>
                </c:pt>
                <c:pt idx="50">
                  <c:v>1.394945796491287E-2</c:v>
                </c:pt>
                <c:pt idx="51">
                  <c:v>1.2007909569300201E-2</c:v>
                </c:pt>
                <c:pt idx="52">
                  <c:v>1.0233828941015211E-2</c:v>
                </c:pt>
                <c:pt idx="53">
                  <c:v>8.6351436456170161E-3</c:v>
                </c:pt>
                <c:pt idx="54">
                  <c:v>7.2137592969239162E-3</c:v>
                </c:pt>
                <c:pt idx="55">
                  <c:v>5.9664278678233096E-3</c:v>
                </c:pt>
                <c:pt idx="56">
                  <c:v>4.8857113853622014E-3</c:v>
                </c:pt>
                <c:pt idx="57">
                  <c:v>3.9609730493179729E-3</c:v>
                </c:pt>
                <c:pt idx="58">
                  <c:v>3.1793374918227535E-3</c:v>
                </c:pt>
                <c:pt idx="59">
                  <c:v>2.5265740970797923E-3</c:v>
                </c:pt>
                <c:pt idx="60">
                  <c:v>1.9878705988199963E-3</c:v>
                </c:pt>
                <c:pt idx="61">
                  <c:v>1.5484773020573162E-3</c:v>
                </c:pt>
                <c:pt idx="62">
                  <c:v>1.1942142206777806E-3</c:v>
                </c:pt>
                <c:pt idx="63">
                  <c:v>9.1184347261297205E-4</c:v>
                </c:pt>
                <c:pt idx="64">
                  <c:v>6.8931703004426748E-4</c:v>
                </c:pt>
                <c:pt idx="65">
                  <c:v>5.1591526875338634E-4</c:v>
                </c:pt>
                <c:pt idx="66">
                  <c:v>3.8229481841145496E-4</c:v>
                </c:pt>
                <c:pt idx="67">
                  <c:v>2.8046527530223297E-4</c:v>
                </c:pt>
                <c:pt idx="68">
                  <c:v>2.0371379553263402E-4</c:v>
                </c:pt>
                <c:pt idx="69">
                  <c:v>1.4649487670781447E-4</c:v>
                </c:pt>
                <c:pt idx="70">
                  <c:v>1.0430018664076002E-4</c:v>
                </c:pt>
              </c:numCache>
            </c:numRef>
          </c:yVal>
        </c:ser>
        <c:ser>
          <c:idx val="1"/>
          <c:order val="1"/>
          <c:tx>
            <c:v>µ0</c:v>
          </c:tx>
          <c:spPr>
            <a:ln w="12700">
              <a:solidFill>
                <a:srgbClr val="FF00FF"/>
              </a:solidFill>
              <a:prstDash val="solid"/>
            </a:ln>
          </c:spPr>
          <c:marker>
            <c:symbol val="none"/>
          </c:marker>
          <c:xVal>
            <c:numRef>
              <c:f>('conf.intervals&amp;hypothesis tests'!$B$14,'conf.intervals&amp;hypothesis tests'!$B$14)</c:f>
              <c:numCache>
                <c:formatCode>0</c:formatCode>
                <c:ptCount val="2"/>
                <c:pt idx="0">
                  <c:v>47500</c:v>
                </c:pt>
                <c:pt idx="1">
                  <c:v>47500</c:v>
                </c:pt>
              </c:numCache>
            </c:numRef>
          </c:xVal>
          <c:yVal>
            <c:numLit>
              <c:formatCode>General</c:formatCode>
              <c:ptCount val="2"/>
              <c:pt idx="0">
                <c:v>0</c:v>
              </c:pt>
              <c:pt idx="1">
                <c:v>0.1</c:v>
              </c:pt>
            </c:numLit>
          </c:yVal>
        </c:ser>
        <c:ser>
          <c:idx val="2"/>
          <c:order val="2"/>
          <c:tx>
            <c:v>lower 95%</c:v>
          </c:tx>
          <c:spPr>
            <a:ln w="12700">
              <a:solidFill>
                <a:srgbClr val="FFFF00"/>
              </a:solidFill>
              <a:prstDash val="solid"/>
            </a:ln>
          </c:spPr>
          <c:marker>
            <c:symbol val="none"/>
          </c:marker>
          <c:xVal>
            <c:numRef>
              <c:f>('conf.intervals&amp;hypothesis tests'!$D$14,'conf.intervals&amp;hypothesis tests'!$D$14)</c:f>
              <c:numCache>
                <c:formatCode>0_ ;\-0\ </c:formatCode>
                <c:ptCount val="2"/>
                <c:pt idx="0">
                  <c:v>48150.816622909333</c:v>
                </c:pt>
                <c:pt idx="1">
                  <c:v>48150.816622909333</c:v>
                </c:pt>
              </c:numCache>
            </c:numRef>
          </c:xVal>
          <c:yVal>
            <c:numLit>
              <c:formatCode>General</c:formatCode>
              <c:ptCount val="2"/>
              <c:pt idx="0">
                <c:v>0</c:v>
              </c:pt>
              <c:pt idx="1">
                <c:v>0.1</c:v>
              </c:pt>
            </c:numLit>
          </c:yVal>
        </c:ser>
        <c:ser>
          <c:idx val="3"/>
          <c:order val="3"/>
          <c:tx>
            <c:v>upper 95%</c:v>
          </c:tx>
          <c:spPr>
            <a:ln w="12700">
              <a:solidFill>
                <a:srgbClr val="FFFF00"/>
              </a:solidFill>
              <a:prstDash val="solid"/>
            </a:ln>
          </c:spPr>
          <c:marker>
            <c:symbol val="none"/>
          </c:marker>
          <c:xVal>
            <c:numRef>
              <c:f>('conf.intervals&amp;hypothesis tests'!$E$14,'conf.intervals&amp;hypothesis tests'!$E$14)</c:f>
              <c:numCache>
                <c:formatCode>0_ ;\-0\ </c:formatCode>
                <c:ptCount val="2"/>
                <c:pt idx="0">
                  <c:v>56375.850043757338</c:v>
                </c:pt>
                <c:pt idx="1">
                  <c:v>56375.850043757338</c:v>
                </c:pt>
              </c:numCache>
            </c:numRef>
          </c:xVal>
          <c:yVal>
            <c:numLit>
              <c:formatCode>General</c:formatCode>
              <c:ptCount val="2"/>
              <c:pt idx="0">
                <c:v>0</c:v>
              </c:pt>
              <c:pt idx="1">
                <c:v>0.1</c:v>
              </c:pt>
            </c:numLit>
          </c:yVal>
        </c:ser>
        <c:axId val="163501952"/>
        <c:axId val="163503488"/>
      </c:scatterChart>
      <c:valAx>
        <c:axId val="163501952"/>
        <c:scaling>
          <c:orientation val="minMax"/>
          <c:max val="60000"/>
          <c:min val="42500"/>
        </c:scaling>
        <c:axPos val="b"/>
        <c:numFmt formatCode="0" sourceLinked="1"/>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63503488"/>
        <c:crosses val="autoZero"/>
        <c:crossBetween val="midCat"/>
        <c:majorUnit val="2500"/>
      </c:valAx>
      <c:valAx>
        <c:axId val="163503488"/>
        <c:scaling>
          <c:orientation val="minMax"/>
          <c:max val="4.0000000000000022E-2"/>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63501952"/>
        <c:crossesAt val="52263.33"/>
        <c:crossBetween val="midCat"/>
        <c:majorUnit val="1.0000000000000005E-2"/>
        <c:minorUnit val="5.000000000000007E-3"/>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8.4210526315789527E-2"/>
          <c:y val="9.2592927491780566E-2"/>
          <c:w val="0.86578947368421233"/>
          <c:h val="0.79259545932964171"/>
        </c:manualLayout>
      </c:layout>
      <c:scatterChart>
        <c:scatterStyle val="lineMarker"/>
        <c:ser>
          <c:idx val="0"/>
          <c:order val="0"/>
          <c:spPr>
            <a:ln w="28575">
              <a:noFill/>
            </a:ln>
          </c:spPr>
          <c:marker>
            <c:symbol val="diamond"/>
            <c:size val="5"/>
            <c:spPr>
              <a:solidFill>
                <a:srgbClr val="000080"/>
              </a:solidFill>
              <a:ln>
                <a:solidFill>
                  <a:srgbClr val="000080"/>
                </a:solidFill>
                <a:prstDash val="solid"/>
              </a:ln>
            </c:spPr>
          </c:marker>
          <c:xVal>
            <c:numRef>
              <c:f>correlation!$A$4:$A$33</c:f>
              <c:numCache>
                <c:formatCode>General</c:formatCode>
                <c:ptCount val="30"/>
                <c:pt idx="0">
                  <c:v>58</c:v>
                </c:pt>
                <c:pt idx="1">
                  <c:v>48</c:v>
                </c:pt>
                <c:pt idx="2">
                  <c:v>58</c:v>
                </c:pt>
                <c:pt idx="3">
                  <c:v>56</c:v>
                </c:pt>
                <c:pt idx="4">
                  <c:v>68</c:v>
                </c:pt>
                <c:pt idx="5">
                  <c:v>60</c:v>
                </c:pt>
                <c:pt idx="6">
                  <c:v>28</c:v>
                </c:pt>
                <c:pt idx="7">
                  <c:v>48</c:v>
                </c:pt>
                <c:pt idx="8">
                  <c:v>53</c:v>
                </c:pt>
                <c:pt idx="9">
                  <c:v>61</c:v>
                </c:pt>
                <c:pt idx="10">
                  <c:v>36</c:v>
                </c:pt>
                <c:pt idx="11">
                  <c:v>55</c:v>
                </c:pt>
                <c:pt idx="12">
                  <c:v>48</c:v>
                </c:pt>
                <c:pt idx="13">
                  <c:v>51</c:v>
                </c:pt>
                <c:pt idx="14">
                  <c:v>39</c:v>
                </c:pt>
                <c:pt idx="15">
                  <c:v>45</c:v>
                </c:pt>
                <c:pt idx="16">
                  <c:v>43</c:v>
                </c:pt>
                <c:pt idx="17">
                  <c:v>36</c:v>
                </c:pt>
                <c:pt idx="18">
                  <c:v>49</c:v>
                </c:pt>
                <c:pt idx="19">
                  <c:v>53</c:v>
                </c:pt>
                <c:pt idx="20">
                  <c:v>61</c:v>
                </c:pt>
                <c:pt idx="21">
                  <c:v>62</c:v>
                </c:pt>
                <c:pt idx="22">
                  <c:v>59</c:v>
                </c:pt>
                <c:pt idx="23">
                  <c:v>44</c:v>
                </c:pt>
                <c:pt idx="24">
                  <c:v>53</c:v>
                </c:pt>
                <c:pt idx="25">
                  <c:v>55</c:v>
                </c:pt>
                <c:pt idx="26">
                  <c:v>66</c:v>
                </c:pt>
                <c:pt idx="27">
                  <c:v>36</c:v>
                </c:pt>
                <c:pt idx="28">
                  <c:v>41</c:v>
                </c:pt>
                <c:pt idx="29">
                  <c:v>28</c:v>
                </c:pt>
              </c:numCache>
            </c:numRef>
          </c:xVal>
          <c:yVal>
            <c:numRef>
              <c:f>correlation!$B$4:$B$33</c:f>
              <c:numCache>
                <c:formatCode>"$"#,##0</c:formatCode>
                <c:ptCount val="30"/>
                <c:pt idx="0">
                  <c:v>65400</c:v>
                </c:pt>
                <c:pt idx="1">
                  <c:v>62000</c:v>
                </c:pt>
                <c:pt idx="2">
                  <c:v>63200</c:v>
                </c:pt>
                <c:pt idx="3">
                  <c:v>52000</c:v>
                </c:pt>
                <c:pt idx="4">
                  <c:v>81400</c:v>
                </c:pt>
                <c:pt idx="5">
                  <c:v>46300</c:v>
                </c:pt>
                <c:pt idx="6">
                  <c:v>49600</c:v>
                </c:pt>
                <c:pt idx="7">
                  <c:v>45900</c:v>
                </c:pt>
                <c:pt idx="8">
                  <c:v>47700</c:v>
                </c:pt>
                <c:pt idx="9">
                  <c:v>59900</c:v>
                </c:pt>
                <c:pt idx="10">
                  <c:v>48100</c:v>
                </c:pt>
                <c:pt idx="11">
                  <c:v>58100</c:v>
                </c:pt>
                <c:pt idx="12">
                  <c:v>56000</c:v>
                </c:pt>
                <c:pt idx="13">
                  <c:v>53400</c:v>
                </c:pt>
                <c:pt idx="14">
                  <c:v>39000</c:v>
                </c:pt>
                <c:pt idx="15">
                  <c:v>61500</c:v>
                </c:pt>
                <c:pt idx="16">
                  <c:v>37700</c:v>
                </c:pt>
                <c:pt idx="17">
                  <c:v>36700</c:v>
                </c:pt>
                <c:pt idx="18">
                  <c:v>45200</c:v>
                </c:pt>
                <c:pt idx="19">
                  <c:v>59000</c:v>
                </c:pt>
                <c:pt idx="20">
                  <c:v>54300</c:v>
                </c:pt>
                <c:pt idx="21">
                  <c:v>62100</c:v>
                </c:pt>
                <c:pt idx="22">
                  <c:v>78000</c:v>
                </c:pt>
                <c:pt idx="23">
                  <c:v>43200</c:v>
                </c:pt>
                <c:pt idx="24">
                  <c:v>44500</c:v>
                </c:pt>
                <c:pt idx="25">
                  <c:v>43300</c:v>
                </c:pt>
                <c:pt idx="26">
                  <c:v>45400</c:v>
                </c:pt>
                <c:pt idx="27">
                  <c:v>53900</c:v>
                </c:pt>
                <c:pt idx="28">
                  <c:v>44100</c:v>
                </c:pt>
                <c:pt idx="29">
                  <c:v>31000</c:v>
                </c:pt>
              </c:numCache>
            </c:numRef>
          </c:yVal>
        </c:ser>
        <c:axId val="164342016"/>
        <c:axId val="164586240"/>
      </c:scatterChart>
      <c:valAx>
        <c:axId val="164342016"/>
        <c:scaling>
          <c:orientation val="minMax"/>
          <c:max val="70"/>
          <c:min val="25"/>
        </c:scaling>
        <c:axPos val="b"/>
        <c:title>
          <c:tx>
            <c:rich>
              <a:bodyPr/>
              <a:lstStyle/>
              <a:p>
                <a:pPr>
                  <a:defRPr sz="950" b="0" i="0" u="none" strike="noStrike" baseline="0">
                    <a:solidFill>
                      <a:srgbClr val="000000"/>
                    </a:solidFill>
                    <a:latin typeface="Arial"/>
                    <a:ea typeface="Arial"/>
                    <a:cs typeface="Arial"/>
                  </a:defRPr>
                </a:pPr>
                <a:r>
                  <a:rPr lang="en-US"/>
                  <a:t>Age (x)</a:t>
                </a:r>
              </a:p>
            </c:rich>
          </c:tx>
          <c:layout>
            <c:manualLayout>
              <c:xMode val="edge"/>
              <c:yMode val="edge"/>
              <c:x val="0.45526315789473676"/>
              <c:y val="0.90000311072227057"/>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586240"/>
        <c:crossesAt val="52263.33"/>
        <c:crossBetween val="midCat"/>
        <c:majorUnit val="5"/>
      </c:valAx>
      <c:valAx>
        <c:axId val="164586240"/>
        <c:scaling>
          <c:orientation val="minMax"/>
          <c:max val="90000"/>
          <c:min val="30000"/>
        </c:scaling>
        <c:axPos val="l"/>
        <c:title>
          <c:tx>
            <c:rich>
              <a:bodyPr/>
              <a:lstStyle/>
              <a:p>
                <a:pPr>
                  <a:defRPr sz="950" b="0" i="0" u="none" strike="noStrike" baseline="0">
                    <a:solidFill>
                      <a:srgbClr val="000000"/>
                    </a:solidFill>
                    <a:latin typeface="Arial"/>
                    <a:ea typeface="Arial"/>
                    <a:cs typeface="Arial"/>
                  </a:defRPr>
                </a:pPr>
                <a:r>
                  <a:rPr lang="en-US"/>
                  <a:t>Salary (y)</a:t>
                </a:r>
              </a:p>
            </c:rich>
          </c:tx>
          <c:layout>
            <c:manualLayout>
              <c:xMode val="edge"/>
              <c:yMode val="edge"/>
              <c:x val="1.3157894736842111E-2"/>
              <c:y val="0.37777933313891332"/>
            </c:manualLayout>
          </c:layout>
          <c:spPr>
            <a:noFill/>
            <a:ln w="25400">
              <a:noFill/>
            </a:ln>
          </c:spPr>
        </c:title>
        <c:numFmt formatCode="&quot;$&quot;#,##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342016"/>
        <c:crossesAt val="49.933330000000012"/>
        <c:crossBetween val="midCat"/>
      </c:valAx>
      <c:spPr>
        <a:no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9458151480420019"/>
          <c:y val="8.680584990047864E-2"/>
          <c:w val="0.7512324305731799"/>
          <c:h val="0.68750233121178927"/>
        </c:manualLayout>
      </c:layout>
      <c:scatterChart>
        <c:scatterStyle val="lineMarker"/>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1"/>
            <c:dispEq val="1"/>
            <c:trendlineLbl>
              <c:layout>
                <c:manualLayout>
                  <c:x val="-0.26584087047461591"/>
                  <c:y val="-0.19880936033695348"/>
                </c:manualLayout>
              </c:layout>
              <c:tx>
                <c:rich>
                  <a:bodyPr/>
                  <a:lstStyle/>
                  <a:p>
                    <a:pPr>
                      <a:defRPr sz="1075" b="0" i="0" u="none" strike="noStrike" baseline="0">
                        <a:solidFill>
                          <a:srgbClr val="000000"/>
                        </a:solidFill>
                        <a:latin typeface="Arial"/>
                        <a:ea typeface="Arial"/>
                        <a:cs typeface="Arial"/>
                      </a:defRPr>
                    </a:pPr>
                    <a:r>
                      <a:rPr lang="en-US" sz="1075" b="0" i="0" u="none" strike="noStrike" baseline="0">
                        <a:solidFill>
                          <a:srgbClr val="000000"/>
                        </a:solidFill>
                        <a:latin typeface="Arial"/>
                        <a:cs typeface="Arial"/>
                      </a:rPr>
                      <a:t>y^ = 634x + 20610</a:t>
                    </a:r>
                  </a:p>
                  <a:p>
                    <a:pPr>
                      <a:defRPr sz="1075" b="0" i="0" u="none" strike="noStrike" baseline="0">
                        <a:solidFill>
                          <a:srgbClr val="000000"/>
                        </a:solidFill>
                        <a:latin typeface="Arial"/>
                        <a:ea typeface="Arial"/>
                        <a:cs typeface="Arial"/>
                      </a:defRPr>
                    </a:pPr>
                    <a:r>
                      <a:rPr lang="en-US" sz="1075" b="0" i="0" u="none" strike="noStrike" baseline="0">
                        <a:solidFill>
                          <a:srgbClr val="000000"/>
                        </a:solidFill>
                        <a:latin typeface="Arial"/>
                        <a:cs typeface="Arial"/>
                      </a:rPr>
                      <a:t>R</a:t>
                    </a:r>
                    <a:r>
                      <a:rPr lang="en-US" sz="1075" b="0" i="0" u="none" strike="noStrike" baseline="30000">
                        <a:solidFill>
                          <a:srgbClr val="000000"/>
                        </a:solidFill>
                        <a:latin typeface="Arial"/>
                        <a:cs typeface="Arial"/>
                      </a:rPr>
                      <a:t>2</a:t>
                    </a:r>
                    <a:r>
                      <a:rPr lang="en-US" sz="1075" b="0" i="0" u="none" strike="noStrike" baseline="0">
                        <a:solidFill>
                          <a:srgbClr val="000000"/>
                        </a:solidFill>
                        <a:latin typeface="Arial"/>
                        <a:cs typeface="Arial"/>
                      </a:rPr>
                      <a:t> = 0.34</a:t>
                    </a:r>
                  </a:p>
                </c:rich>
              </c:tx>
              <c:numFmt formatCode="General" sourceLinked="0"/>
              <c:spPr>
                <a:noFill/>
                <a:ln w="25400">
                  <a:noFill/>
                </a:ln>
              </c:spPr>
            </c:trendlineLbl>
          </c:trendline>
          <c:xVal>
            <c:numRef>
              <c:f>'simple regression'!$A$4:$A$33</c:f>
              <c:numCache>
                <c:formatCode>General</c:formatCode>
                <c:ptCount val="30"/>
                <c:pt idx="0">
                  <c:v>58</c:v>
                </c:pt>
                <c:pt idx="1">
                  <c:v>48</c:v>
                </c:pt>
                <c:pt idx="2">
                  <c:v>58</c:v>
                </c:pt>
                <c:pt idx="3">
                  <c:v>56</c:v>
                </c:pt>
                <c:pt idx="4">
                  <c:v>68</c:v>
                </c:pt>
                <c:pt idx="5">
                  <c:v>60</c:v>
                </c:pt>
                <c:pt idx="6">
                  <c:v>28</c:v>
                </c:pt>
                <c:pt idx="7">
                  <c:v>48</c:v>
                </c:pt>
                <c:pt idx="8">
                  <c:v>53</c:v>
                </c:pt>
                <c:pt idx="9">
                  <c:v>61</c:v>
                </c:pt>
                <c:pt idx="10">
                  <c:v>36</c:v>
                </c:pt>
                <c:pt idx="11">
                  <c:v>55</c:v>
                </c:pt>
                <c:pt idx="12">
                  <c:v>48</c:v>
                </c:pt>
                <c:pt idx="13">
                  <c:v>51</c:v>
                </c:pt>
                <c:pt idx="14">
                  <c:v>39</c:v>
                </c:pt>
                <c:pt idx="15">
                  <c:v>45</c:v>
                </c:pt>
                <c:pt idx="16">
                  <c:v>43</c:v>
                </c:pt>
                <c:pt idx="17">
                  <c:v>36</c:v>
                </c:pt>
                <c:pt idx="18">
                  <c:v>49</c:v>
                </c:pt>
                <c:pt idx="19">
                  <c:v>53</c:v>
                </c:pt>
                <c:pt idx="20">
                  <c:v>61</c:v>
                </c:pt>
                <c:pt idx="21">
                  <c:v>62</c:v>
                </c:pt>
                <c:pt idx="22">
                  <c:v>59</c:v>
                </c:pt>
                <c:pt idx="23">
                  <c:v>44</c:v>
                </c:pt>
                <c:pt idx="24">
                  <c:v>53</c:v>
                </c:pt>
                <c:pt idx="25">
                  <c:v>55</c:v>
                </c:pt>
                <c:pt idx="26">
                  <c:v>66</c:v>
                </c:pt>
                <c:pt idx="27">
                  <c:v>36</c:v>
                </c:pt>
                <c:pt idx="28">
                  <c:v>41</c:v>
                </c:pt>
                <c:pt idx="29">
                  <c:v>28</c:v>
                </c:pt>
              </c:numCache>
            </c:numRef>
          </c:xVal>
          <c:yVal>
            <c:numRef>
              <c:f>'simple regression'!$B$4:$B$33</c:f>
              <c:numCache>
                <c:formatCode>"$"#,##0</c:formatCode>
                <c:ptCount val="30"/>
                <c:pt idx="0">
                  <c:v>65400</c:v>
                </c:pt>
                <c:pt idx="1">
                  <c:v>62000</c:v>
                </c:pt>
                <c:pt idx="2">
                  <c:v>63200</c:v>
                </c:pt>
                <c:pt idx="3">
                  <c:v>52000</c:v>
                </c:pt>
                <c:pt idx="4">
                  <c:v>81400</c:v>
                </c:pt>
                <c:pt idx="5">
                  <c:v>46300</c:v>
                </c:pt>
                <c:pt idx="6">
                  <c:v>49600</c:v>
                </c:pt>
                <c:pt idx="7">
                  <c:v>45900</c:v>
                </c:pt>
                <c:pt idx="8">
                  <c:v>47700</c:v>
                </c:pt>
                <c:pt idx="9">
                  <c:v>59900</c:v>
                </c:pt>
                <c:pt idx="10">
                  <c:v>48100</c:v>
                </c:pt>
                <c:pt idx="11">
                  <c:v>58100</c:v>
                </c:pt>
                <c:pt idx="12">
                  <c:v>56000</c:v>
                </c:pt>
                <c:pt idx="13">
                  <c:v>53400</c:v>
                </c:pt>
                <c:pt idx="14">
                  <c:v>39000</c:v>
                </c:pt>
                <c:pt idx="15">
                  <c:v>61500</c:v>
                </c:pt>
                <c:pt idx="16">
                  <c:v>37700</c:v>
                </c:pt>
                <c:pt idx="17">
                  <c:v>36700</c:v>
                </c:pt>
                <c:pt idx="18">
                  <c:v>45200</c:v>
                </c:pt>
                <c:pt idx="19">
                  <c:v>59000</c:v>
                </c:pt>
                <c:pt idx="20">
                  <c:v>54300</c:v>
                </c:pt>
                <c:pt idx="21">
                  <c:v>62100</c:v>
                </c:pt>
                <c:pt idx="22">
                  <c:v>78000</c:v>
                </c:pt>
                <c:pt idx="23">
                  <c:v>43200</c:v>
                </c:pt>
                <c:pt idx="24">
                  <c:v>44500</c:v>
                </c:pt>
                <c:pt idx="25">
                  <c:v>43300</c:v>
                </c:pt>
                <c:pt idx="26">
                  <c:v>45400</c:v>
                </c:pt>
                <c:pt idx="27">
                  <c:v>53900</c:v>
                </c:pt>
                <c:pt idx="28">
                  <c:v>44100</c:v>
                </c:pt>
                <c:pt idx="29">
                  <c:v>31000</c:v>
                </c:pt>
              </c:numCache>
            </c:numRef>
          </c:yVal>
        </c:ser>
        <c:axId val="164652160"/>
        <c:axId val="164654080"/>
      </c:scatterChart>
      <c:valAx>
        <c:axId val="164652160"/>
        <c:scaling>
          <c:orientation val="minMax"/>
          <c:max val="70"/>
          <c:min val="25"/>
        </c:scaling>
        <c:axPos val="b"/>
        <c:title>
          <c:tx>
            <c:rich>
              <a:bodyPr/>
              <a:lstStyle/>
              <a:p>
                <a:pPr>
                  <a:defRPr sz="950" b="0" i="0" u="none" strike="noStrike" baseline="0">
                    <a:solidFill>
                      <a:srgbClr val="000000"/>
                    </a:solidFill>
                    <a:latin typeface="Arial"/>
                    <a:ea typeface="Arial"/>
                    <a:cs typeface="Arial"/>
                  </a:defRPr>
                </a:pPr>
                <a:r>
                  <a:rPr lang="en-US"/>
                  <a:t>age (x)</a:t>
                </a:r>
              </a:p>
            </c:rich>
          </c:tx>
          <c:layout>
            <c:manualLayout>
              <c:xMode val="edge"/>
              <c:yMode val="edge"/>
              <c:x val="0.51477884229988691"/>
              <c:y val="0.8680584718576847"/>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654080"/>
        <c:crosses val="autoZero"/>
        <c:crossBetween val="midCat"/>
        <c:majorUnit val="5"/>
      </c:valAx>
      <c:valAx>
        <c:axId val="164654080"/>
        <c:scaling>
          <c:orientation val="minMax"/>
          <c:max val="90000"/>
          <c:min val="30000"/>
        </c:scaling>
        <c:axPos val="l"/>
        <c:majorGridlines>
          <c:spPr>
            <a:ln w="3175">
              <a:solidFill>
                <a:srgbClr val="000000"/>
              </a:solidFill>
              <a:prstDash val="solid"/>
            </a:ln>
          </c:spPr>
        </c:majorGridlines>
        <c:title>
          <c:tx>
            <c:rich>
              <a:bodyPr/>
              <a:lstStyle/>
              <a:p>
                <a:pPr>
                  <a:defRPr sz="950" b="0" i="0" u="none" strike="noStrike" baseline="0">
                    <a:solidFill>
                      <a:srgbClr val="000000"/>
                    </a:solidFill>
                    <a:latin typeface="Arial"/>
                    <a:ea typeface="Arial"/>
                    <a:cs typeface="Arial"/>
                  </a:defRPr>
                </a:pPr>
                <a:r>
                  <a:rPr lang="en-US"/>
                  <a:t>salary (y)</a:t>
                </a:r>
              </a:p>
            </c:rich>
          </c:tx>
          <c:layout>
            <c:manualLayout>
              <c:xMode val="edge"/>
              <c:yMode val="edge"/>
              <c:x val="3.9408866995073892E-2"/>
              <c:y val="0.32986220472441047"/>
            </c:manualLayout>
          </c:layout>
          <c:spPr>
            <a:noFill/>
            <a:ln w="25400">
              <a:noFill/>
            </a:ln>
          </c:spPr>
        </c:title>
        <c:numFmt formatCode="0" sourceLinked="0"/>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652160"/>
        <c:crosses val="autoZero"/>
        <c:crossBetween val="midCat"/>
      </c:valAx>
      <c:spPr>
        <a:no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horizontalDpi="1200" verticalDpi="1200"/>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8.2857142857143032E-2"/>
          <c:y val="8.8339375033429451E-2"/>
          <c:w val="0.83714285714285763"/>
          <c:h val="0.82685655031289762"/>
        </c:manualLayout>
      </c:layout>
      <c:scatterChart>
        <c:scatterStyle val="lineMarker"/>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1"/>
            <c:dispEq val="1"/>
            <c:trendlineLbl>
              <c:layout>
                <c:manualLayout>
                  <c:x val="-0.40661987251593545"/>
                  <c:y val="-4.8248818809479378E-2"/>
                </c:manualLayout>
              </c:layout>
              <c:tx>
                <c:rich>
                  <a:bodyPr/>
                  <a:lstStyle/>
                  <a:p>
                    <a:pPr>
                      <a:defRPr sz="1100" b="0" i="0" u="none" strike="noStrike" baseline="0">
                        <a:solidFill>
                          <a:srgbClr val="000000"/>
                        </a:solidFill>
                        <a:latin typeface="Arial"/>
                        <a:ea typeface="Arial"/>
                        <a:cs typeface="Arial"/>
                      </a:defRPr>
                    </a:pPr>
                    <a:r>
                      <a:rPr lang="en-US" sz="900" b="0" i="0" u="none" strike="noStrike" baseline="0">
                        <a:solidFill>
                          <a:srgbClr val="000000"/>
                        </a:solidFill>
                        <a:latin typeface="Arial"/>
                        <a:cs typeface="Arial"/>
                      </a:rPr>
                      <a:t>y = 0.883x + 0.076</a:t>
                    </a:r>
                  </a:p>
                  <a:p>
                    <a:pPr>
                      <a:defRPr sz="1100" b="0" i="0" u="none" strike="noStrike" baseline="0">
                        <a:solidFill>
                          <a:srgbClr val="000000"/>
                        </a:solidFill>
                        <a:latin typeface="Arial"/>
                        <a:ea typeface="Arial"/>
                        <a:cs typeface="Arial"/>
                      </a:defRPr>
                    </a:pPr>
                    <a:r>
                      <a:rPr lang="en-US" sz="900" b="0" i="0" u="none" strike="noStrike" baseline="0">
                        <a:solidFill>
                          <a:srgbClr val="000000"/>
                        </a:solidFill>
                        <a:latin typeface="Arial"/>
                        <a:cs typeface="Arial"/>
                      </a:rPr>
                      <a:t>R</a:t>
                    </a:r>
                    <a:r>
                      <a:rPr lang="en-US" sz="900" b="0" i="0" u="none" strike="noStrike" baseline="30000">
                        <a:solidFill>
                          <a:srgbClr val="000000"/>
                        </a:solidFill>
                        <a:latin typeface="Arial"/>
                        <a:cs typeface="Arial"/>
                      </a:rPr>
                      <a:t>2</a:t>
                    </a:r>
                    <a:r>
                      <a:rPr lang="en-US" sz="900" b="0" i="0" u="none" strike="noStrike" baseline="0">
                        <a:solidFill>
                          <a:srgbClr val="000000"/>
                        </a:solidFill>
                        <a:latin typeface="Arial"/>
                        <a:cs typeface="Arial"/>
                      </a:rPr>
                      <a:t> = 0.693</a:t>
                    </a:r>
                  </a:p>
                </c:rich>
              </c:tx>
              <c:numFmt formatCode="General" sourceLinked="0"/>
              <c:spPr>
                <a:solidFill>
                  <a:srgbClr val="FFFFFF"/>
                </a:solidFill>
                <a:ln w="3175">
                  <a:solidFill>
                    <a:srgbClr val="000000"/>
                  </a:solidFill>
                  <a:prstDash val="solid"/>
                </a:ln>
              </c:spPr>
            </c:trendlineLbl>
          </c:trendline>
          <c:xVal>
            <c:numRef>
              <c:f>CAPM!$D$5:$D$83</c:f>
              <c:numCache>
                <c:formatCode>0.0</c:formatCode>
                <c:ptCount val="79"/>
                <c:pt idx="0">
                  <c:v>-3.3336995574947959</c:v>
                </c:pt>
                <c:pt idx="1">
                  <c:v>-0.47237297356549346</c:v>
                </c:pt>
                <c:pt idx="2">
                  <c:v>3.3831533088824313</c:v>
                </c:pt>
                <c:pt idx="3">
                  <c:v>7.274739386696079</c:v>
                </c:pt>
                <c:pt idx="4">
                  <c:v>-7.8221133891487158</c:v>
                </c:pt>
                <c:pt idx="5">
                  <c:v>-0.76922132908280183</c:v>
                </c:pt>
                <c:pt idx="6">
                  <c:v>3.8501656804141726</c:v>
                </c:pt>
                <c:pt idx="7">
                  <c:v>1.5768880861029775</c:v>
                </c:pt>
                <c:pt idx="8">
                  <c:v>-2.651037221395883</c:v>
                </c:pt>
                <c:pt idx="9">
                  <c:v>0.71362098541057406</c:v>
                </c:pt>
                <c:pt idx="10">
                  <c:v>0.6781221622928939</c:v>
                </c:pt>
                <c:pt idx="11">
                  <c:v>-6.7035342440464953</c:v>
                </c:pt>
                <c:pt idx="12">
                  <c:v>-9.1075490282777665</c:v>
                </c:pt>
                <c:pt idx="13">
                  <c:v>-0.67431088840957254</c:v>
                </c:pt>
                <c:pt idx="14">
                  <c:v>-2.0134410228344177</c:v>
                </c:pt>
                <c:pt idx="15">
                  <c:v>-6.5737593171738062</c:v>
                </c:pt>
                <c:pt idx="16">
                  <c:v>-3.1225515837908011</c:v>
                </c:pt>
                <c:pt idx="17">
                  <c:v>9.4935749420468323</c:v>
                </c:pt>
                <c:pt idx="18">
                  <c:v>7.202598770054089</c:v>
                </c:pt>
                <c:pt idx="19">
                  <c:v>2.2575538780891704</c:v>
                </c:pt>
                <c:pt idx="20">
                  <c:v>-1.8869357694986595</c:v>
                </c:pt>
                <c:pt idx="21">
                  <c:v>-17.437446253459665</c:v>
                </c:pt>
                <c:pt idx="22">
                  <c:v>-1.7696278417719031</c:v>
                </c:pt>
                <c:pt idx="23">
                  <c:v>-2.9022477873868047</c:v>
                </c:pt>
                <c:pt idx="24">
                  <c:v>-2.4806061427720976</c:v>
                </c:pt>
                <c:pt idx="25">
                  <c:v>2.7720628518992285</c:v>
                </c:pt>
                <c:pt idx="26">
                  <c:v>0.77773290785731952</c:v>
                </c:pt>
                <c:pt idx="27">
                  <c:v>6.8308391100212307E-2</c:v>
                </c:pt>
                <c:pt idx="28">
                  <c:v>0.50109434297930677</c:v>
                </c:pt>
                <c:pt idx="29">
                  <c:v>3.8825572652053379</c:v>
                </c:pt>
                <c:pt idx="30">
                  <c:v>2.5879683476052953</c:v>
                </c:pt>
                <c:pt idx="31">
                  <c:v>1.6949524225753951</c:v>
                </c:pt>
                <c:pt idx="32">
                  <c:v>4.3272351777686673</c:v>
                </c:pt>
                <c:pt idx="33">
                  <c:v>3.3338987399339173</c:v>
                </c:pt>
                <c:pt idx="34">
                  <c:v>-0.80262878702995299</c:v>
                </c:pt>
                <c:pt idx="35">
                  <c:v>2.7696894541732102</c:v>
                </c:pt>
                <c:pt idx="36">
                  <c:v>4.7582896774476167</c:v>
                </c:pt>
                <c:pt idx="37">
                  <c:v>8.2369246391995059</c:v>
                </c:pt>
                <c:pt idx="38">
                  <c:v>16.944452740753196</c:v>
                </c:pt>
                <c:pt idx="39">
                  <c:v>5.2621426964285032</c:v>
                </c:pt>
                <c:pt idx="40">
                  <c:v>8.4478519470631941</c:v>
                </c:pt>
                <c:pt idx="41">
                  <c:v>-2.1189072950883512</c:v>
                </c:pt>
                <c:pt idx="42">
                  <c:v>13.27316810103118</c:v>
                </c:pt>
                <c:pt idx="43">
                  <c:v>10.073670139852215</c:v>
                </c:pt>
                <c:pt idx="44">
                  <c:v>6.8688765696694496</c:v>
                </c:pt>
                <c:pt idx="45">
                  <c:v>-15.572182949676829</c:v>
                </c:pt>
                <c:pt idx="46">
                  <c:v>11.774080813633518</c:v>
                </c:pt>
                <c:pt idx="47">
                  <c:v>20.395377521826855</c:v>
                </c:pt>
                <c:pt idx="48">
                  <c:v>13.233182588275143</c:v>
                </c:pt>
                <c:pt idx="49">
                  <c:v>8.3651648651218249</c:v>
                </c:pt>
                <c:pt idx="50">
                  <c:v>-3.5611144190304747</c:v>
                </c:pt>
                <c:pt idx="51">
                  <c:v>-10.721156427186401</c:v>
                </c:pt>
                <c:pt idx="52">
                  <c:v>-2.2804754335926378</c:v>
                </c:pt>
                <c:pt idx="53">
                  <c:v>10.715914886464216</c:v>
                </c:pt>
                <c:pt idx="54">
                  <c:v>-17.5160315991217</c:v>
                </c:pt>
                <c:pt idx="55">
                  <c:v>-15.474950833135043</c:v>
                </c:pt>
                <c:pt idx="56">
                  <c:v>-4.9238345068524936</c:v>
                </c:pt>
                <c:pt idx="57">
                  <c:v>-1.529543213475919</c:v>
                </c:pt>
                <c:pt idx="58">
                  <c:v>3.5202942997680924</c:v>
                </c:pt>
                <c:pt idx="59">
                  <c:v>-11.145147308200492</c:v>
                </c:pt>
                <c:pt idx="60">
                  <c:v>12.009280351955507</c:v>
                </c:pt>
                <c:pt idx="61">
                  <c:v>6.8338776172163023</c:v>
                </c:pt>
                <c:pt idx="62">
                  <c:v>4.4464963347231565</c:v>
                </c:pt>
                <c:pt idx="63">
                  <c:v>-3.8435375583852029</c:v>
                </c:pt>
                <c:pt idx="64">
                  <c:v>0.85326074761286164</c:v>
                </c:pt>
                <c:pt idx="65">
                  <c:v>-6.2295972743995822</c:v>
                </c:pt>
                <c:pt idx="66">
                  <c:v>-3.9514633023104579</c:v>
                </c:pt>
                <c:pt idx="67">
                  <c:v>3.0714701679990295</c:v>
                </c:pt>
                <c:pt idx="68">
                  <c:v>-9.7616264229763541</c:v>
                </c:pt>
                <c:pt idx="69">
                  <c:v>-2.3420297654769424</c:v>
                </c:pt>
                <c:pt idx="70">
                  <c:v>-6.5700380031488521</c:v>
                </c:pt>
                <c:pt idx="71">
                  <c:v>2.8192991040947315</c:v>
                </c:pt>
                <c:pt idx="72">
                  <c:v>10.72891978991415</c:v>
                </c:pt>
                <c:pt idx="73">
                  <c:v>-1.4374198558649771</c:v>
                </c:pt>
                <c:pt idx="74">
                  <c:v>-6.3449845711655257</c:v>
                </c:pt>
                <c:pt idx="75">
                  <c:v>-0.70024867490290332</c:v>
                </c:pt>
                <c:pt idx="76">
                  <c:v>0.58940062497554535</c:v>
                </c:pt>
                <c:pt idx="77">
                  <c:v>-14.126766255901227</c:v>
                </c:pt>
                <c:pt idx="78">
                  <c:v>-15.941551332799136</c:v>
                </c:pt>
              </c:numCache>
            </c:numRef>
          </c:xVal>
          <c:yVal>
            <c:numRef>
              <c:f>CAPM!$E$5:$E$83</c:f>
              <c:numCache>
                <c:formatCode>0.0</c:formatCode>
                <c:ptCount val="79"/>
                <c:pt idx="0">
                  <c:v>0.35032994861993522</c:v>
                </c:pt>
                <c:pt idx="1">
                  <c:v>2.2127514396237982</c:v>
                </c:pt>
                <c:pt idx="2">
                  <c:v>-0.40669867116926206</c:v>
                </c:pt>
                <c:pt idx="3">
                  <c:v>8.37198604161593</c:v>
                </c:pt>
                <c:pt idx="4">
                  <c:v>-3.7065944100666028</c:v>
                </c:pt>
                <c:pt idx="5">
                  <c:v>-1.004066198103593</c:v>
                </c:pt>
                <c:pt idx="6">
                  <c:v>1.5767746736863801</c:v>
                </c:pt>
                <c:pt idx="7">
                  <c:v>-0.21984169697090647</c:v>
                </c:pt>
                <c:pt idx="8">
                  <c:v>-0.33220677518813635</c:v>
                </c:pt>
                <c:pt idx="9">
                  <c:v>-0.4664465545952648</c:v>
                </c:pt>
                <c:pt idx="10">
                  <c:v>-2.8271368823935341</c:v>
                </c:pt>
                <c:pt idx="11">
                  <c:v>-0.91615729904867294</c:v>
                </c:pt>
                <c:pt idx="12">
                  <c:v>-4.770616899582798</c:v>
                </c:pt>
                <c:pt idx="13">
                  <c:v>-2.8139989412833746</c:v>
                </c:pt>
                <c:pt idx="14">
                  <c:v>-0.96708157002136641</c:v>
                </c:pt>
                <c:pt idx="15">
                  <c:v>-6.1743825436411326</c:v>
                </c:pt>
                <c:pt idx="16">
                  <c:v>-1.9832989978421312</c:v>
                </c:pt>
                <c:pt idx="17">
                  <c:v>8.9147199565850048</c:v>
                </c:pt>
                <c:pt idx="18">
                  <c:v>1.7884664653188835</c:v>
                </c:pt>
                <c:pt idx="19">
                  <c:v>0.10630376061718455</c:v>
                </c:pt>
                <c:pt idx="20">
                  <c:v>0.91894241937519106</c:v>
                </c:pt>
                <c:pt idx="21">
                  <c:v>-11.37839213929731</c:v>
                </c:pt>
                <c:pt idx="22">
                  <c:v>2.6929999966287221</c:v>
                </c:pt>
                <c:pt idx="23">
                  <c:v>-0.31661095870194789</c:v>
                </c:pt>
                <c:pt idx="24">
                  <c:v>-2.1968637722415618</c:v>
                </c:pt>
                <c:pt idx="25">
                  <c:v>-1.0366994458803147</c:v>
                </c:pt>
                <c:pt idx="26">
                  <c:v>1.0236912712512056</c:v>
                </c:pt>
                <c:pt idx="27">
                  <c:v>1.3921575160965207</c:v>
                </c:pt>
                <c:pt idx="28">
                  <c:v>-0.29313685655354921</c:v>
                </c:pt>
                <c:pt idx="29">
                  <c:v>1.8215721040008157</c:v>
                </c:pt>
                <c:pt idx="30">
                  <c:v>3.3181010552405574</c:v>
                </c:pt>
                <c:pt idx="31">
                  <c:v>1.4658417120691238</c:v>
                </c:pt>
                <c:pt idx="32">
                  <c:v>1.1659183594385918</c:v>
                </c:pt>
                <c:pt idx="33">
                  <c:v>-0.82703205553225667</c:v>
                </c:pt>
                <c:pt idx="34">
                  <c:v>0.73143499765599729</c:v>
                </c:pt>
                <c:pt idx="35">
                  <c:v>-2.6449356316803807</c:v>
                </c:pt>
                <c:pt idx="36">
                  <c:v>-3.4963452925123875</c:v>
                </c:pt>
                <c:pt idx="37">
                  <c:v>5.9501263902563277</c:v>
                </c:pt>
                <c:pt idx="38">
                  <c:v>19.947151199772463</c:v>
                </c:pt>
                <c:pt idx="39">
                  <c:v>7.5122978814396654E-2</c:v>
                </c:pt>
                <c:pt idx="40">
                  <c:v>-0.56894095011537238</c:v>
                </c:pt>
                <c:pt idx="41">
                  <c:v>-4.604225936621348</c:v>
                </c:pt>
                <c:pt idx="42">
                  <c:v>17.605577056741783</c:v>
                </c:pt>
                <c:pt idx="43">
                  <c:v>10.661631863390603</c:v>
                </c:pt>
                <c:pt idx="44">
                  <c:v>-3.2804929386527695</c:v>
                </c:pt>
                <c:pt idx="45">
                  <c:v>-20.473055463858579</c:v>
                </c:pt>
                <c:pt idx="46">
                  <c:v>10.624858209139045</c:v>
                </c:pt>
                <c:pt idx="47">
                  <c:v>21.697354611469255</c:v>
                </c:pt>
                <c:pt idx="48">
                  <c:v>23.417151968948939</c:v>
                </c:pt>
                <c:pt idx="49">
                  <c:v>18.882617740236952</c:v>
                </c:pt>
                <c:pt idx="50">
                  <c:v>-2.3463777721369006</c:v>
                </c:pt>
                <c:pt idx="51">
                  <c:v>-4.0641948342819392</c:v>
                </c:pt>
                <c:pt idx="52">
                  <c:v>-6.3469853593531713</c:v>
                </c:pt>
                <c:pt idx="53">
                  <c:v>0.86902798886012644</c:v>
                </c:pt>
                <c:pt idx="54">
                  <c:v>-13.143309215605385</c:v>
                </c:pt>
                <c:pt idx="55">
                  <c:v>-22.130927440383751</c:v>
                </c:pt>
                <c:pt idx="56">
                  <c:v>-11.357311372150432</c:v>
                </c:pt>
                <c:pt idx="57">
                  <c:v>-1.6957544567020695</c:v>
                </c:pt>
                <c:pt idx="58">
                  <c:v>8.3993781237609983</c:v>
                </c:pt>
                <c:pt idx="59">
                  <c:v>-12.891543833947608</c:v>
                </c:pt>
                <c:pt idx="60">
                  <c:v>11.137924442036098</c:v>
                </c:pt>
                <c:pt idx="61">
                  <c:v>14.681318374491415</c:v>
                </c:pt>
                <c:pt idx="62">
                  <c:v>2.5356697123062943</c:v>
                </c:pt>
                <c:pt idx="63">
                  <c:v>2.4486705679852299</c:v>
                </c:pt>
                <c:pt idx="64">
                  <c:v>3.7001957750705894</c:v>
                </c:pt>
                <c:pt idx="65">
                  <c:v>-5.5347395408475633</c:v>
                </c:pt>
                <c:pt idx="66">
                  <c:v>-7.1454479538630711</c:v>
                </c:pt>
                <c:pt idx="67">
                  <c:v>5.3046846287015867</c:v>
                </c:pt>
                <c:pt idx="68">
                  <c:v>-13.722020467783706</c:v>
                </c:pt>
                <c:pt idx="69">
                  <c:v>-9.7339962263763624</c:v>
                </c:pt>
                <c:pt idx="70">
                  <c:v>7.1459431544864476</c:v>
                </c:pt>
                <c:pt idx="71">
                  <c:v>3.0505495111823713</c:v>
                </c:pt>
                <c:pt idx="72">
                  <c:v>6.6418131114482426</c:v>
                </c:pt>
                <c:pt idx="73">
                  <c:v>-3.0430661241515291</c:v>
                </c:pt>
                <c:pt idx="74">
                  <c:v>-2.7654935125935096</c:v>
                </c:pt>
                <c:pt idx="75">
                  <c:v>-2.435614825366871</c:v>
                </c:pt>
                <c:pt idx="76">
                  <c:v>-0.58464555977517618</c:v>
                </c:pt>
                <c:pt idx="77">
                  <c:v>-8.7343665665057433</c:v>
                </c:pt>
                <c:pt idx="78">
                  <c:v>-7.2991094143595534</c:v>
                </c:pt>
              </c:numCache>
            </c:numRef>
          </c:yVal>
        </c:ser>
        <c:axId val="164703616"/>
        <c:axId val="164721792"/>
      </c:scatterChart>
      <c:valAx>
        <c:axId val="164703616"/>
        <c:scaling>
          <c:orientation val="minMax"/>
        </c:scaling>
        <c:axPos val="b"/>
        <c:numFmt formatCode="0.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721792"/>
        <c:crosses val="autoZero"/>
        <c:crossBetween val="midCat"/>
      </c:valAx>
      <c:valAx>
        <c:axId val="164721792"/>
        <c:scaling>
          <c:orientation val="minMax"/>
        </c:scaling>
        <c:axPos val="l"/>
        <c:majorGridlines>
          <c:spPr>
            <a:ln w="3175">
              <a:solidFill>
                <a:srgbClr val="000000"/>
              </a:solidFill>
              <a:prstDash val="solid"/>
            </a:ln>
          </c:spPr>
        </c:majorGridlines>
        <c:numFmt formatCode="0.0"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703616"/>
        <c:crosses val="autoZero"/>
        <c:crossBetween val="midCat"/>
      </c:valAx>
      <c:spPr>
        <a:no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b="0" i="0" u="none" strike="noStrike" baseline="0">
                <a:solidFill>
                  <a:srgbClr val="000000"/>
                </a:solidFill>
                <a:latin typeface="Arial"/>
                <a:ea typeface="Arial"/>
                <a:cs typeface="Arial"/>
              </a:defRPr>
            </a:pPr>
            <a:r>
              <a:rPr lang="en-US"/>
              <a:t>BA returns</a:t>
            </a:r>
          </a:p>
        </c:rich>
      </c:tx>
      <c:layout>
        <c:manualLayout>
          <c:xMode val="edge"/>
          <c:yMode val="edge"/>
          <c:x val="0.4216875902560373"/>
          <c:y val="3.4482758620689655E-2"/>
        </c:manualLayout>
      </c:layout>
      <c:spPr>
        <a:noFill/>
        <a:ln w="25400">
          <a:noFill/>
        </a:ln>
      </c:spPr>
    </c:title>
    <c:plotArea>
      <c:layout>
        <c:manualLayout>
          <c:layoutTarget val="inner"/>
          <c:xMode val="edge"/>
          <c:yMode val="edge"/>
          <c:x val="0.11044198364156545"/>
          <c:y val="0.13479644457234063"/>
          <c:w val="0.8614474724042126"/>
          <c:h val="0.6645778197520017"/>
        </c:manualLayout>
      </c:layout>
      <c:lineChart>
        <c:grouping val="standard"/>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numRef>
              <c:f>CAPM!$A$5:$A$83</c:f>
              <c:numCache>
                <c:formatCode>0.00</c:formatCode>
                <c:ptCount val="79"/>
                <c:pt idx="0">
                  <c:v>1986.02</c:v>
                </c:pt>
                <c:pt idx="1">
                  <c:v>1986.03</c:v>
                </c:pt>
                <c:pt idx="2">
                  <c:v>1986.04</c:v>
                </c:pt>
                <c:pt idx="3">
                  <c:v>1986.05</c:v>
                </c:pt>
                <c:pt idx="4">
                  <c:v>1986.06</c:v>
                </c:pt>
                <c:pt idx="5">
                  <c:v>1986.07</c:v>
                </c:pt>
                <c:pt idx="6">
                  <c:v>1986.08</c:v>
                </c:pt>
                <c:pt idx="7">
                  <c:v>1986.09</c:v>
                </c:pt>
                <c:pt idx="8">
                  <c:v>1986.1</c:v>
                </c:pt>
                <c:pt idx="9">
                  <c:v>1986.11</c:v>
                </c:pt>
                <c:pt idx="10">
                  <c:v>1986.12</c:v>
                </c:pt>
                <c:pt idx="11">
                  <c:v>1987.01</c:v>
                </c:pt>
                <c:pt idx="12">
                  <c:v>1987.02</c:v>
                </c:pt>
                <c:pt idx="13">
                  <c:v>1987.03</c:v>
                </c:pt>
                <c:pt idx="14">
                  <c:v>1987.04</c:v>
                </c:pt>
                <c:pt idx="15">
                  <c:v>1987.05</c:v>
                </c:pt>
                <c:pt idx="16">
                  <c:v>1987.06</c:v>
                </c:pt>
                <c:pt idx="17">
                  <c:v>1987.07</c:v>
                </c:pt>
                <c:pt idx="18">
                  <c:v>1987.08</c:v>
                </c:pt>
                <c:pt idx="19">
                  <c:v>1987.09</c:v>
                </c:pt>
                <c:pt idx="20">
                  <c:v>1987.1</c:v>
                </c:pt>
                <c:pt idx="21">
                  <c:v>1987.11</c:v>
                </c:pt>
                <c:pt idx="22">
                  <c:v>1987.12</c:v>
                </c:pt>
                <c:pt idx="23">
                  <c:v>1988.01</c:v>
                </c:pt>
                <c:pt idx="24">
                  <c:v>1988.02</c:v>
                </c:pt>
                <c:pt idx="25">
                  <c:v>1988.03</c:v>
                </c:pt>
                <c:pt idx="26">
                  <c:v>1988.04</c:v>
                </c:pt>
                <c:pt idx="27">
                  <c:v>1988.05</c:v>
                </c:pt>
                <c:pt idx="28">
                  <c:v>1988.06</c:v>
                </c:pt>
                <c:pt idx="29">
                  <c:v>1988.07</c:v>
                </c:pt>
                <c:pt idx="30">
                  <c:v>1988.08</c:v>
                </c:pt>
                <c:pt idx="31">
                  <c:v>1988.09</c:v>
                </c:pt>
                <c:pt idx="32">
                  <c:v>1988.1</c:v>
                </c:pt>
                <c:pt idx="33">
                  <c:v>1988.11</c:v>
                </c:pt>
                <c:pt idx="34">
                  <c:v>1988.12</c:v>
                </c:pt>
                <c:pt idx="35">
                  <c:v>1989.01</c:v>
                </c:pt>
                <c:pt idx="36">
                  <c:v>1989.02</c:v>
                </c:pt>
                <c:pt idx="37">
                  <c:v>1989.03</c:v>
                </c:pt>
                <c:pt idx="38">
                  <c:v>1989.04</c:v>
                </c:pt>
                <c:pt idx="39">
                  <c:v>1989.05</c:v>
                </c:pt>
                <c:pt idx="40">
                  <c:v>1989.06</c:v>
                </c:pt>
                <c:pt idx="41">
                  <c:v>1989.07</c:v>
                </c:pt>
                <c:pt idx="42">
                  <c:v>1989.08</c:v>
                </c:pt>
                <c:pt idx="43">
                  <c:v>1989.09</c:v>
                </c:pt>
                <c:pt idx="44">
                  <c:v>1989.1</c:v>
                </c:pt>
                <c:pt idx="45">
                  <c:v>1989.11</c:v>
                </c:pt>
                <c:pt idx="46">
                  <c:v>1989.12</c:v>
                </c:pt>
                <c:pt idx="47">
                  <c:v>1990.01</c:v>
                </c:pt>
                <c:pt idx="48">
                  <c:v>1990.02</c:v>
                </c:pt>
                <c:pt idx="49">
                  <c:v>1990.03</c:v>
                </c:pt>
                <c:pt idx="50">
                  <c:v>1990.04</c:v>
                </c:pt>
                <c:pt idx="51">
                  <c:v>1990.05</c:v>
                </c:pt>
                <c:pt idx="52">
                  <c:v>1990.06</c:v>
                </c:pt>
                <c:pt idx="53">
                  <c:v>1990.07</c:v>
                </c:pt>
                <c:pt idx="54">
                  <c:v>1990.08</c:v>
                </c:pt>
                <c:pt idx="55">
                  <c:v>1990.09</c:v>
                </c:pt>
                <c:pt idx="56">
                  <c:v>1990.1</c:v>
                </c:pt>
                <c:pt idx="57">
                  <c:v>1990.11</c:v>
                </c:pt>
                <c:pt idx="58">
                  <c:v>1990.12</c:v>
                </c:pt>
                <c:pt idx="59">
                  <c:v>1991.01</c:v>
                </c:pt>
                <c:pt idx="60">
                  <c:v>1991.02</c:v>
                </c:pt>
                <c:pt idx="61">
                  <c:v>1991.03</c:v>
                </c:pt>
                <c:pt idx="62">
                  <c:v>1991.04</c:v>
                </c:pt>
                <c:pt idx="63">
                  <c:v>1991.05</c:v>
                </c:pt>
                <c:pt idx="64">
                  <c:v>1991.06</c:v>
                </c:pt>
                <c:pt idx="65">
                  <c:v>1991.07</c:v>
                </c:pt>
                <c:pt idx="66">
                  <c:v>1991.08</c:v>
                </c:pt>
                <c:pt idx="67">
                  <c:v>1991.09</c:v>
                </c:pt>
                <c:pt idx="68">
                  <c:v>1991.1</c:v>
                </c:pt>
                <c:pt idx="69">
                  <c:v>1991.11</c:v>
                </c:pt>
                <c:pt idx="70">
                  <c:v>1991.12</c:v>
                </c:pt>
                <c:pt idx="71">
                  <c:v>1992.01</c:v>
                </c:pt>
                <c:pt idx="72">
                  <c:v>1992.02</c:v>
                </c:pt>
                <c:pt idx="73">
                  <c:v>1992.03</c:v>
                </c:pt>
                <c:pt idx="74">
                  <c:v>1992.04</c:v>
                </c:pt>
                <c:pt idx="75">
                  <c:v>1992.05</c:v>
                </c:pt>
                <c:pt idx="76">
                  <c:v>1992.06</c:v>
                </c:pt>
                <c:pt idx="77">
                  <c:v>1992.07</c:v>
                </c:pt>
                <c:pt idx="78">
                  <c:v>1992.08</c:v>
                </c:pt>
              </c:numCache>
            </c:numRef>
          </c:cat>
          <c:val>
            <c:numRef>
              <c:f>CAPM!$E$5:$E$83</c:f>
              <c:numCache>
                <c:formatCode>0.0</c:formatCode>
                <c:ptCount val="79"/>
                <c:pt idx="0">
                  <c:v>0.35032994861993522</c:v>
                </c:pt>
                <c:pt idx="1">
                  <c:v>2.2127514396237982</c:v>
                </c:pt>
                <c:pt idx="2">
                  <c:v>-0.40669867116926206</c:v>
                </c:pt>
                <c:pt idx="3">
                  <c:v>8.37198604161593</c:v>
                </c:pt>
                <c:pt idx="4">
                  <c:v>-3.7065944100666028</c:v>
                </c:pt>
                <c:pt idx="5">
                  <c:v>-1.004066198103593</c:v>
                </c:pt>
                <c:pt idx="6">
                  <c:v>1.5767746736863801</c:v>
                </c:pt>
                <c:pt idx="7">
                  <c:v>-0.21984169697090647</c:v>
                </c:pt>
                <c:pt idx="8">
                  <c:v>-0.33220677518813635</c:v>
                </c:pt>
                <c:pt idx="9">
                  <c:v>-0.4664465545952648</c:v>
                </c:pt>
                <c:pt idx="10">
                  <c:v>-2.8271368823935341</c:v>
                </c:pt>
                <c:pt idx="11">
                  <c:v>-0.91615729904867294</c:v>
                </c:pt>
                <c:pt idx="12">
                  <c:v>-4.770616899582798</c:v>
                </c:pt>
                <c:pt idx="13">
                  <c:v>-2.8139989412833746</c:v>
                </c:pt>
                <c:pt idx="14">
                  <c:v>-0.96708157002136641</c:v>
                </c:pt>
                <c:pt idx="15">
                  <c:v>-6.1743825436411326</c:v>
                </c:pt>
                <c:pt idx="16">
                  <c:v>-1.9832989978421312</c:v>
                </c:pt>
                <c:pt idx="17">
                  <c:v>8.9147199565850048</c:v>
                </c:pt>
                <c:pt idx="18">
                  <c:v>1.7884664653188835</c:v>
                </c:pt>
                <c:pt idx="19">
                  <c:v>0.10630376061718455</c:v>
                </c:pt>
                <c:pt idx="20">
                  <c:v>0.91894241937519106</c:v>
                </c:pt>
                <c:pt idx="21">
                  <c:v>-11.37839213929731</c:v>
                </c:pt>
                <c:pt idx="22">
                  <c:v>2.6929999966287221</c:v>
                </c:pt>
                <c:pt idx="23">
                  <c:v>-0.31661095870194789</c:v>
                </c:pt>
                <c:pt idx="24">
                  <c:v>-2.1968637722415618</c:v>
                </c:pt>
                <c:pt idx="25">
                  <c:v>-1.0366994458803147</c:v>
                </c:pt>
                <c:pt idx="26">
                  <c:v>1.0236912712512056</c:v>
                </c:pt>
                <c:pt idx="27">
                  <c:v>1.3921575160965207</c:v>
                </c:pt>
                <c:pt idx="28">
                  <c:v>-0.29313685655354921</c:v>
                </c:pt>
                <c:pt idx="29">
                  <c:v>1.8215721040008157</c:v>
                </c:pt>
                <c:pt idx="30">
                  <c:v>3.3181010552405574</c:v>
                </c:pt>
                <c:pt idx="31">
                  <c:v>1.4658417120691238</c:v>
                </c:pt>
                <c:pt idx="32">
                  <c:v>1.1659183594385918</c:v>
                </c:pt>
                <c:pt idx="33">
                  <c:v>-0.82703205553225667</c:v>
                </c:pt>
                <c:pt idx="34">
                  <c:v>0.73143499765599729</c:v>
                </c:pt>
                <c:pt idx="35">
                  <c:v>-2.6449356316803807</c:v>
                </c:pt>
                <c:pt idx="36">
                  <c:v>-3.4963452925123875</c:v>
                </c:pt>
                <c:pt idx="37">
                  <c:v>5.9501263902563277</c:v>
                </c:pt>
                <c:pt idx="38">
                  <c:v>19.947151199772463</c:v>
                </c:pt>
                <c:pt idx="39">
                  <c:v>7.5122978814396654E-2</c:v>
                </c:pt>
                <c:pt idx="40">
                  <c:v>-0.56894095011537238</c:v>
                </c:pt>
                <c:pt idx="41">
                  <c:v>-4.604225936621348</c:v>
                </c:pt>
                <c:pt idx="42">
                  <c:v>17.605577056741783</c:v>
                </c:pt>
                <c:pt idx="43">
                  <c:v>10.661631863390603</c:v>
                </c:pt>
                <c:pt idx="44">
                  <c:v>-3.2804929386527695</c:v>
                </c:pt>
                <c:pt idx="45">
                  <c:v>-20.473055463858579</c:v>
                </c:pt>
                <c:pt idx="46">
                  <c:v>10.624858209139045</c:v>
                </c:pt>
                <c:pt idx="47">
                  <c:v>21.697354611469255</c:v>
                </c:pt>
                <c:pt idx="48">
                  <c:v>23.417151968948939</c:v>
                </c:pt>
                <c:pt idx="49">
                  <c:v>18.882617740236952</c:v>
                </c:pt>
                <c:pt idx="50">
                  <c:v>-2.3463777721369006</c:v>
                </c:pt>
                <c:pt idx="51">
                  <c:v>-4.0641948342819392</c:v>
                </c:pt>
                <c:pt idx="52">
                  <c:v>-6.3469853593531713</c:v>
                </c:pt>
                <c:pt idx="53">
                  <c:v>0.86902798886012644</c:v>
                </c:pt>
                <c:pt idx="54">
                  <c:v>-13.143309215605385</c:v>
                </c:pt>
                <c:pt idx="55">
                  <c:v>-22.130927440383751</c:v>
                </c:pt>
                <c:pt idx="56">
                  <c:v>-11.357311372150432</c:v>
                </c:pt>
                <c:pt idx="57">
                  <c:v>-1.6957544567020695</c:v>
                </c:pt>
                <c:pt idx="58">
                  <c:v>8.3993781237609983</c:v>
                </c:pt>
                <c:pt idx="59">
                  <c:v>-12.891543833947608</c:v>
                </c:pt>
                <c:pt idx="60">
                  <c:v>11.137924442036098</c:v>
                </c:pt>
                <c:pt idx="61">
                  <c:v>14.681318374491415</c:v>
                </c:pt>
                <c:pt idx="62">
                  <c:v>2.5356697123062943</c:v>
                </c:pt>
                <c:pt idx="63">
                  <c:v>2.4486705679852299</c:v>
                </c:pt>
                <c:pt idx="64">
                  <c:v>3.7001957750705894</c:v>
                </c:pt>
                <c:pt idx="65">
                  <c:v>-5.5347395408475633</c:v>
                </c:pt>
                <c:pt idx="66">
                  <c:v>-7.1454479538630711</c:v>
                </c:pt>
                <c:pt idx="67">
                  <c:v>5.3046846287015867</c:v>
                </c:pt>
                <c:pt idx="68">
                  <c:v>-13.722020467783706</c:v>
                </c:pt>
                <c:pt idx="69">
                  <c:v>-9.7339962263763624</c:v>
                </c:pt>
                <c:pt idx="70">
                  <c:v>7.1459431544864476</c:v>
                </c:pt>
                <c:pt idx="71">
                  <c:v>3.0505495111823713</c:v>
                </c:pt>
                <c:pt idx="72">
                  <c:v>6.6418131114482426</c:v>
                </c:pt>
                <c:pt idx="73">
                  <c:v>-3.0430661241515291</c:v>
                </c:pt>
                <c:pt idx="74">
                  <c:v>-2.7654935125935096</c:v>
                </c:pt>
                <c:pt idx="75">
                  <c:v>-2.435614825366871</c:v>
                </c:pt>
                <c:pt idx="76">
                  <c:v>-0.58464555977517618</c:v>
                </c:pt>
                <c:pt idx="77">
                  <c:v>-8.7343665665057433</c:v>
                </c:pt>
                <c:pt idx="78">
                  <c:v>-7.2991094143595534</c:v>
                </c:pt>
              </c:numCache>
            </c:numRef>
          </c:val>
        </c:ser>
        <c:marker val="1"/>
        <c:axId val="164736384"/>
        <c:axId val="164767232"/>
      </c:lineChart>
      <c:catAx>
        <c:axId val="164736384"/>
        <c:scaling>
          <c:orientation val="minMax"/>
        </c:scaling>
        <c:axPos val="b"/>
        <c:numFmt formatCode="0.00" sourceLinked="1"/>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64767232"/>
        <c:crossesAt val="-30"/>
        <c:auto val="1"/>
        <c:lblAlgn val="ctr"/>
        <c:lblOffset val="100"/>
        <c:tickLblSkip val="4"/>
        <c:tickMarkSkip val="4"/>
      </c:catAx>
      <c:valAx>
        <c:axId val="164767232"/>
        <c:scaling>
          <c:orientation val="minMax"/>
        </c:scaling>
        <c:axPos val="l"/>
        <c:majorGridlines>
          <c:spPr>
            <a:ln w="3175">
              <a:solidFill>
                <a:srgbClr val="000000"/>
              </a:solidFill>
              <a:prstDash val="solid"/>
            </a:ln>
          </c:spPr>
        </c:majorGridlines>
        <c:numFmt formatCode="0.0" sourceLinked="0"/>
        <c:tickLblPos val="nextTo"/>
        <c:spPr>
          <a:ln w="3175">
            <a:solidFill>
              <a:srgbClr val="000000"/>
            </a:solidFill>
            <a:prstDash val="solid"/>
          </a:ln>
        </c:spPr>
        <c:txPr>
          <a:bodyPr rot="0" vert="horz"/>
          <a:lstStyle/>
          <a:p>
            <a:pPr>
              <a:defRPr sz="925" b="0" i="0" u="none" strike="noStrike" baseline="0">
                <a:solidFill>
                  <a:srgbClr val="000000"/>
                </a:solidFill>
                <a:latin typeface="Arial"/>
                <a:ea typeface="Arial"/>
                <a:cs typeface="Arial"/>
              </a:defRPr>
            </a:pPr>
            <a:endParaRPr lang="en-US"/>
          </a:p>
        </c:txPr>
        <c:crossAx val="164736384"/>
        <c:crosses val="autoZero"/>
        <c:crossBetween val="between"/>
      </c:valAx>
      <c:spPr>
        <a:no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55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9164619164619195"/>
          <c:y val="8.6505336466899299E-2"/>
          <c:w val="0.72727272727272729"/>
          <c:h val="0.70934375902857316"/>
        </c:manualLayout>
      </c:layout>
      <c:scatterChart>
        <c:scatterStyle val="lineMarker"/>
        <c:ser>
          <c:idx val="0"/>
          <c:order val="0"/>
          <c:tx>
            <c:strRef>
              <c:f>'multiple regression (2)'!$Q$4</c:f>
              <c:strCache>
                <c:ptCount val="1"/>
                <c:pt idx="0">
                  <c:v>Male</c:v>
                </c:pt>
              </c:strCache>
            </c:strRef>
          </c:tx>
          <c:spPr>
            <a:ln w="28575">
              <a:noFill/>
            </a:ln>
          </c:spPr>
          <c:marker>
            <c:symbol val="diamond"/>
            <c:size val="5"/>
            <c:spPr>
              <a:solidFill>
                <a:srgbClr val="000080"/>
              </a:solidFill>
              <a:ln>
                <a:solidFill>
                  <a:srgbClr val="000080"/>
                </a:solidFill>
                <a:prstDash val="solid"/>
              </a:ln>
            </c:spPr>
          </c:marker>
          <c:xVal>
            <c:numRef>
              <c:f>'multiple regression (2)'!$A$4:$A$33</c:f>
              <c:numCache>
                <c:formatCode>General</c:formatCode>
                <c:ptCount val="30"/>
                <c:pt idx="0">
                  <c:v>58</c:v>
                </c:pt>
                <c:pt idx="1">
                  <c:v>48</c:v>
                </c:pt>
                <c:pt idx="2">
                  <c:v>58</c:v>
                </c:pt>
                <c:pt idx="3">
                  <c:v>56</c:v>
                </c:pt>
                <c:pt idx="4">
                  <c:v>68</c:v>
                </c:pt>
                <c:pt idx="5">
                  <c:v>60</c:v>
                </c:pt>
                <c:pt idx="6">
                  <c:v>28</c:v>
                </c:pt>
                <c:pt idx="7">
                  <c:v>48</c:v>
                </c:pt>
                <c:pt idx="8">
                  <c:v>53</c:v>
                </c:pt>
                <c:pt idx="9">
                  <c:v>61</c:v>
                </c:pt>
                <c:pt idx="10">
                  <c:v>36</c:v>
                </c:pt>
                <c:pt idx="11">
                  <c:v>55</c:v>
                </c:pt>
                <c:pt idx="12">
                  <c:v>48</c:v>
                </c:pt>
                <c:pt idx="13">
                  <c:v>51</c:v>
                </c:pt>
                <c:pt idx="14">
                  <c:v>39</c:v>
                </c:pt>
                <c:pt idx="15">
                  <c:v>45</c:v>
                </c:pt>
                <c:pt idx="16">
                  <c:v>43</c:v>
                </c:pt>
                <c:pt idx="17">
                  <c:v>36</c:v>
                </c:pt>
                <c:pt idx="18">
                  <c:v>49</c:v>
                </c:pt>
                <c:pt idx="19">
                  <c:v>53</c:v>
                </c:pt>
                <c:pt idx="20">
                  <c:v>61</c:v>
                </c:pt>
                <c:pt idx="21">
                  <c:v>62</c:v>
                </c:pt>
                <c:pt idx="22">
                  <c:v>59</c:v>
                </c:pt>
                <c:pt idx="23">
                  <c:v>44</c:v>
                </c:pt>
                <c:pt idx="24">
                  <c:v>53</c:v>
                </c:pt>
                <c:pt idx="25">
                  <c:v>55</c:v>
                </c:pt>
                <c:pt idx="26">
                  <c:v>66</c:v>
                </c:pt>
                <c:pt idx="27">
                  <c:v>36</c:v>
                </c:pt>
                <c:pt idx="28">
                  <c:v>41</c:v>
                </c:pt>
                <c:pt idx="29">
                  <c:v>28</c:v>
                </c:pt>
              </c:numCache>
            </c:numRef>
          </c:xVal>
          <c:yVal>
            <c:numRef>
              <c:f>'multiple regression (2)'!$Q$5:$Q$34</c:f>
              <c:numCache>
                <c:formatCode>General</c:formatCode>
                <c:ptCount val="30"/>
                <c:pt idx="0">
                  <c:v>65400</c:v>
                </c:pt>
                <c:pt idx="1">
                  <c:v>62000</c:v>
                </c:pt>
                <c:pt idx="2">
                  <c:v>0</c:v>
                </c:pt>
                <c:pt idx="3">
                  <c:v>52000</c:v>
                </c:pt>
                <c:pt idx="4">
                  <c:v>81400</c:v>
                </c:pt>
                <c:pt idx="5">
                  <c:v>0</c:v>
                </c:pt>
                <c:pt idx="6">
                  <c:v>49600</c:v>
                </c:pt>
                <c:pt idx="7">
                  <c:v>45900</c:v>
                </c:pt>
                <c:pt idx="8">
                  <c:v>47700</c:v>
                </c:pt>
                <c:pt idx="9">
                  <c:v>0</c:v>
                </c:pt>
                <c:pt idx="10">
                  <c:v>0</c:v>
                </c:pt>
                <c:pt idx="11">
                  <c:v>58100</c:v>
                </c:pt>
                <c:pt idx="12">
                  <c:v>0</c:v>
                </c:pt>
                <c:pt idx="13">
                  <c:v>0</c:v>
                </c:pt>
                <c:pt idx="14">
                  <c:v>0</c:v>
                </c:pt>
                <c:pt idx="15">
                  <c:v>61500</c:v>
                </c:pt>
                <c:pt idx="16">
                  <c:v>37700</c:v>
                </c:pt>
                <c:pt idx="17">
                  <c:v>0</c:v>
                </c:pt>
                <c:pt idx="18">
                  <c:v>0</c:v>
                </c:pt>
                <c:pt idx="19">
                  <c:v>59000</c:v>
                </c:pt>
                <c:pt idx="20">
                  <c:v>0</c:v>
                </c:pt>
                <c:pt idx="21">
                  <c:v>62100</c:v>
                </c:pt>
                <c:pt idx="22">
                  <c:v>78000</c:v>
                </c:pt>
                <c:pt idx="23">
                  <c:v>43200</c:v>
                </c:pt>
                <c:pt idx="24">
                  <c:v>44500</c:v>
                </c:pt>
                <c:pt idx="25">
                  <c:v>0</c:v>
                </c:pt>
                <c:pt idx="26">
                  <c:v>45400</c:v>
                </c:pt>
                <c:pt idx="27">
                  <c:v>53900</c:v>
                </c:pt>
                <c:pt idx="28">
                  <c:v>44100</c:v>
                </c:pt>
                <c:pt idx="29">
                  <c:v>0</c:v>
                </c:pt>
              </c:numCache>
            </c:numRef>
          </c:yVal>
        </c:ser>
        <c:ser>
          <c:idx val="1"/>
          <c:order val="1"/>
          <c:tx>
            <c:strRef>
              <c:f>'multiple regression (2)'!$R$4</c:f>
              <c:strCache>
                <c:ptCount val="1"/>
                <c:pt idx="0">
                  <c:v>Female</c:v>
                </c:pt>
              </c:strCache>
            </c:strRef>
          </c:tx>
          <c:spPr>
            <a:ln w="28575">
              <a:noFill/>
            </a:ln>
          </c:spPr>
          <c:marker>
            <c:symbol val="square"/>
            <c:size val="5"/>
            <c:spPr>
              <a:solidFill>
                <a:srgbClr val="FF00FF"/>
              </a:solidFill>
              <a:ln>
                <a:solidFill>
                  <a:srgbClr val="FF00FF"/>
                </a:solidFill>
                <a:prstDash val="solid"/>
              </a:ln>
            </c:spPr>
          </c:marker>
          <c:xVal>
            <c:numRef>
              <c:f>'multiple regression (2)'!$A$4:$A$33</c:f>
              <c:numCache>
                <c:formatCode>General</c:formatCode>
                <c:ptCount val="30"/>
                <c:pt idx="0">
                  <c:v>58</c:v>
                </c:pt>
                <c:pt idx="1">
                  <c:v>48</c:v>
                </c:pt>
                <c:pt idx="2">
                  <c:v>58</c:v>
                </c:pt>
                <c:pt idx="3">
                  <c:v>56</c:v>
                </c:pt>
                <c:pt idx="4">
                  <c:v>68</c:v>
                </c:pt>
                <c:pt idx="5">
                  <c:v>60</c:v>
                </c:pt>
                <c:pt idx="6">
                  <c:v>28</c:v>
                </c:pt>
                <c:pt idx="7">
                  <c:v>48</c:v>
                </c:pt>
                <c:pt idx="8">
                  <c:v>53</c:v>
                </c:pt>
                <c:pt idx="9">
                  <c:v>61</c:v>
                </c:pt>
                <c:pt idx="10">
                  <c:v>36</c:v>
                </c:pt>
                <c:pt idx="11">
                  <c:v>55</c:v>
                </c:pt>
                <c:pt idx="12">
                  <c:v>48</c:v>
                </c:pt>
                <c:pt idx="13">
                  <c:v>51</c:v>
                </c:pt>
                <c:pt idx="14">
                  <c:v>39</c:v>
                </c:pt>
                <c:pt idx="15">
                  <c:v>45</c:v>
                </c:pt>
                <c:pt idx="16">
                  <c:v>43</c:v>
                </c:pt>
                <c:pt idx="17">
                  <c:v>36</c:v>
                </c:pt>
                <c:pt idx="18">
                  <c:v>49</c:v>
                </c:pt>
                <c:pt idx="19">
                  <c:v>53</c:v>
                </c:pt>
                <c:pt idx="20">
                  <c:v>61</c:v>
                </c:pt>
                <c:pt idx="21">
                  <c:v>62</c:v>
                </c:pt>
                <c:pt idx="22">
                  <c:v>59</c:v>
                </c:pt>
                <c:pt idx="23">
                  <c:v>44</c:v>
                </c:pt>
                <c:pt idx="24">
                  <c:v>53</c:v>
                </c:pt>
                <c:pt idx="25">
                  <c:v>55</c:v>
                </c:pt>
                <c:pt idx="26">
                  <c:v>66</c:v>
                </c:pt>
                <c:pt idx="27">
                  <c:v>36</c:v>
                </c:pt>
                <c:pt idx="28">
                  <c:v>41</c:v>
                </c:pt>
                <c:pt idx="29">
                  <c:v>28</c:v>
                </c:pt>
              </c:numCache>
            </c:numRef>
          </c:xVal>
          <c:yVal>
            <c:numRef>
              <c:f>'multiple regression (2)'!$R$5:$R$34</c:f>
              <c:numCache>
                <c:formatCode>General</c:formatCode>
                <c:ptCount val="30"/>
                <c:pt idx="0">
                  <c:v>0</c:v>
                </c:pt>
                <c:pt idx="1">
                  <c:v>0</c:v>
                </c:pt>
                <c:pt idx="2">
                  <c:v>63200</c:v>
                </c:pt>
                <c:pt idx="3">
                  <c:v>0</c:v>
                </c:pt>
                <c:pt idx="4">
                  <c:v>0</c:v>
                </c:pt>
                <c:pt idx="5">
                  <c:v>46300</c:v>
                </c:pt>
                <c:pt idx="6">
                  <c:v>0</c:v>
                </c:pt>
                <c:pt idx="7">
                  <c:v>0</c:v>
                </c:pt>
                <c:pt idx="8">
                  <c:v>0</c:v>
                </c:pt>
                <c:pt idx="9">
                  <c:v>59900</c:v>
                </c:pt>
                <c:pt idx="10">
                  <c:v>48100</c:v>
                </c:pt>
                <c:pt idx="11">
                  <c:v>0</c:v>
                </c:pt>
                <c:pt idx="12">
                  <c:v>56000</c:v>
                </c:pt>
                <c:pt idx="13">
                  <c:v>53400</c:v>
                </c:pt>
                <c:pt idx="14">
                  <c:v>39000</c:v>
                </c:pt>
                <c:pt idx="15">
                  <c:v>0</c:v>
                </c:pt>
                <c:pt idx="16">
                  <c:v>0</c:v>
                </c:pt>
                <c:pt idx="17">
                  <c:v>36700</c:v>
                </c:pt>
                <c:pt idx="18">
                  <c:v>45200</c:v>
                </c:pt>
                <c:pt idx="19">
                  <c:v>0</c:v>
                </c:pt>
                <c:pt idx="20">
                  <c:v>54300</c:v>
                </c:pt>
                <c:pt idx="21">
                  <c:v>0</c:v>
                </c:pt>
                <c:pt idx="22">
                  <c:v>0</c:v>
                </c:pt>
                <c:pt idx="23">
                  <c:v>0</c:v>
                </c:pt>
                <c:pt idx="24">
                  <c:v>0</c:v>
                </c:pt>
                <c:pt idx="25">
                  <c:v>43300</c:v>
                </c:pt>
                <c:pt idx="26">
                  <c:v>0</c:v>
                </c:pt>
                <c:pt idx="27">
                  <c:v>0</c:v>
                </c:pt>
                <c:pt idx="28">
                  <c:v>0</c:v>
                </c:pt>
                <c:pt idx="29">
                  <c:v>31000</c:v>
                </c:pt>
              </c:numCache>
            </c:numRef>
          </c:yVal>
        </c:ser>
        <c:axId val="164902400"/>
        <c:axId val="164917248"/>
      </c:scatterChart>
      <c:valAx>
        <c:axId val="164902400"/>
        <c:scaling>
          <c:orientation val="minMax"/>
          <c:max val="70"/>
          <c:min val="25"/>
        </c:scaling>
        <c:axPos val="b"/>
        <c:title>
          <c:tx>
            <c:rich>
              <a:bodyPr/>
              <a:lstStyle/>
              <a:p>
                <a:pPr>
                  <a:defRPr sz="950" b="0" i="0" u="none" strike="noStrike" baseline="0">
                    <a:solidFill>
                      <a:srgbClr val="000000"/>
                    </a:solidFill>
                    <a:latin typeface="Arial"/>
                    <a:ea typeface="Arial"/>
                    <a:cs typeface="Arial"/>
                  </a:defRPr>
                </a:pPr>
                <a:r>
                  <a:rPr lang="en-US"/>
                  <a:t>age (x)</a:t>
                </a:r>
              </a:p>
            </c:rich>
          </c:tx>
          <c:layout>
            <c:manualLayout>
              <c:xMode val="edge"/>
              <c:yMode val="edge"/>
              <c:x val="0.5012285012285016"/>
              <c:y val="0.88927480950694249"/>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917248"/>
        <c:crosses val="autoZero"/>
        <c:crossBetween val="midCat"/>
        <c:majorUnit val="5"/>
      </c:valAx>
      <c:valAx>
        <c:axId val="164917248"/>
        <c:scaling>
          <c:orientation val="minMax"/>
          <c:max val="90000"/>
          <c:min val="30000"/>
        </c:scaling>
        <c:axPos val="l"/>
        <c:majorGridlines>
          <c:spPr>
            <a:ln w="3175">
              <a:solidFill>
                <a:srgbClr val="000000"/>
              </a:solidFill>
              <a:prstDash val="solid"/>
            </a:ln>
          </c:spPr>
        </c:majorGridlines>
        <c:title>
          <c:tx>
            <c:rich>
              <a:bodyPr/>
              <a:lstStyle/>
              <a:p>
                <a:pPr>
                  <a:defRPr sz="950" b="0" i="0" u="none" strike="noStrike" baseline="0">
                    <a:solidFill>
                      <a:srgbClr val="000000"/>
                    </a:solidFill>
                    <a:latin typeface="Arial"/>
                    <a:ea typeface="Arial"/>
                    <a:cs typeface="Arial"/>
                  </a:defRPr>
                </a:pPr>
                <a:r>
                  <a:rPr lang="en-US"/>
                  <a:t>salary (y)</a:t>
                </a:r>
              </a:p>
            </c:rich>
          </c:tx>
          <c:layout>
            <c:manualLayout>
              <c:xMode val="edge"/>
              <c:yMode val="edge"/>
              <c:x val="3.6855036855036855E-2"/>
              <c:y val="0.33910107257354088"/>
            </c:manualLayout>
          </c:layout>
          <c:spPr>
            <a:noFill/>
            <a:ln w="25400">
              <a:noFill/>
            </a:ln>
          </c:spPr>
        </c:title>
        <c:numFmt formatCode="0" sourceLinked="0"/>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4902400"/>
        <c:crosses val="autoZero"/>
        <c:crossBetween val="midCat"/>
      </c:valAx>
      <c:spPr>
        <a:noFill/>
        <a:ln w="12700">
          <a:solidFill>
            <a:srgbClr val="808080"/>
          </a:solidFill>
          <a:prstDash val="solid"/>
        </a:ln>
      </c:spPr>
    </c:plotArea>
    <c:legend>
      <c:legendPos val="r"/>
      <c:layout>
        <c:manualLayout>
          <c:xMode val="edge"/>
          <c:yMode val="edge"/>
          <c:x val="0.25552825552825581"/>
          <c:y val="0.13494846016220355"/>
          <c:w val="0.15479115479115527"/>
          <c:h val="0.14878929061202933"/>
        </c:manualLayout>
      </c:layout>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6.6666833600845382E-2"/>
          <c:y val="8.3056613139491559E-2"/>
          <c:w val="0.8358995289952148"/>
          <c:h val="0.77740989898563861"/>
        </c:manualLayout>
      </c:layout>
      <c:scatterChart>
        <c:scatterStyle val="smoothMarker"/>
        <c:ser>
          <c:idx val="0"/>
          <c:order val="0"/>
          <c:tx>
            <c:strRef>
              <c:f>NEWDEC!$I$36</c:f>
              <c:strCache>
                <c:ptCount val="1"/>
                <c:pt idx="0">
                  <c:v>utility</c:v>
                </c:pt>
              </c:strCache>
            </c:strRef>
          </c:tx>
          <c:spPr>
            <a:ln w="12700">
              <a:solidFill>
                <a:srgbClr val="000080"/>
              </a:solidFill>
              <a:prstDash val="solid"/>
            </a:ln>
          </c:spPr>
          <c:marker>
            <c:symbol val="none"/>
          </c:marker>
          <c:xVal>
            <c:numRef>
              <c:f>NEWDEC!$H$37:$H$69</c:f>
              <c:numCache>
                <c:formatCode>General</c:formatCode>
                <c:ptCount val="33"/>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numCache>
            </c:numRef>
          </c:xVal>
          <c:yVal>
            <c:numRef>
              <c:f>NEWDEC!$I$37:$I$69</c:f>
              <c:numCache>
                <c:formatCode>0.00</c:formatCode>
                <c:ptCount val="33"/>
                <c:pt idx="0">
                  <c:v>0</c:v>
                </c:pt>
                <c:pt idx="1">
                  <c:v>5.9594618365692291E-2</c:v>
                </c:pt>
                <c:pt idx="2">
                  <c:v>0.11508935651096078</c:v>
                </c:pt>
                <c:pt idx="3">
                  <c:v>0.16701254233980919</c:v>
                </c:pt>
                <c:pt idx="4">
                  <c:v>0.21579622835252826</c:v>
                </c:pt>
                <c:pt idx="5">
                  <c:v>0.26179852012316396</c:v>
                </c:pt>
                <c:pt idx="6">
                  <c:v>0.30531954433959413</c:v>
                </c:pt>
                <c:pt idx="7">
                  <c:v>0.34661332656195604</c:v>
                </c:pt>
                <c:pt idx="8">
                  <c:v>0.38589677495318081</c:v>
                </c:pt>
                <c:pt idx="9">
                  <c:v>0.42335657696772783</c:v>
                </c:pt>
                <c:pt idx="10">
                  <c:v>0.45915456507434677</c:v>
                </c:pt>
                <c:pt idx="11">
                  <c:v>0.49343194205787244</c:v>
                </c:pt>
                <c:pt idx="12">
                  <c:v>0.52631264493850705</c:v>
                </c:pt>
                <c:pt idx="13">
                  <c:v>0.55790605000394555</c:v>
                </c:pt>
                <c:pt idx="14">
                  <c:v>0.58830916800051269</c:v>
                </c:pt>
                <c:pt idx="15">
                  <c:v>0.61760844061959741</c:v>
                </c:pt>
                <c:pt idx="16">
                  <c:v>0.64588122214034427</c:v>
                </c:pt>
                <c:pt idx="17">
                  <c:v>0.67319701020607059</c:v>
                </c:pt>
                <c:pt idx="18">
                  <c:v>0.69961847504020214</c:v>
                </c:pt>
                <c:pt idx="19">
                  <c:v>0.72520232545942431</c:v>
                </c:pt>
                <c:pt idx="20">
                  <c:v>0.75</c:v>
                </c:pt>
                <c:pt idx="21">
                  <c:v>0.77405849948167771</c:v>
                </c:pt>
                <c:pt idx="22">
                  <c:v>0.79742050247747287</c:v>
                </c:pt>
                <c:pt idx="23">
                  <c:v>0.82012524147118793</c:v>
                </c:pt>
                <c:pt idx="24">
                  <c:v>0.84220868949401839</c:v>
                </c:pt>
                <c:pt idx="25">
                  <c:v>0.86370394478753443</c:v>
                </c:pt>
                <c:pt idx="26">
                  <c:v>0.88464152919122119</c:v>
                </c:pt>
                <c:pt idx="27">
                  <c:v>0.90504964879342509</c:v>
                </c:pt>
                <c:pt idx="28">
                  <c:v>0.92495442243167547</c:v>
                </c:pt>
                <c:pt idx="29">
                  <c:v>0.94438008268687046</c:v>
                </c:pt>
                <c:pt idx="30">
                  <c:v>0.96334915325142834</c:v>
                </c:pt>
                <c:pt idx="31">
                  <c:v>0.98188260592755872</c:v>
                </c:pt>
                <c:pt idx="32">
                  <c:v>1</c:v>
                </c:pt>
              </c:numCache>
            </c:numRef>
          </c:yVal>
          <c:smooth val="1"/>
        </c:ser>
        <c:axId val="166289792"/>
        <c:axId val="166291328"/>
      </c:scatterChart>
      <c:valAx>
        <c:axId val="166289792"/>
        <c:scaling>
          <c:orientation val="minMax"/>
          <c:max val="120"/>
          <c:min val="-40"/>
        </c:scaling>
        <c:axPos val="b"/>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66291328"/>
        <c:crosses val="autoZero"/>
        <c:crossBetween val="midCat"/>
        <c:majorUnit val="20"/>
      </c:valAx>
      <c:valAx>
        <c:axId val="166291328"/>
        <c:scaling>
          <c:orientation val="minMax"/>
          <c:max val="1"/>
          <c:min val="0"/>
        </c:scaling>
        <c:axPos val="l"/>
        <c:majorGridlines>
          <c:spPr>
            <a:ln w="3175">
              <a:solidFill>
                <a:srgbClr val="000000"/>
              </a:solidFill>
              <a:prstDash val="solid"/>
            </a:ln>
          </c:spPr>
        </c:majorGridlines>
        <c:numFmt formatCode="0.00"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66289792"/>
        <c:crosses val="autoZero"/>
        <c:crossBetween val="midCat"/>
        <c:majorUnit val="0.25"/>
      </c:valAx>
      <c:spPr>
        <a:solidFill>
          <a:srgbClr val="C0C0C0"/>
        </a:solidFill>
        <a:ln w="12700">
          <a:solidFill>
            <a:srgbClr val="808080"/>
          </a:solidFill>
          <a:prstDash val="solid"/>
        </a:ln>
      </c:spPr>
    </c:plotArea>
    <c:legend>
      <c:legendPos val="r"/>
      <c:layout>
        <c:manualLayout>
          <c:xMode val="edge"/>
          <c:yMode val="edge"/>
          <c:wMode val="edge"/>
          <c:hMode val="edge"/>
          <c:x val="0.63589905108015499"/>
          <c:y val="0.44518342183971188"/>
          <c:w val="0.80513035870516159"/>
          <c:h val="0.51495086370017695"/>
        </c:manualLayout>
      </c:layout>
      <c:spPr>
        <a:solidFill>
          <a:srgbClr val="FFFFFF"/>
        </a:solidFill>
        <a:ln w="3175">
          <a:solidFill>
            <a:srgbClr val="000000"/>
          </a:solidFill>
          <a:prstDash val="solid"/>
        </a:ln>
      </c:spPr>
      <c:txPr>
        <a:bodyPr/>
        <a:lstStyle/>
        <a:p>
          <a:pPr>
            <a:defRPr sz="75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49212598450000045" footer="0.49212598450000045"/>
    <c:pageSetup paperSize="9"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9.5435684647302899E-2"/>
          <c:y val="7.3529517362013672E-2"/>
          <c:w val="0.7323651452282155"/>
          <c:h val="0.68823628250844804"/>
        </c:manualLayout>
      </c:layout>
      <c:barChart>
        <c:barDir val="col"/>
        <c:grouping val="clustered"/>
        <c:ser>
          <c:idx val="1"/>
          <c:order val="0"/>
          <c:tx>
            <c:v>wealth</c:v>
          </c:tx>
          <c:spPr>
            <a:solidFill>
              <a:srgbClr val="993366"/>
            </a:solidFill>
            <a:ln w="12700">
              <a:solidFill>
                <a:srgbClr val="000000"/>
              </a:solidFill>
              <a:prstDash val="solid"/>
            </a:ln>
          </c:spPr>
          <c:cat>
            <c:numRef>
              <c:f>'expected utility'!$A$118:$A$143</c:f>
              <c:numCache>
                <c:formatCode>General</c:formatCode>
                <c:ptCount val="26"/>
                <c:pt idx="0">
                  <c:v>0.7</c:v>
                </c:pt>
                <c:pt idx="1">
                  <c:v>0.72499999999999998</c:v>
                </c:pt>
                <c:pt idx="2">
                  <c:v>0.75</c:v>
                </c:pt>
                <c:pt idx="3">
                  <c:v>0.77500000000000002</c:v>
                </c:pt>
                <c:pt idx="4">
                  <c:v>0.8</c:v>
                </c:pt>
                <c:pt idx="5">
                  <c:v>0.82499999999999996</c:v>
                </c:pt>
                <c:pt idx="6">
                  <c:v>0.85</c:v>
                </c:pt>
                <c:pt idx="7">
                  <c:v>0.875</c:v>
                </c:pt>
                <c:pt idx="8">
                  <c:v>0.9</c:v>
                </c:pt>
                <c:pt idx="9">
                  <c:v>0.92500000000000004</c:v>
                </c:pt>
                <c:pt idx="10">
                  <c:v>0.95</c:v>
                </c:pt>
                <c:pt idx="11">
                  <c:v>0.97499999999999998</c:v>
                </c:pt>
                <c:pt idx="12">
                  <c:v>1</c:v>
                </c:pt>
                <c:pt idx="13">
                  <c:v>1.0249999999999999</c:v>
                </c:pt>
                <c:pt idx="14">
                  <c:v>1.05</c:v>
                </c:pt>
                <c:pt idx="15">
                  <c:v>1.075</c:v>
                </c:pt>
                <c:pt idx="16">
                  <c:v>1.1000000000000001</c:v>
                </c:pt>
                <c:pt idx="17">
                  <c:v>1.125</c:v>
                </c:pt>
                <c:pt idx="18">
                  <c:v>1.1499999999999999</c:v>
                </c:pt>
                <c:pt idx="19">
                  <c:v>1.175</c:v>
                </c:pt>
                <c:pt idx="20">
                  <c:v>1.2</c:v>
                </c:pt>
                <c:pt idx="21">
                  <c:v>1.2250000000000001</c:v>
                </c:pt>
                <c:pt idx="22">
                  <c:v>1.25</c:v>
                </c:pt>
                <c:pt idx="23">
                  <c:v>1.2749999999999999</c:v>
                </c:pt>
                <c:pt idx="24">
                  <c:v>1.3</c:v>
                </c:pt>
              </c:numCache>
            </c:numRef>
          </c:cat>
          <c:val>
            <c:numRef>
              <c:f>'expected utility'!$C$118:$C$143</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0.04</c:v>
                </c:pt>
                <c:pt idx="12">
                  <c:v>0.15</c:v>
                </c:pt>
                <c:pt idx="13">
                  <c:v>0.3</c:v>
                </c:pt>
                <c:pt idx="14">
                  <c:v>0.25</c:v>
                </c:pt>
                <c:pt idx="15">
                  <c:v>0.18</c:v>
                </c:pt>
                <c:pt idx="16">
                  <c:v>0.08</c:v>
                </c:pt>
                <c:pt idx="17">
                  <c:v>0</c:v>
                </c:pt>
                <c:pt idx="18">
                  <c:v>0</c:v>
                </c:pt>
                <c:pt idx="19">
                  <c:v>0</c:v>
                </c:pt>
                <c:pt idx="20">
                  <c:v>0</c:v>
                </c:pt>
                <c:pt idx="21">
                  <c:v>0</c:v>
                </c:pt>
                <c:pt idx="22">
                  <c:v>0</c:v>
                </c:pt>
                <c:pt idx="23">
                  <c:v>0</c:v>
                </c:pt>
                <c:pt idx="24">
                  <c:v>0</c:v>
                </c:pt>
                <c:pt idx="25">
                  <c:v>0</c:v>
                </c:pt>
              </c:numCache>
            </c:numRef>
          </c:val>
        </c:ser>
        <c:axId val="166743424"/>
        <c:axId val="166754176"/>
      </c:barChart>
      <c:lineChart>
        <c:grouping val="standard"/>
        <c:ser>
          <c:idx val="0"/>
          <c:order val="1"/>
          <c:tx>
            <c:v>utility function</c:v>
          </c:tx>
          <c:spPr>
            <a:ln w="12700">
              <a:solidFill>
                <a:srgbClr val="000080"/>
              </a:solidFill>
              <a:prstDash val="solid"/>
            </a:ln>
          </c:spPr>
          <c:marker>
            <c:symbol val="diamond"/>
            <c:size val="5"/>
            <c:spPr>
              <a:solidFill>
                <a:srgbClr val="000080"/>
              </a:solidFill>
              <a:ln>
                <a:solidFill>
                  <a:srgbClr val="000080"/>
                </a:solidFill>
                <a:prstDash val="solid"/>
              </a:ln>
            </c:spPr>
          </c:marker>
          <c:cat>
            <c:numRef>
              <c:f>'expected utility'!$A$118:$A$142</c:f>
              <c:numCache>
                <c:formatCode>General</c:formatCode>
                <c:ptCount val="25"/>
                <c:pt idx="0">
                  <c:v>0.7</c:v>
                </c:pt>
                <c:pt idx="1">
                  <c:v>0.72499999999999998</c:v>
                </c:pt>
                <c:pt idx="2">
                  <c:v>0.75</c:v>
                </c:pt>
                <c:pt idx="3">
                  <c:v>0.77500000000000002</c:v>
                </c:pt>
                <c:pt idx="4">
                  <c:v>0.8</c:v>
                </c:pt>
                <c:pt idx="5">
                  <c:v>0.82499999999999996</c:v>
                </c:pt>
                <c:pt idx="6">
                  <c:v>0.85</c:v>
                </c:pt>
                <c:pt idx="7">
                  <c:v>0.875</c:v>
                </c:pt>
                <c:pt idx="8">
                  <c:v>0.9</c:v>
                </c:pt>
                <c:pt idx="9">
                  <c:v>0.92500000000000004</c:v>
                </c:pt>
                <c:pt idx="10">
                  <c:v>0.95</c:v>
                </c:pt>
                <c:pt idx="11">
                  <c:v>0.97499999999999998</c:v>
                </c:pt>
                <c:pt idx="12">
                  <c:v>1</c:v>
                </c:pt>
                <c:pt idx="13">
                  <c:v>1.0249999999999999</c:v>
                </c:pt>
                <c:pt idx="14">
                  <c:v>1.05</c:v>
                </c:pt>
                <c:pt idx="15">
                  <c:v>1.075</c:v>
                </c:pt>
                <c:pt idx="16">
                  <c:v>1.1000000000000001</c:v>
                </c:pt>
                <c:pt idx="17">
                  <c:v>1.125</c:v>
                </c:pt>
                <c:pt idx="18">
                  <c:v>1.1499999999999999</c:v>
                </c:pt>
                <c:pt idx="19">
                  <c:v>1.175</c:v>
                </c:pt>
                <c:pt idx="20">
                  <c:v>1.2</c:v>
                </c:pt>
                <c:pt idx="21">
                  <c:v>1.2250000000000001</c:v>
                </c:pt>
                <c:pt idx="22">
                  <c:v>1.25</c:v>
                </c:pt>
                <c:pt idx="23">
                  <c:v>1.2749999999999999</c:v>
                </c:pt>
                <c:pt idx="24">
                  <c:v>1.3</c:v>
                </c:pt>
              </c:numCache>
            </c:numRef>
          </c:cat>
          <c:val>
            <c:numRef>
              <c:f>'expected utility'!$D$118:$D$142</c:f>
              <c:numCache>
                <c:formatCode>General</c:formatCode>
                <c:ptCount val="25"/>
                <c:pt idx="0">
                  <c:v>-3.697863716482932E-3</c:v>
                </c:pt>
                <c:pt idx="1">
                  <c:v>-3.0275547453758153E-3</c:v>
                </c:pt>
                <c:pt idx="2">
                  <c:v>-2.4787521766663585E-3</c:v>
                </c:pt>
                <c:pt idx="3">
                  <c:v>-2.029430636295734E-3</c:v>
                </c:pt>
                <c:pt idx="4">
                  <c:v>-1.6615572731739339E-3</c:v>
                </c:pt>
                <c:pt idx="5">
                  <c:v>-1.3603680375478939E-3</c:v>
                </c:pt>
                <c:pt idx="6">
                  <c:v>-1.1137751478448032E-3</c:v>
                </c:pt>
                <c:pt idx="7">
                  <c:v>-9.1188196555451624E-4</c:v>
                </c:pt>
                <c:pt idx="8">
                  <c:v>-7.465858083766792E-4</c:v>
                </c:pt>
                <c:pt idx="9">
                  <c:v>-6.112527611295723E-4</c:v>
                </c:pt>
                <c:pt idx="10">
                  <c:v>-5.0045143344061083E-4</c:v>
                </c:pt>
                <c:pt idx="11">
                  <c:v>-4.0973497897978681E-4</c:v>
                </c:pt>
                <c:pt idx="12">
                  <c:v>-3.3546262790251185E-4</c:v>
                </c:pt>
                <c:pt idx="13">
                  <c:v>-2.7465356997214254E-4</c:v>
                </c:pt>
                <c:pt idx="14">
                  <c:v>-2.2486732417884819E-4</c:v>
                </c:pt>
                <c:pt idx="15">
                  <c:v>-1.8410579366757919E-4</c:v>
                </c:pt>
                <c:pt idx="16">
                  <c:v>-1.507330750954765E-4</c:v>
                </c:pt>
                <c:pt idx="17">
                  <c:v>-1.2340980408667956E-4</c:v>
                </c:pt>
                <c:pt idx="18">
                  <c:v>-1.0103940183709342E-4</c:v>
                </c:pt>
                <c:pt idx="19">
                  <c:v>-8.2724065556632228E-5</c:v>
                </c:pt>
                <c:pt idx="20">
                  <c:v>-6.7728736490853898E-5</c:v>
                </c:pt>
                <c:pt idx="21">
                  <c:v>-5.5451599432176945E-5</c:v>
                </c:pt>
                <c:pt idx="22">
                  <c:v>-4.5399929762484854E-5</c:v>
                </c:pt>
                <c:pt idx="23">
                  <c:v>-3.7170318684126734E-5</c:v>
                </c:pt>
                <c:pt idx="24">
                  <c:v>-3.0432483008403625E-5</c:v>
                </c:pt>
              </c:numCache>
            </c:numRef>
          </c:val>
        </c:ser>
        <c:marker val="1"/>
        <c:axId val="166755712"/>
        <c:axId val="166773888"/>
      </c:lineChart>
      <c:catAx>
        <c:axId val="166743424"/>
        <c:scaling>
          <c:orientation val="minMax"/>
        </c:scaling>
        <c:axPos val="b"/>
        <c:title>
          <c:tx>
            <c:rich>
              <a:bodyPr/>
              <a:lstStyle/>
              <a:p>
                <a:pPr>
                  <a:defRPr sz="1000" b="0" i="0" u="none" strike="noStrike" baseline="0">
                    <a:solidFill>
                      <a:srgbClr val="000000"/>
                    </a:solidFill>
                    <a:latin typeface="Arial"/>
                    <a:ea typeface="Arial"/>
                    <a:cs typeface="Arial"/>
                  </a:defRPr>
                </a:pPr>
                <a:r>
                  <a:rPr lang="en-US"/>
                  <a:t>wealth</a:t>
                </a:r>
              </a:p>
            </c:rich>
          </c:tx>
          <c:layout>
            <c:manualLayout>
              <c:xMode val="edge"/>
              <c:yMode val="edge"/>
              <c:x val="0.41908713692946126"/>
              <c:y val="0.8911777057279584"/>
            </c:manualLayout>
          </c:layout>
          <c:spPr>
            <a:noFill/>
            <a:ln w="25400">
              <a:noFill/>
            </a:ln>
          </c:spPr>
        </c:title>
        <c:numFmt formatCode="General" sourceLinked="1"/>
        <c:majorTickMark val="cross"/>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66754176"/>
        <c:crosses val="autoZero"/>
        <c:lblAlgn val="ctr"/>
        <c:lblOffset val="100"/>
        <c:tickLblSkip val="2"/>
        <c:tickMarkSkip val="1"/>
      </c:catAx>
      <c:valAx>
        <c:axId val="166754176"/>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6743424"/>
        <c:crosses val="autoZero"/>
        <c:crossBetween val="between"/>
      </c:valAx>
      <c:catAx>
        <c:axId val="166755712"/>
        <c:scaling>
          <c:orientation val="minMax"/>
        </c:scaling>
        <c:delete val="1"/>
        <c:axPos val="b"/>
        <c:numFmt formatCode="General" sourceLinked="1"/>
        <c:tickLblPos val="none"/>
        <c:crossAx val="166773888"/>
        <c:crosses val="autoZero"/>
        <c:lblAlgn val="ctr"/>
        <c:lblOffset val="100"/>
      </c:catAx>
      <c:valAx>
        <c:axId val="166773888"/>
        <c:scaling>
          <c:orientation val="minMax"/>
        </c:scaling>
        <c:axPos val="r"/>
        <c:numFmt formatCode="General" sourceLinked="1"/>
        <c:majorTickMark val="cross"/>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6755712"/>
        <c:crosses val="max"/>
        <c:crossBetween val="between"/>
      </c:valAx>
      <c:spPr>
        <a:solidFill>
          <a:srgbClr val="C0C0C0"/>
        </a:solidFill>
        <a:ln w="12700">
          <a:solidFill>
            <a:srgbClr val="808080"/>
          </a:solidFill>
          <a:prstDash val="solid"/>
        </a:ln>
      </c:spPr>
    </c:plotArea>
    <c:legend>
      <c:legendPos val="r"/>
      <c:layout>
        <c:manualLayout>
          <c:xMode val="edge"/>
          <c:yMode val="edge"/>
          <c:x val="0.1016597510373444"/>
          <c:y val="8.2352941176470726E-2"/>
          <c:w val="0.2468879668049794"/>
          <c:h val="0.12647089702022551"/>
        </c:manualLayout>
      </c:layout>
      <c:spPr>
        <a:solidFill>
          <a:srgbClr val="FFFFFF"/>
        </a:solidFill>
        <a:ln w="3175">
          <a:solidFill>
            <a:srgbClr val="000000"/>
          </a:solidFill>
          <a:prstDash val="solid"/>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99999956" l="0.78740157499999996" r="0.78740157499999996" t="0.98425196899999956" header="0.5" footer="0.5"/>
    <c:pageSetup paperSize="9"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4622658348985609"/>
          <c:y val="8.5324232081911269E-2"/>
          <c:w val="0.79245374278373559"/>
          <c:h val="0.74402730375426618"/>
        </c:manualLayout>
      </c:layout>
      <c:scatterChart>
        <c:scatterStyle val="lineMarker"/>
        <c:ser>
          <c:idx val="0"/>
          <c:order val="0"/>
          <c:spPr>
            <a:ln w="28575">
              <a:noFill/>
            </a:ln>
          </c:spPr>
          <c:marker>
            <c:symbol val="diamond"/>
            <c:size val="5"/>
            <c:spPr>
              <a:solidFill>
                <a:srgbClr val="000080"/>
              </a:solidFill>
              <a:ln>
                <a:solidFill>
                  <a:srgbClr val="000080"/>
                </a:solidFill>
                <a:prstDash val="solid"/>
              </a:ln>
            </c:spPr>
          </c:marker>
          <c:xVal>
            <c:numRef>
              <c:f>'expected utility'!$G$3:$G$8</c:f>
              <c:numCache>
                <c:formatCode>General</c:formatCode>
                <c:ptCount val="6"/>
                <c:pt idx="0">
                  <c:v>0</c:v>
                </c:pt>
                <c:pt idx="1">
                  <c:v>4.0000000000000008E-2</c:v>
                </c:pt>
                <c:pt idx="2">
                  <c:v>8.0000000000000016E-2</c:v>
                </c:pt>
                <c:pt idx="3">
                  <c:v>0.12</c:v>
                </c:pt>
                <c:pt idx="4">
                  <c:v>0.16000000000000003</c:v>
                </c:pt>
                <c:pt idx="5">
                  <c:v>0.2</c:v>
                </c:pt>
              </c:numCache>
            </c:numRef>
          </c:xVal>
          <c:yVal>
            <c:numRef>
              <c:f>'expected utility'!$F$3:$F$8</c:f>
              <c:numCache>
                <c:formatCode>General</c:formatCode>
                <c:ptCount val="6"/>
                <c:pt idx="0">
                  <c:v>0.02</c:v>
                </c:pt>
                <c:pt idx="1">
                  <c:v>3.0000000000000002E-2</c:v>
                </c:pt>
                <c:pt idx="2">
                  <c:v>4.0000000000000008E-2</c:v>
                </c:pt>
                <c:pt idx="3">
                  <c:v>0.05</c:v>
                </c:pt>
                <c:pt idx="4">
                  <c:v>6.0000000000000005E-2</c:v>
                </c:pt>
                <c:pt idx="5">
                  <c:v>7.0000000000000007E-2</c:v>
                </c:pt>
              </c:numCache>
            </c:numRef>
          </c:yVal>
        </c:ser>
        <c:axId val="166813696"/>
        <c:axId val="166816000"/>
      </c:scatterChart>
      <c:valAx>
        <c:axId val="166813696"/>
        <c:scaling>
          <c:orientation val="minMax"/>
          <c:max val="0.2"/>
        </c:scaling>
        <c:axPos val="b"/>
        <c:title>
          <c:tx>
            <c:rich>
              <a:bodyPr/>
              <a:lstStyle/>
              <a:p>
                <a:pPr>
                  <a:defRPr sz="1000" b="0" i="0" u="none" strike="noStrike" baseline="0">
                    <a:solidFill>
                      <a:srgbClr val="000000"/>
                    </a:solidFill>
                    <a:latin typeface="Symbol"/>
                    <a:ea typeface="Symbol"/>
                    <a:cs typeface="Symbol"/>
                  </a:defRPr>
                </a:pPr>
                <a:r>
                  <a:rPr lang="en-US"/>
                  <a:t>s</a:t>
                </a:r>
              </a:p>
            </c:rich>
          </c:tx>
          <c:layout>
            <c:manualLayout>
              <c:xMode val="edge"/>
              <c:yMode val="edge"/>
              <c:x val="0.53066087257960792"/>
              <c:y val="0.9078498293515368"/>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6816000"/>
        <c:crosses val="autoZero"/>
        <c:crossBetween val="midCat"/>
      </c:valAx>
      <c:valAx>
        <c:axId val="166816000"/>
        <c:scaling>
          <c:orientation val="minMax"/>
        </c:scaling>
        <c:axPos val="l"/>
        <c:majorGridlines>
          <c:spPr>
            <a:ln w="3175">
              <a:solidFill>
                <a:srgbClr val="000000"/>
              </a:solidFill>
              <a:prstDash val="solid"/>
            </a:ln>
          </c:spPr>
        </c:majorGridlines>
        <c:title>
          <c:tx>
            <c:rich>
              <a:bodyPr/>
              <a:lstStyle/>
              <a:p>
                <a:pPr>
                  <a:defRPr sz="800" b="0" i="0" u="none" strike="noStrike" baseline="0">
                    <a:solidFill>
                      <a:srgbClr val="000000"/>
                    </a:solidFill>
                    <a:latin typeface="Symbol"/>
                    <a:ea typeface="Symbol"/>
                    <a:cs typeface="Symbol"/>
                  </a:defRPr>
                </a:pPr>
                <a:r>
                  <a:rPr lang="en-US"/>
                  <a:t>m</a:t>
                </a:r>
              </a:p>
            </c:rich>
          </c:tx>
          <c:layout>
            <c:manualLayout>
              <c:xMode val="edge"/>
              <c:yMode val="edge"/>
              <c:x val="3.0660377358490611E-2"/>
              <c:y val="0.44027303754266212"/>
            </c:manualLayout>
          </c:layout>
          <c:spPr>
            <a:noFill/>
            <a:ln w="25400">
              <a:noFill/>
            </a:ln>
          </c:spPr>
        </c:title>
        <c:numFmt formatCode="General" sourceLinked="1"/>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6813696"/>
        <c:crosses val="autoZero"/>
        <c:crossBetween val="midCat"/>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0.98425196899999956" l="0.78740157499999996" r="0.78740157499999996" t="0.98425196899999956"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152400</xdr:rowOff>
    </xdr:from>
    <xdr:to>
      <xdr:col>0</xdr:col>
      <xdr:colOff>0</xdr:colOff>
      <xdr:row>19</xdr:row>
      <xdr:rowOff>0</xdr:rowOff>
    </xdr:to>
    <xdr:sp macro="" textlink="">
      <xdr:nvSpPr>
        <xdr:cNvPr id="1025" name="Text 1"/>
        <xdr:cNvSpPr txBox="1">
          <a:spLocks noChangeArrowheads="1"/>
        </xdr:cNvSpPr>
      </xdr:nvSpPr>
      <xdr:spPr bwMode="auto">
        <a:xfrm flipV="1">
          <a:off x="0" y="2600325"/>
          <a:ext cx="0" cy="495300"/>
        </a:xfrm>
        <a:prstGeom prst="rect">
          <a:avLst/>
        </a:prstGeom>
        <a:solidFill>
          <a:srgbClr val="FFCC99"/>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Range names</a:t>
          </a:r>
        </a:p>
        <a:p>
          <a:pPr algn="l" rtl="0">
            <a:defRPr sz="1000"/>
          </a:pPr>
          <a:r>
            <a:rPr lang="en-US" sz="1000" b="0" i="0" u="none" strike="noStrike" baseline="0">
              <a:solidFill>
                <a:srgbClr val="000000"/>
              </a:solidFill>
              <a:latin typeface="Arial"/>
              <a:cs typeface="Arial"/>
            </a:rPr>
            <a:t>Supplier1: A4:A14</a:t>
          </a:r>
        </a:p>
        <a:p>
          <a:pPr algn="l" rtl="0">
            <a:defRPr sz="1000"/>
          </a:pPr>
          <a:r>
            <a:rPr lang="en-US" sz="1000" b="0" i="0" u="none" strike="noStrike" baseline="0">
              <a:solidFill>
                <a:srgbClr val="000000"/>
              </a:solidFill>
              <a:latin typeface="Arial"/>
              <a:cs typeface="Arial"/>
            </a:rPr>
            <a:t>Supplier2: B4:B14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142875</xdr:colOff>
      <xdr:row>3</xdr:row>
      <xdr:rowOff>9525</xdr:rowOff>
    </xdr:from>
    <xdr:to>
      <xdr:col>16</xdr:col>
      <xdr:colOff>238125</xdr:colOff>
      <xdr:row>22</xdr:row>
      <xdr:rowOff>95250</xdr:rowOff>
    </xdr:to>
    <xdr:graphicFrame macro="">
      <xdr:nvGraphicFramePr>
        <xdr:cNvPr id="204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152400</xdr:colOff>
      <xdr:row>35</xdr:row>
      <xdr:rowOff>9525</xdr:rowOff>
    </xdr:from>
    <xdr:to>
      <xdr:col>17</xdr:col>
      <xdr:colOff>257175</xdr:colOff>
      <xdr:row>55</xdr:row>
      <xdr:rowOff>133350</xdr:rowOff>
    </xdr:to>
    <xdr:graphicFrame macro="">
      <xdr:nvGraphicFramePr>
        <xdr:cNvPr id="204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114300</xdr:colOff>
      <xdr:row>0</xdr:row>
      <xdr:rowOff>57150</xdr:rowOff>
    </xdr:from>
    <xdr:to>
      <xdr:col>11</xdr:col>
      <xdr:colOff>552450</xdr:colOff>
      <xdr:row>21</xdr:row>
      <xdr:rowOff>0</xdr:rowOff>
    </xdr:to>
    <xdr:graphicFrame macro="">
      <xdr:nvGraphicFramePr>
        <xdr:cNvPr id="1946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19</xdr:row>
      <xdr:rowOff>142875</xdr:rowOff>
    </xdr:from>
    <xdr:to>
      <xdr:col>12</xdr:col>
      <xdr:colOff>152400</xdr:colOff>
      <xdr:row>36</xdr:row>
      <xdr:rowOff>123825</xdr:rowOff>
    </xdr:to>
    <xdr:graphicFrame macro="">
      <xdr:nvGraphicFramePr>
        <xdr:cNvPr id="205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390525</xdr:colOff>
      <xdr:row>28</xdr:row>
      <xdr:rowOff>47625</xdr:rowOff>
    </xdr:from>
    <xdr:to>
      <xdr:col>8</xdr:col>
      <xdr:colOff>514350</xdr:colOff>
      <xdr:row>45</xdr:row>
      <xdr:rowOff>133350</xdr:rowOff>
    </xdr:to>
    <xdr:graphicFrame macro="">
      <xdr:nvGraphicFramePr>
        <xdr:cNvPr id="3175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390525</xdr:colOff>
      <xdr:row>28</xdr:row>
      <xdr:rowOff>47625</xdr:rowOff>
    </xdr:from>
    <xdr:to>
      <xdr:col>8</xdr:col>
      <xdr:colOff>514350</xdr:colOff>
      <xdr:row>45</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447675</xdr:colOff>
      <xdr:row>15</xdr:row>
      <xdr:rowOff>66675</xdr:rowOff>
    </xdr:from>
    <xdr:to>
      <xdr:col>11</xdr:col>
      <xdr:colOff>495300</xdr:colOff>
      <xdr:row>34</xdr:row>
      <xdr:rowOff>28575</xdr:rowOff>
    </xdr:to>
    <xdr:graphicFrame macro="">
      <xdr:nvGraphicFramePr>
        <xdr:cNvPr id="4096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561975</xdr:colOff>
      <xdr:row>27</xdr:row>
      <xdr:rowOff>38100</xdr:rowOff>
    </xdr:from>
    <xdr:to>
      <xdr:col>6</xdr:col>
      <xdr:colOff>361950</xdr:colOff>
      <xdr:row>44</xdr:row>
      <xdr:rowOff>114300</xdr:rowOff>
    </xdr:to>
    <xdr:graphicFrame macro="">
      <xdr:nvGraphicFramePr>
        <xdr:cNvPr id="2765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561975</xdr:colOff>
      <xdr:row>27</xdr:row>
      <xdr:rowOff>38100</xdr:rowOff>
    </xdr:from>
    <xdr:to>
      <xdr:col>6</xdr:col>
      <xdr:colOff>361950</xdr:colOff>
      <xdr:row>44</xdr:row>
      <xdr:rowOff>114300</xdr:rowOff>
    </xdr:to>
    <xdr:graphicFrame macro="">
      <xdr:nvGraphicFramePr>
        <xdr:cNvPr id="4199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1</xdr:row>
      <xdr:rowOff>0</xdr:rowOff>
    </xdr:from>
    <xdr:to>
      <xdr:col>6</xdr:col>
      <xdr:colOff>0</xdr:colOff>
      <xdr:row>1</xdr:row>
      <xdr:rowOff>0</xdr:rowOff>
    </xdr:to>
    <xdr:sp macro="" textlink="">
      <xdr:nvSpPr>
        <xdr:cNvPr id="25601" name="Text 1"/>
        <xdr:cNvSpPr txBox="1">
          <a:spLocks noChangeArrowheads="1"/>
        </xdr:cNvSpPr>
      </xdr:nvSpPr>
      <xdr:spPr bwMode="auto">
        <a:xfrm>
          <a:off x="5381625" y="161925"/>
          <a:ext cx="0" cy="0"/>
        </a:xfrm>
        <a:prstGeom prst="rect">
          <a:avLst/>
        </a:prstGeom>
        <a:solidFill>
          <a:srgbClr val="FFCC99"/>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Range names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NTickets: B6</a:t>
          </a:r>
        </a:p>
        <a:p>
          <a:pPr algn="l" rtl="0">
            <a:defRPr sz="1000"/>
          </a:pPr>
          <a:r>
            <a:rPr lang="en-US" sz="1000" b="0" i="0" u="none" strike="noStrike" baseline="0">
              <a:solidFill>
                <a:srgbClr val="000000"/>
              </a:solidFill>
              <a:latin typeface="Arial"/>
              <a:cs typeface="Arial"/>
            </a:rPr>
            <a:t>PNoShow: B4</a:t>
          </a:r>
        </a:p>
      </xdr:txBody>
    </xdr:sp>
    <xdr:clientData/>
  </xdr:twoCellAnchor>
  <xdr:twoCellAnchor>
    <xdr:from>
      <xdr:col>3</xdr:col>
      <xdr:colOff>447675</xdr:colOff>
      <xdr:row>29</xdr:row>
      <xdr:rowOff>123825</xdr:rowOff>
    </xdr:from>
    <xdr:to>
      <xdr:col>9</xdr:col>
      <xdr:colOff>552450</xdr:colOff>
      <xdr:row>48</xdr:row>
      <xdr:rowOff>47625</xdr:rowOff>
    </xdr:to>
    <xdr:graphicFrame macro="">
      <xdr:nvGraphicFramePr>
        <xdr:cNvPr id="2561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xdr:row>
      <xdr:rowOff>9525</xdr:rowOff>
    </xdr:from>
    <xdr:to>
      <xdr:col>18</xdr:col>
      <xdr:colOff>104775</xdr:colOff>
      <xdr:row>16</xdr:row>
      <xdr:rowOff>152400</xdr:rowOff>
    </xdr:to>
    <xdr:graphicFrame macro="">
      <xdr:nvGraphicFramePr>
        <xdr:cNvPr id="3379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133350</xdr:colOff>
      <xdr:row>1</xdr:row>
      <xdr:rowOff>66675</xdr:rowOff>
    </xdr:from>
    <xdr:to>
      <xdr:col>8</xdr:col>
      <xdr:colOff>485775</xdr:colOff>
      <xdr:row>17</xdr:row>
      <xdr:rowOff>47625</xdr:rowOff>
    </xdr:to>
    <xdr:graphicFrame macro="">
      <xdr:nvGraphicFramePr>
        <xdr:cNvPr id="3687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304800</xdr:colOff>
      <xdr:row>20</xdr:row>
      <xdr:rowOff>152400</xdr:rowOff>
    </xdr:from>
    <xdr:to>
      <xdr:col>10</xdr:col>
      <xdr:colOff>123825</xdr:colOff>
      <xdr:row>37</xdr:row>
      <xdr:rowOff>142875</xdr:rowOff>
    </xdr:to>
    <xdr:graphicFrame macro="">
      <xdr:nvGraphicFramePr>
        <xdr:cNvPr id="3482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152400</xdr:colOff>
      <xdr:row>12</xdr:row>
      <xdr:rowOff>609600</xdr:rowOff>
    </xdr:from>
    <xdr:to>
      <xdr:col>5</xdr:col>
      <xdr:colOff>466725</xdr:colOff>
      <xdr:row>28</xdr:row>
      <xdr:rowOff>95250</xdr:rowOff>
    </xdr:to>
    <xdr:graphicFrame macro="">
      <xdr:nvGraphicFramePr>
        <xdr:cNvPr id="2356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66675</xdr:rowOff>
    </xdr:from>
    <xdr:to>
      <xdr:col>7</xdr:col>
      <xdr:colOff>342900</xdr:colOff>
      <xdr:row>48</xdr:row>
      <xdr:rowOff>28575</xdr:rowOff>
    </xdr:to>
    <xdr:graphicFrame macro="">
      <xdr:nvGraphicFramePr>
        <xdr:cNvPr id="2356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0</xdr:colOff>
      <xdr:row>16</xdr:row>
      <xdr:rowOff>9525</xdr:rowOff>
    </xdr:from>
    <xdr:to>
      <xdr:col>13</xdr:col>
      <xdr:colOff>142875</xdr:colOff>
      <xdr:row>32</xdr:row>
      <xdr:rowOff>9525</xdr:rowOff>
    </xdr:to>
    <xdr:graphicFrame macro="">
      <xdr:nvGraphicFramePr>
        <xdr:cNvPr id="3584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20</xdr:row>
      <xdr:rowOff>57150</xdr:rowOff>
    </xdr:from>
    <xdr:to>
      <xdr:col>5</xdr:col>
      <xdr:colOff>352425</xdr:colOff>
      <xdr:row>22</xdr:row>
      <xdr:rowOff>104775</xdr:rowOff>
    </xdr:to>
    <xdr:grpSp>
      <xdr:nvGrpSpPr>
        <xdr:cNvPr id="29799" name="Group 1"/>
        <xdr:cNvGrpSpPr>
          <a:grpSpLocks/>
        </xdr:cNvGrpSpPr>
      </xdr:nvGrpSpPr>
      <xdr:grpSpPr bwMode="auto">
        <a:xfrm>
          <a:off x="2676525" y="3295650"/>
          <a:ext cx="790575" cy="371475"/>
          <a:chOff x="279" y="533"/>
          <a:chExt cx="66" cy="39"/>
        </a:xfrm>
      </xdr:grpSpPr>
      <xdr:sp macro="" textlink="">
        <xdr:nvSpPr>
          <xdr:cNvPr id="29813" name="Line 2"/>
          <xdr:cNvSpPr>
            <a:spLocks noChangeShapeType="1"/>
          </xdr:cNvSpPr>
        </xdr:nvSpPr>
        <xdr:spPr bwMode="auto">
          <a:xfrm flipV="1">
            <a:off x="279" y="533"/>
            <a:ext cx="66" cy="17"/>
          </a:xfrm>
          <a:prstGeom prst="line">
            <a:avLst/>
          </a:prstGeom>
          <a:noFill/>
          <a:ln w="9525">
            <a:solidFill>
              <a:srgbClr val="000000"/>
            </a:solidFill>
            <a:round/>
            <a:headEnd/>
            <a:tailEnd type="triangle" w="med" len="med"/>
          </a:ln>
        </xdr:spPr>
      </xdr:sp>
      <xdr:sp macro="" textlink="">
        <xdr:nvSpPr>
          <xdr:cNvPr id="29814" name="Line 3"/>
          <xdr:cNvSpPr>
            <a:spLocks noChangeShapeType="1"/>
          </xdr:cNvSpPr>
        </xdr:nvSpPr>
        <xdr:spPr bwMode="auto">
          <a:xfrm>
            <a:off x="282" y="550"/>
            <a:ext cx="61" cy="1"/>
          </a:xfrm>
          <a:prstGeom prst="line">
            <a:avLst/>
          </a:prstGeom>
          <a:noFill/>
          <a:ln w="9525">
            <a:solidFill>
              <a:srgbClr val="000000"/>
            </a:solidFill>
            <a:round/>
            <a:headEnd/>
            <a:tailEnd type="triangle" w="med" len="med"/>
          </a:ln>
        </xdr:spPr>
      </xdr:sp>
      <xdr:sp macro="" textlink="">
        <xdr:nvSpPr>
          <xdr:cNvPr id="29815" name="Line 4"/>
          <xdr:cNvSpPr>
            <a:spLocks noChangeShapeType="1"/>
          </xdr:cNvSpPr>
        </xdr:nvSpPr>
        <xdr:spPr bwMode="auto">
          <a:xfrm>
            <a:off x="280" y="550"/>
            <a:ext cx="63" cy="22"/>
          </a:xfrm>
          <a:prstGeom prst="line">
            <a:avLst/>
          </a:prstGeom>
          <a:noFill/>
          <a:ln w="9525">
            <a:solidFill>
              <a:srgbClr val="000000"/>
            </a:solidFill>
            <a:round/>
            <a:headEnd/>
            <a:tailEnd type="triangle" w="med" len="med"/>
          </a:ln>
        </xdr:spPr>
      </xdr:sp>
    </xdr:grpSp>
    <xdr:clientData/>
  </xdr:twoCellAnchor>
  <xdr:twoCellAnchor>
    <xdr:from>
      <xdr:col>4</xdr:col>
      <xdr:colOff>0</xdr:colOff>
      <xdr:row>24</xdr:row>
      <xdr:rowOff>85725</xdr:rowOff>
    </xdr:from>
    <xdr:to>
      <xdr:col>5</xdr:col>
      <xdr:colOff>352425</xdr:colOff>
      <xdr:row>26</xdr:row>
      <xdr:rowOff>133350</xdr:rowOff>
    </xdr:to>
    <xdr:grpSp>
      <xdr:nvGrpSpPr>
        <xdr:cNvPr id="29800" name="Group 5"/>
        <xdr:cNvGrpSpPr>
          <a:grpSpLocks/>
        </xdr:cNvGrpSpPr>
      </xdr:nvGrpSpPr>
      <xdr:grpSpPr bwMode="auto">
        <a:xfrm>
          <a:off x="2676525" y="3971925"/>
          <a:ext cx="790575" cy="371475"/>
          <a:chOff x="279" y="533"/>
          <a:chExt cx="66" cy="39"/>
        </a:xfrm>
      </xdr:grpSpPr>
      <xdr:sp macro="" textlink="">
        <xdr:nvSpPr>
          <xdr:cNvPr id="29810" name="Line 6"/>
          <xdr:cNvSpPr>
            <a:spLocks noChangeShapeType="1"/>
          </xdr:cNvSpPr>
        </xdr:nvSpPr>
        <xdr:spPr bwMode="auto">
          <a:xfrm flipV="1">
            <a:off x="279" y="533"/>
            <a:ext cx="66" cy="17"/>
          </a:xfrm>
          <a:prstGeom prst="line">
            <a:avLst/>
          </a:prstGeom>
          <a:noFill/>
          <a:ln w="9525">
            <a:solidFill>
              <a:srgbClr val="000000"/>
            </a:solidFill>
            <a:round/>
            <a:headEnd/>
            <a:tailEnd type="triangle" w="med" len="med"/>
          </a:ln>
        </xdr:spPr>
      </xdr:sp>
      <xdr:sp macro="" textlink="">
        <xdr:nvSpPr>
          <xdr:cNvPr id="29811" name="Line 7"/>
          <xdr:cNvSpPr>
            <a:spLocks noChangeShapeType="1"/>
          </xdr:cNvSpPr>
        </xdr:nvSpPr>
        <xdr:spPr bwMode="auto">
          <a:xfrm>
            <a:off x="282" y="550"/>
            <a:ext cx="61" cy="1"/>
          </a:xfrm>
          <a:prstGeom prst="line">
            <a:avLst/>
          </a:prstGeom>
          <a:noFill/>
          <a:ln w="9525">
            <a:solidFill>
              <a:srgbClr val="000000"/>
            </a:solidFill>
            <a:round/>
            <a:headEnd/>
            <a:tailEnd type="triangle" w="med" len="med"/>
          </a:ln>
        </xdr:spPr>
      </xdr:sp>
      <xdr:sp macro="" textlink="">
        <xdr:nvSpPr>
          <xdr:cNvPr id="29812" name="Line 8"/>
          <xdr:cNvSpPr>
            <a:spLocks noChangeShapeType="1"/>
          </xdr:cNvSpPr>
        </xdr:nvSpPr>
        <xdr:spPr bwMode="auto">
          <a:xfrm>
            <a:off x="280" y="550"/>
            <a:ext cx="63" cy="22"/>
          </a:xfrm>
          <a:prstGeom prst="line">
            <a:avLst/>
          </a:prstGeom>
          <a:noFill/>
          <a:ln w="9525">
            <a:solidFill>
              <a:srgbClr val="000000"/>
            </a:solidFill>
            <a:round/>
            <a:headEnd/>
            <a:tailEnd type="triangle" w="med" len="med"/>
          </a:ln>
        </xdr:spPr>
      </xdr:sp>
    </xdr:grpSp>
    <xdr:clientData/>
  </xdr:twoCellAnchor>
  <xdr:twoCellAnchor>
    <xdr:from>
      <xdr:col>4</xdr:col>
      <xdr:colOff>0</xdr:colOff>
      <xdr:row>28</xdr:row>
      <xdr:rowOff>95250</xdr:rowOff>
    </xdr:from>
    <xdr:to>
      <xdr:col>5</xdr:col>
      <xdr:colOff>352425</xdr:colOff>
      <xdr:row>30</xdr:row>
      <xdr:rowOff>142875</xdr:rowOff>
    </xdr:to>
    <xdr:grpSp>
      <xdr:nvGrpSpPr>
        <xdr:cNvPr id="29801" name="Group 9"/>
        <xdr:cNvGrpSpPr>
          <a:grpSpLocks/>
        </xdr:cNvGrpSpPr>
      </xdr:nvGrpSpPr>
      <xdr:grpSpPr bwMode="auto">
        <a:xfrm>
          <a:off x="2676525" y="4629150"/>
          <a:ext cx="790575" cy="371475"/>
          <a:chOff x="279" y="533"/>
          <a:chExt cx="66" cy="39"/>
        </a:xfrm>
      </xdr:grpSpPr>
      <xdr:sp macro="" textlink="">
        <xdr:nvSpPr>
          <xdr:cNvPr id="29807" name="Line 10"/>
          <xdr:cNvSpPr>
            <a:spLocks noChangeShapeType="1"/>
          </xdr:cNvSpPr>
        </xdr:nvSpPr>
        <xdr:spPr bwMode="auto">
          <a:xfrm flipV="1">
            <a:off x="279" y="533"/>
            <a:ext cx="66" cy="17"/>
          </a:xfrm>
          <a:prstGeom prst="line">
            <a:avLst/>
          </a:prstGeom>
          <a:noFill/>
          <a:ln w="9525">
            <a:solidFill>
              <a:srgbClr val="000000"/>
            </a:solidFill>
            <a:round/>
            <a:headEnd/>
            <a:tailEnd type="triangle" w="med" len="med"/>
          </a:ln>
        </xdr:spPr>
      </xdr:sp>
      <xdr:sp macro="" textlink="">
        <xdr:nvSpPr>
          <xdr:cNvPr id="29808" name="Line 11"/>
          <xdr:cNvSpPr>
            <a:spLocks noChangeShapeType="1"/>
          </xdr:cNvSpPr>
        </xdr:nvSpPr>
        <xdr:spPr bwMode="auto">
          <a:xfrm>
            <a:off x="282" y="550"/>
            <a:ext cx="61" cy="1"/>
          </a:xfrm>
          <a:prstGeom prst="line">
            <a:avLst/>
          </a:prstGeom>
          <a:noFill/>
          <a:ln w="9525">
            <a:solidFill>
              <a:srgbClr val="000000"/>
            </a:solidFill>
            <a:round/>
            <a:headEnd/>
            <a:tailEnd type="triangle" w="med" len="med"/>
          </a:ln>
        </xdr:spPr>
      </xdr:sp>
      <xdr:sp macro="" textlink="">
        <xdr:nvSpPr>
          <xdr:cNvPr id="29809" name="Line 12"/>
          <xdr:cNvSpPr>
            <a:spLocks noChangeShapeType="1"/>
          </xdr:cNvSpPr>
        </xdr:nvSpPr>
        <xdr:spPr bwMode="auto">
          <a:xfrm>
            <a:off x="280" y="550"/>
            <a:ext cx="63" cy="22"/>
          </a:xfrm>
          <a:prstGeom prst="line">
            <a:avLst/>
          </a:prstGeom>
          <a:noFill/>
          <a:ln w="9525">
            <a:solidFill>
              <a:srgbClr val="000000"/>
            </a:solidFill>
            <a:round/>
            <a:headEnd/>
            <a:tailEnd type="triangle" w="med" len="med"/>
          </a:ln>
        </xdr:spPr>
      </xdr:sp>
    </xdr:grpSp>
    <xdr:clientData/>
  </xdr:twoCellAnchor>
  <xdr:twoCellAnchor>
    <xdr:from>
      <xdr:col>0</xdr:col>
      <xdr:colOff>57150</xdr:colOff>
      <xdr:row>21</xdr:row>
      <xdr:rowOff>38100</xdr:rowOff>
    </xdr:from>
    <xdr:to>
      <xdr:col>0</xdr:col>
      <xdr:colOff>885825</xdr:colOff>
      <xdr:row>29</xdr:row>
      <xdr:rowOff>57150</xdr:rowOff>
    </xdr:to>
    <xdr:grpSp>
      <xdr:nvGrpSpPr>
        <xdr:cNvPr id="29802" name="Group 17"/>
        <xdr:cNvGrpSpPr>
          <a:grpSpLocks/>
        </xdr:cNvGrpSpPr>
      </xdr:nvGrpSpPr>
      <xdr:grpSpPr bwMode="auto">
        <a:xfrm>
          <a:off x="57150" y="3438525"/>
          <a:ext cx="828675" cy="1314450"/>
          <a:chOff x="52" y="364"/>
          <a:chExt cx="102" cy="138"/>
        </a:xfrm>
      </xdr:grpSpPr>
      <xdr:sp macro="" textlink="">
        <xdr:nvSpPr>
          <xdr:cNvPr id="29804" name="Line 13"/>
          <xdr:cNvSpPr>
            <a:spLocks noChangeShapeType="1"/>
          </xdr:cNvSpPr>
        </xdr:nvSpPr>
        <xdr:spPr bwMode="auto">
          <a:xfrm flipV="1">
            <a:off x="52" y="364"/>
            <a:ext cx="102" cy="70"/>
          </a:xfrm>
          <a:prstGeom prst="line">
            <a:avLst/>
          </a:prstGeom>
          <a:noFill/>
          <a:ln w="9525">
            <a:solidFill>
              <a:srgbClr val="000000"/>
            </a:solidFill>
            <a:round/>
            <a:headEnd/>
            <a:tailEnd type="triangle" w="med" len="med"/>
          </a:ln>
        </xdr:spPr>
      </xdr:sp>
      <xdr:sp macro="" textlink="">
        <xdr:nvSpPr>
          <xdr:cNvPr id="29805" name="Line 14"/>
          <xdr:cNvSpPr>
            <a:spLocks noChangeShapeType="1"/>
          </xdr:cNvSpPr>
        </xdr:nvSpPr>
        <xdr:spPr bwMode="auto">
          <a:xfrm>
            <a:off x="53" y="434"/>
            <a:ext cx="100" cy="0"/>
          </a:xfrm>
          <a:prstGeom prst="line">
            <a:avLst/>
          </a:prstGeom>
          <a:noFill/>
          <a:ln w="9525">
            <a:solidFill>
              <a:srgbClr val="000000"/>
            </a:solidFill>
            <a:round/>
            <a:headEnd/>
            <a:tailEnd type="triangle" w="med" len="med"/>
          </a:ln>
        </xdr:spPr>
      </xdr:sp>
      <xdr:sp macro="" textlink="">
        <xdr:nvSpPr>
          <xdr:cNvPr id="29806" name="Line 15"/>
          <xdr:cNvSpPr>
            <a:spLocks noChangeShapeType="1"/>
          </xdr:cNvSpPr>
        </xdr:nvSpPr>
        <xdr:spPr bwMode="auto">
          <a:xfrm>
            <a:off x="52" y="434"/>
            <a:ext cx="97" cy="68"/>
          </a:xfrm>
          <a:prstGeom prst="line">
            <a:avLst/>
          </a:prstGeom>
          <a:noFill/>
          <a:ln w="9525">
            <a:solidFill>
              <a:srgbClr val="000000"/>
            </a:solidFill>
            <a:round/>
            <a:headEnd/>
            <a:tailEnd type="triangle" w="med" len="med"/>
          </a:ln>
        </xdr:spPr>
      </xdr:sp>
    </xdr:grpSp>
    <xdr:clientData/>
  </xdr:twoCellAnchor>
  <xdr:twoCellAnchor>
    <xdr:from>
      <xdr:col>0</xdr:col>
      <xdr:colOff>104775</xdr:colOff>
      <xdr:row>44</xdr:row>
      <xdr:rowOff>142875</xdr:rowOff>
    </xdr:from>
    <xdr:to>
      <xdr:col>6</xdr:col>
      <xdr:colOff>276225</xdr:colOff>
      <xdr:row>62</xdr:row>
      <xdr:rowOff>95250</xdr:rowOff>
    </xdr:to>
    <xdr:graphicFrame macro="">
      <xdr:nvGraphicFramePr>
        <xdr:cNvPr id="29803"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0</xdr:colOff>
      <xdr:row>16</xdr:row>
      <xdr:rowOff>9525</xdr:rowOff>
    </xdr:from>
    <xdr:to>
      <xdr:col>10</xdr:col>
      <xdr:colOff>19050</xdr:colOff>
      <xdr:row>36</xdr:row>
      <xdr:rowOff>9525</xdr:rowOff>
    </xdr:to>
    <xdr:graphicFrame macro="">
      <xdr:nvGraphicFramePr>
        <xdr:cNvPr id="399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12</xdr:col>
      <xdr:colOff>990600</xdr:colOff>
      <xdr:row>15</xdr:row>
      <xdr:rowOff>76200</xdr:rowOff>
    </xdr:to>
    <xdr:graphicFrame macro="">
      <xdr:nvGraphicFramePr>
        <xdr:cNvPr id="3995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123825</xdr:colOff>
      <xdr:row>22</xdr:row>
      <xdr:rowOff>76200</xdr:rowOff>
    </xdr:from>
    <xdr:to>
      <xdr:col>5</xdr:col>
      <xdr:colOff>619125</xdr:colOff>
      <xdr:row>50</xdr:row>
      <xdr:rowOff>133350</xdr:rowOff>
    </xdr:to>
    <xdr:pic>
      <xdr:nvPicPr>
        <xdr:cNvPr id="30729" name="Picture 1" descr="Figure6_01"/>
        <xdr:cNvPicPr>
          <a:picLocks noChangeAspect="1" noChangeArrowheads="1"/>
        </xdr:cNvPicPr>
      </xdr:nvPicPr>
      <xdr:blipFill>
        <a:blip xmlns:r="http://schemas.openxmlformats.org/officeDocument/2006/relationships" r:embed="rId1" cstate="print"/>
        <a:srcRect/>
        <a:stretch>
          <a:fillRect/>
        </a:stretch>
      </xdr:blipFill>
      <xdr:spPr bwMode="auto">
        <a:xfrm>
          <a:off x="123825" y="3638550"/>
          <a:ext cx="5334000" cy="4610100"/>
        </a:xfrm>
        <a:prstGeom prst="rect">
          <a:avLst/>
        </a:prstGeom>
        <a:noFill/>
        <a:ln w="9525">
          <a:noFill/>
          <a:miter lim="800000"/>
          <a:headEnd/>
          <a:tailEnd/>
        </a:ln>
      </xdr:spPr>
    </xdr:pic>
    <xdr:clientData/>
  </xdr:twoCellAnchor>
  <xdr:twoCellAnchor>
    <xdr:from>
      <xdr:col>3</xdr:col>
      <xdr:colOff>609600</xdr:colOff>
      <xdr:row>36</xdr:row>
      <xdr:rowOff>76200</xdr:rowOff>
    </xdr:from>
    <xdr:to>
      <xdr:col>5</xdr:col>
      <xdr:colOff>148003</xdr:colOff>
      <xdr:row>37</xdr:row>
      <xdr:rowOff>134082</xdr:rowOff>
    </xdr:to>
    <xdr:grpSp>
      <xdr:nvGrpSpPr>
        <xdr:cNvPr id="6" name="Group 5"/>
        <xdr:cNvGrpSpPr/>
      </xdr:nvGrpSpPr>
      <xdr:grpSpPr>
        <a:xfrm>
          <a:off x="3924300" y="5915025"/>
          <a:ext cx="1062403" cy="219807"/>
          <a:chOff x="3897191" y="5902570"/>
          <a:chExt cx="1062403" cy="219807"/>
        </a:xfrm>
      </xdr:grpSpPr>
      <xdr:sp macro="" textlink="">
        <xdr:nvSpPr>
          <xdr:cNvPr id="7" name="TextBox 6"/>
          <xdr:cNvSpPr txBox="1"/>
        </xdr:nvSpPr>
        <xdr:spPr>
          <a:xfrm>
            <a:off x="4285517" y="5931877"/>
            <a:ext cx="674077"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baseline="0"/>
              <a:t>=120K-95K</a:t>
            </a:r>
          </a:p>
        </xdr:txBody>
      </xdr:sp>
      <xdr:cxnSp macro="">
        <xdr:nvCxnSpPr>
          <xdr:cNvPr id="8" name="Straight Arrow Connector 7"/>
          <xdr:cNvCxnSpPr/>
        </xdr:nvCxnSpPr>
        <xdr:spPr bwMode="auto">
          <a:xfrm flipH="1" flipV="1">
            <a:off x="3897191" y="5902570"/>
            <a:ext cx="330444" cy="105507"/>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grpSp>
    <xdr:clientData/>
  </xdr:twoCellAnchor>
  <xdr:twoCellAnchor>
    <xdr:from>
      <xdr:col>3</xdr:col>
      <xdr:colOff>590550</xdr:colOff>
      <xdr:row>44</xdr:row>
      <xdr:rowOff>38100</xdr:rowOff>
    </xdr:from>
    <xdr:to>
      <xdr:col>5</xdr:col>
      <xdr:colOff>128953</xdr:colOff>
      <xdr:row>45</xdr:row>
      <xdr:rowOff>95982</xdr:rowOff>
    </xdr:to>
    <xdr:grpSp>
      <xdr:nvGrpSpPr>
        <xdr:cNvPr id="10" name="Group 9"/>
        <xdr:cNvGrpSpPr/>
      </xdr:nvGrpSpPr>
      <xdr:grpSpPr>
        <a:xfrm>
          <a:off x="3905250" y="7181850"/>
          <a:ext cx="1062403" cy="219807"/>
          <a:chOff x="3897191" y="5902570"/>
          <a:chExt cx="1062403" cy="219807"/>
        </a:xfrm>
      </xdr:grpSpPr>
      <xdr:sp macro="" textlink="">
        <xdr:nvSpPr>
          <xdr:cNvPr id="11" name="TextBox 10"/>
          <xdr:cNvSpPr txBox="1"/>
        </xdr:nvSpPr>
        <xdr:spPr>
          <a:xfrm>
            <a:off x="4285517" y="5931877"/>
            <a:ext cx="674077"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baseline="0"/>
              <a:t>=125K-95K</a:t>
            </a:r>
          </a:p>
        </xdr:txBody>
      </xdr:sp>
      <xdr:cxnSp macro="">
        <xdr:nvCxnSpPr>
          <xdr:cNvPr id="12" name="Straight Arrow Connector 11"/>
          <xdr:cNvCxnSpPr/>
        </xdr:nvCxnSpPr>
        <xdr:spPr bwMode="auto">
          <a:xfrm flipH="1" flipV="1">
            <a:off x="3897191" y="5902570"/>
            <a:ext cx="330444" cy="105507"/>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grpSp>
    <xdr:clientData/>
  </xdr:twoCellAnchor>
  <xdr:twoCellAnchor>
    <xdr:from>
      <xdr:col>3</xdr:col>
      <xdr:colOff>600075</xdr:colOff>
      <xdr:row>27</xdr:row>
      <xdr:rowOff>57150</xdr:rowOff>
    </xdr:from>
    <xdr:to>
      <xdr:col>5</xdr:col>
      <xdr:colOff>138478</xdr:colOff>
      <xdr:row>28</xdr:row>
      <xdr:rowOff>115765</xdr:rowOff>
    </xdr:to>
    <xdr:grpSp>
      <xdr:nvGrpSpPr>
        <xdr:cNvPr id="13" name="Group 12"/>
        <xdr:cNvGrpSpPr/>
      </xdr:nvGrpSpPr>
      <xdr:grpSpPr>
        <a:xfrm>
          <a:off x="3914775" y="4429125"/>
          <a:ext cx="1062403" cy="220540"/>
          <a:chOff x="3897191" y="5902570"/>
          <a:chExt cx="1062403" cy="219807"/>
        </a:xfrm>
      </xdr:grpSpPr>
      <xdr:sp macro="" textlink="">
        <xdr:nvSpPr>
          <xdr:cNvPr id="14" name="TextBox 13"/>
          <xdr:cNvSpPr txBox="1"/>
        </xdr:nvSpPr>
        <xdr:spPr>
          <a:xfrm>
            <a:off x="4285517" y="5931877"/>
            <a:ext cx="674077"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baseline="0"/>
              <a:t>=115K-95K</a:t>
            </a:r>
          </a:p>
        </xdr:txBody>
      </xdr:sp>
      <xdr:cxnSp macro="">
        <xdr:nvCxnSpPr>
          <xdr:cNvPr id="15" name="Straight Arrow Connector 14"/>
          <xdr:cNvCxnSpPr/>
        </xdr:nvCxnSpPr>
        <xdr:spPr bwMode="auto">
          <a:xfrm flipH="1" flipV="1">
            <a:off x="3897191" y="5902570"/>
            <a:ext cx="330444" cy="105507"/>
          </a:xfrm>
          <a:prstGeom prst="straightConnector1">
            <a:avLst/>
          </a:prstGeom>
          <a:solidFill>
            <a:srgbClr val="FFFFFF"/>
          </a:solidFill>
          <a:ln w="9525" cap="flat" cmpd="sng" algn="ctr">
            <a:solidFill>
              <a:srgbClr val="000000"/>
            </a:solidFill>
            <a:prstDash val="solid"/>
            <a:round/>
            <a:headEnd type="none" w="med" len="med"/>
            <a:tailEnd type="arrow"/>
          </a:ln>
          <a:effectLst/>
        </xdr:spPr>
      </xdr:cxnSp>
    </xdr:grp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pport.microsoft.com/kb/914208/" TargetMode="External"/><Relationship Id="rId3" Type="http://schemas.openxmlformats.org/officeDocument/2006/relationships/hyperlink" Target="http://office.microsoft.com/de-at/excel-help/laden-von-analyse-funktionen-HP001127724.aspx?CTT=1" TargetMode="External"/><Relationship Id="rId7" Type="http://schemas.openxmlformats.org/officeDocument/2006/relationships/hyperlink" Target="http://support.microsoft.com/kb/500972/de" TargetMode="External"/><Relationship Id="rId2" Type="http://schemas.openxmlformats.org/officeDocument/2006/relationships/hyperlink" Target="http://office.microsoft.com/en-us/excel-help/load-the-analysis-toolpak-HP010021569.aspx" TargetMode="External"/><Relationship Id="rId1" Type="http://schemas.openxmlformats.org/officeDocument/2006/relationships/hyperlink" Target="http://office.microsoft.com/de-at/excel-help/laden-der-analyse-funktionen-HP010021569.aspx" TargetMode="External"/><Relationship Id="rId6" Type="http://schemas.openxmlformats.org/officeDocument/2006/relationships/hyperlink" Target="http://office.microsoft.com/de-at/excel-help/laden-der-analyse-funktionen-HP010342659.aspx?CTT=1" TargetMode="External"/><Relationship Id="rId5" Type="http://schemas.openxmlformats.org/officeDocument/2006/relationships/hyperlink" Target="http://office.microsoft.com/en-us/excel-help/load-the-analysis-toolpak-HP010342659.aspx?CTT=1" TargetMode="External"/><Relationship Id="rId10" Type="http://schemas.openxmlformats.org/officeDocument/2006/relationships/hyperlink" Target="http://en.wikipedia.org/wiki/Table_of_keyboard_shortcuts" TargetMode="External"/><Relationship Id="rId4" Type="http://schemas.openxmlformats.org/officeDocument/2006/relationships/hyperlink" Target="http://office.microsoft.com/en-us/excel-help/load-the-analysis-toolpak-HP001127724.aspx?CTT=1" TargetMode="External"/><Relationship Id="rId9" Type="http://schemas.openxmlformats.org/officeDocument/2006/relationships/hyperlink" Target="http://support.microsoft.com/kb/914208/de"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peri.umass.edu/fileadmin/pdf/working_papers/working_papers_301-350/HAP-RR-GITD-code.zi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8.xml"/><Relationship Id="rId1" Type="http://schemas.openxmlformats.org/officeDocument/2006/relationships/printerSettings" Target="../printerSettings/printerSettings26.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ColWidth="11.42578125" defaultRowHeight="12.75"/>
  <sheetData>
    <row r="1" spans="1:1">
      <c r="A1" s="15" t="s">
        <v>267</v>
      </c>
    </row>
    <row r="2" spans="1:1">
      <c r="A2" s="15" t="s">
        <v>18</v>
      </c>
    </row>
    <row r="3" spans="1:1">
      <c r="A3" s="15" t="s">
        <v>42</v>
      </c>
    </row>
    <row r="4" spans="1:1">
      <c r="A4" s="15" t="s">
        <v>43</v>
      </c>
    </row>
    <row r="5" spans="1:1">
      <c r="A5" s="15" t="s">
        <v>499</v>
      </c>
    </row>
    <row r="6" spans="1:1">
      <c r="A6" s="15" t="s">
        <v>145</v>
      </c>
    </row>
  </sheetData>
  <phoneticPr fontId="0" type="noConversion"/>
  <pageMargins left="0.78740157499999996" right="0.78740157499999996" top="0.984251969" bottom="0.984251969" header="0.4921259845" footer="0.492125984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dimension ref="A1:H39"/>
  <sheetViews>
    <sheetView workbookViewId="0"/>
  </sheetViews>
  <sheetFormatPr defaultColWidth="11.42578125" defaultRowHeight="12.75"/>
  <cols>
    <col min="1" max="6" width="11.42578125" customWidth="1"/>
    <col min="7" max="7" width="14.5703125" customWidth="1"/>
  </cols>
  <sheetData>
    <row r="1" spans="1:8">
      <c r="A1" t="s">
        <v>512</v>
      </c>
      <c r="C1" t="s">
        <v>513</v>
      </c>
      <c r="F1" t="s">
        <v>513</v>
      </c>
      <c r="H1" t="s">
        <v>512</v>
      </c>
    </row>
    <row r="2" spans="1:8">
      <c r="A2" s="51" t="s">
        <v>76</v>
      </c>
      <c r="C2" t="s">
        <v>89</v>
      </c>
      <c r="F2" t="s">
        <v>86</v>
      </c>
      <c r="H2" s="51" t="s">
        <v>73</v>
      </c>
    </row>
    <row r="3" spans="1:8">
      <c r="A3" s="51" t="s">
        <v>74</v>
      </c>
      <c r="C3" t="s">
        <v>87</v>
      </c>
      <c r="F3" t="s">
        <v>87</v>
      </c>
      <c r="H3" s="51" t="s">
        <v>74</v>
      </c>
    </row>
    <row r="4" spans="1:8">
      <c r="A4" s="51" t="s">
        <v>77</v>
      </c>
      <c r="C4" t="s">
        <v>90</v>
      </c>
      <c r="F4" t="s">
        <v>88</v>
      </c>
      <c r="H4" s="51" t="s">
        <v>75</v>
      </c>
    </row>
    <row r="5" spans="1:8">
      <c r="A5" s="51" t="s">
        <v>75</v>
      </c>
      <c r="C5" t="s">
        <v>88</v>
      </c>
      <c r="F5" t="s">
        <v>89</v>
      </c>
      <c r="H5" s="51" t="s">
        <v>76</v>
      </c>
    </row>
    <row r="6" spans="1:8">
      <c r="A6" s="51" t="s">
        <v>78</v>
      </c>
      <c r="C6" t="s">
        <v>78</v>
      </c>
      <c r="F6" t="s">
        <v>90</v>
      </c>
      <c r="H6" s="51" t="s">
        <v>77</v>
      </c>
    </row>
    <row r="7" spans="1:8">
      <c r="A7" s="51" t="s">
        <v>514</v>
      </c>
      <c r="C7" s="51" t="s">
        <v>514</v>
      </c>
      <c r="F7" t="s">
        <v>78</v>
      </c>
      <c r="H7" s="51" t="s">
        <v>78</v>
      </c>
    </row>
    <row r="8" spans="1:8">
      <c r="A8" s="51" t="s">
        <v>73</v>
      </c>
      <c r="C8" t="s">
        <v>86</v>
      </c>
      <c r="F8" s="51" t="s">
        <v>514</v>
      </c>
      <c r="H8" s="51" t="s">
        <v>514</v>
      </c>
    </row>
    <row r="9" spans="1:8">
      <c r="A9" s="51" t="s">
        <v>79</v>
      </c>
      <c r="C9" t="s">
        <v>91</v>
      </c>
      <c r="F9" t="s">
        <v>91</v>
      </c>
      <c r="H9" s="51" t="s">
        <v>79</v>
      </c>
    </row>
    <row r="10" spans="1:8">
      <c r="A10" s="51" t="s">
        <v>515</v>
      </c>
      <c r="C10" s="51" t="s">
        <v>515</v>
      </c>
      <c r="F10" s="51" t="s">
        <v>515</v>
      </c>
      <c r="H10" s="51" t="s">
        <v>515</v>
      </c>
    </row>
    <row r="11" spans="1:8">
      <c r="A11" s="51" t="s">
        <v>139</v>
      </c>
      <c r="C11" t="s">
        <v>140</v>
      </c>
      <c r="F11" t="s">
        <v>140</v>
      </c>
      <c r="H11" s="51" t="s">
        <v>139</v>
      </c>
    </row>
    <row r="12" spans="1:8">
      <c r="A12" s="51" t="s">
        <v>80</v>
      </c>
      <c r="C12" t="s">
        <v>92</v>
      </c>
      <c r="F12" t="s">
        <v>142</v>
      </c>
      <c r="H12" s="51" t="s">
        <v>141</v>
      </c>
    </row>
    <row r="13" spans="1:8">
      <c r="A13" s="51" t="s">
        <v>81</v>
      </c>
      <c r="C13" t="s">
        <v>93</v>
      </c>
      <c r="F13" t="s">
        <v>144</v>
      </c>
      <c r="H13" s="51" t="s">
        <v>143</v>
      </c>
    </row>
    <row r="14" spans="1:8">
      <c r="A14" s="51" t="s">
        <v>82</v>
      </c>
      <c r="C14" t="s">
        <v>94</v>
      </c>
      <c r="F14" t="s">
        <v>92</v>
      </c>
      <c r="H14" s="51" t="s">
        <v>80</v>
      </c>
    </row>
    <row r="15" spans="1:8">
      <c r="A15" s="51" t="s">
        <v>143</v>
      </c>
      <c r="C15" t="s">
        <v>144</v>
      </c>
      <c r="F15" t="s">
        <v>93</v>
      </c>
      <c r="H15" s="51" t="s">
        <v>81</v>
      </c>
    </row>
    <row r="16" spans="1:8">
      <c r="A16" s="51" t="s">
        <v>141</v>
      </c>
      <c r="C16" t="s">
        <v>142</v>
      </c>
      <c r="F16" t="s">
        <v>94</v>
      </c>
      <c r="H16" s="51" t="s">
        <v>82</v>
      </c>
    </row>
    <row r="17" spans="1:8">
      <c r="A17" s="51" t="s">
        <v>102</v>
      </c>
      <c r="C17" t="s">
        <v>95</v>
      </c>
      <c r="F17" t="s">
        <v>95</v>
      </c>
      <c r="H17" s="51" t="s">
        <v>102</v>
      </c>
    </row>
    <row r="18" spans="1:8">
      <c r="A18" s="51"/>
      <c r="H18" s="51"/>
    </row>
    <row r="19" spans="1:8">
      <c r="A19" s="51" t="s">
        <v>196</v>
      </c>
      <c r="B19" s="174" t="s">
        <v>194</v>
      </c>
      <c r="F19" s="93"/>
      <c r="H19" s="51"/>
    </row>
    <row r="20" spans="1:8">
      <c r="A20" s="51"/>
      <c r="H20" s="51"/>
    </row>
    <row r="21" spans="1:8">
      <c r="A21" s="51" t="s">
        <v>83</v>
      </c>
      <c r="C21" t="s">
        <v>98</v>
      </c>
      <c r="F21" t="s">
        <v>104</v>
      </c>
      <c r="H21" t="s">
        <v>103</v>
      </c>
    </row>
    <row r="22" spans="1:8">
      <c r="A22" s="51" t="s">
        <v>100</v>
      </c>
      <c r="C22" t="s">
        <v>101</v>
      </c>
      <c r="F22" t="s">
        <v>105</v>
      </c>
      <c r="H22" t="s">
        <v>106</v>
      </c>
    </row>
    <row r="23" spans="1:8">
      <c r="A23" t="s">
        <v>106</v>
      </c>
      <c r="C23" t="s">
        <v>105</v>
      </c>
      <c r="F23" t="s">
        <v>98</v>
      </c>
      <c r="H23" s="51" t="s">
        <v>83</v>
      </c>
    </row>
    <row r="24" spans="1:8">
      <c r="A24" s="51" t="s">
        <v>97</v>
      </c>
      <c r="C24" t="s">
        <v>96</v>
      </c>
      <c r="F24" t="s">
        <v>99</v>
      </c>
      <c r="H24" s="51" t="s">
        <v>85</v>
      </c>
    </row>
    <row r="25" spans="1:8">
      <c r="A25" t="s">
        <v>103</v>
      </c>
      <c r="C25" t="s">
        <v>104</v>
      </c>
      <c r="F25" t="s">
        <v>107</v>
      </c>
      <c r="H25" t="s">
        <v>59</v>
      </c>
    </row>
    <row r="26" spans="1:8">
      <c r="A26" s="51" t="s">
        <v>85</v>
      </c>
      <c r="C26" t="s">
        <v>99</v>
      </c>
      <c r="F26" t="s">
        <v>101</v>
      </c>
      <c r="H26" s="51" t="s">
        <v>100</v>
      </c>
    </row>
    <row r="27" spans="1:8">
      <c r="A27" t="s">
        <v>59</v>
      </c>
      <c r="C27" t="s">
        <v>107</v>
      </c>
      <c r="F27" t="s">
        <v>61</v>
      </c>
      <c r="H27" s="51" t="s">
        <v>84</v>
      </c>
    </row>
    <row r="28" spans="1:8">
      <c r="A28" s="51" t="s">
        <v>84</v>
      </c>
      <c r="C28" t="s">
        <v>61</v>
      </c>
      <c r="F28" t="s">
        <v>96</v>
      </c>
      <c r="H28" s="51" t="s">
        <v>97</v>
      </c>
    </row>
    <row r="30" spans="1:8">
      <c r="A30" t="s">
        <v>500</v>
      </c>
      <c r="D30" s="174" t="s">
        <v>505</v>
      </c>
    </row>
    <row r="31" spans="1:8">
      <c r="A31" t="s">
        <v>501</v>
      </c>
      <c r="D31" s="174" t="s">
        <v>506</v>
      </c>
    </row>
    <row r="32" spans="1:8">
      <c r="A32" t="s">
        <v>502</v>
      </c>
      <c r="D32" s="174" t="s">
        <v>507</v>
      </c>
    </row>
    <row r="33" spans="1:4">
      <c r="A33" t="s">
        <v>519</v>
      </c>
      <c r="D33" s="174" t="s">
        <v>520</v>
      </c>
    </row>
    <row r="34" spans="1:4">
      <c r="A34" t="s">
        <v>503</v>
      </c>
      <c r="D34" s="174" t="s">
        <v>508</v>
      </c>
    </row>
    <row r="35" spans="1:4">
      <c r="A35" t="s">
        <v>504</v>
      </c>
      <c r="D35" s="174" t="s">
        <v>509</v>
      </c>
    </row>
    <row r="36" spans="1:4">
      <c r="A36" t="s">
        <v>510</v>
      </c>
      <c r="D36" s="174" t="s">
        <v>511</v>
      </c>
    </row>
    <row r="37" spans="1:4">
      <c r="A37" t="s">
        <v>521</v>
      </c>
      <c r="D37" s="174" t="s">
        <v>522</v>
      </c>
    </row>
    <row r="39" spans="1:4">
      <c r="A39" s="183" t="s">
        <v>523</v>
      </c>
      <c r="C39" s="174" t="s">
        <v>524</v>
      </c>
    </row>
  </sheetData>
  <phoneticPr fontId="0" type="noConversion"/>
  <hyperlinks>
    <hyperlink ref="D35" r:id="rId1"/>
    <hyperlink ref="D31" r:id="rId2"/>
    <hyperlink ref="D34" r:id="rId3"/>
    <hyperlink ref="D30" r:id="rId4"/>
    <hyperlink ref="D32" r:id="rId5"/>
    <hyperlink ref="D36" r:id="rId6"/>
    <hyperlink ref="B19" r:id="rId7"/>
    <hyperlink ref="D33" r:id="rId8"/>
    <hyperlink ref="D37" r:id="rId9"/>
    <hyperlink ref="C39" r:id="rId10"/>
  </hyperlinks>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A1:O52"/>
  <sheetViews>
    <sheetView workbookViewId="0"/>
  </sheetViews>
  <sheetFormatPr defaultColWidth="9.140625" defaultRowHeight="12.75"/>
  <cols>
    <col min="1" max="1" width="6.28515625" customWidth="1"/>
    <col min="2" max="2" width="9.7109375" style="3" customWidth="1"/>
    <col min="3" max="3" width="11.85546875" style="3" customWidth="1"/>
    <col min="4" max="4" width="8.7109375" style="3" customWidth="1"/>
    <col min="5" max="5" width="10.7109375" customWidth="1"/>
    <col min="6" max="6" width="7.7109375" customWidth="1"/>
    <col min="7" max="7" width="6.140625" customWidth="1"/>
    <col min="8" max="8" width="20.85546875" customWidth="1"/>
    <col min="9" max="9" width="12.7109375" customWidth="1"/>
    <col min="10" max="10" width="5.7109375" customWidth="1"/>
    <col min="11" max="11" width="12.140625" customWidth="1"/>
  </cols>
  <sheetData>
    <row r="1" spans="1:15">
      <c r="A1" s="1" t="s">
        <v>342</v>
      </c>
    </row>
    <row r="2" spans="1:15">
      <c r="H2" s="1" t="s">
        <v>61</v>
      </c>
    </row>
    <row r="3" spans="1:15" s="3" customFormat="1" ht="13.5" thickBot="1">
      <c r="A3" s="3" t="s">
        <v>343</v>
      </c>
      <c r="B3" s="3" t="s">
        <v>344</v>
      </c>
      <c r="C3" s="3" t="s">
        <v>345</v>
      </c>
      <c r="D3" s="3" t="s">
        <v>346</v>
      </c>
      <c r="E3" s="3" t="s">
        <v>347</v>
      </c>
      <c r="F3" s="3" t="s">
        <v>348</v>
      </c>
      <c r="H3"/>
      <c r="I3"/>
      <c r="J3"/>
      <c r="K3"/>
      <c r="L3"/>
      <c r="M3" s="3" t="s">
        <v>349</v>
      </c>
    </row>
    <row r="4" spans="1:15">
      <c r="A4">
        <v>58</v>
      </c>
      <c r="B4" s="3" t="s">
        <v>350</v>
      </c>
      <c r="C4" s="3" t="s">
        <v>351</v>
      </c>
      <c r="D4" s="3">
        <v>1</v>
      </c>
      <c r="E4" s="154">
        <v>65400</v>
      </c>
      <c r="F4">
        <v>5</v>
      </c>
      <c r="H4" s="18" t="s">
        <v>347</v>
      </c>
      <c r="I4" s="18"/>
      <c r="J4" s="3"/>
      <c r="K4" s="3"/>
      <c r="L4" s="3"/>
      <c r="M4" s="4">
        <f t="shared" ref="M4:M33" si="0">ROUND(E4,-3)</f>
        <v>65000</v>
      </c>
    </row>
    <row r="5" spans="1:15">
      <c r="A5">
        <v>48</v>
      </c>
      <c r="B5" s="3" t="s">
        <v>350</v>
      </c>
      <c r="C5" s="3" t="s">
        <v>352</v>
      </c>
      <c r="D5" s="3">
        <v>2</v>
      </c>
      <c r="E5" s="154">
        <v>62000</v>
      </c>
      <c r="F5">
        <v>1</v>
      </c>
      <c r="H5" s="16"/>
      <c r="I5" s="16"/>
      <c r="M5" s="4">
        <f t="shared" si="0"/>
        <v>62000</v>
      </c>
    </row>
    <row r="6" spans="1:15">
      <c r="A6">
        <v>58</v>
      </c>
      <c r="B6" s="3" t="s">
        <v>353</v>
      </c>
      <c r="C6" s="3" t="s">
        <v>354</v>
      </c>
      <c r="D6" s="3">
        <v>0</v>
      </c>
      <c r="E6" s="154">
        <v>63200</v>
      </c>
      <c r="F6">
        <v>3</v>
      </c>
      <c r="H6" s="16" t="s">
        <v>17</v>
      </c>
      <c r="I6" s="155">
        <v>52263.333333333336</v>
      </c>
      <c r="K6" s="155">
        <f>AVERAGE($E$4:$E$33)</f>
        <v>52263.333333333336</v>
      </c>
      <c r="M6" s="4">
        <f t="shared" si="0"/>
        <v>63000</v>
      </c>
    </row>
    <row r="7" spans="1:15">
      <c r="A7">
        <v>56</v>
      </c>
      <c r="B7" s="3" t="s">
        <v>350</v>
      </c>
      <c r="C7" s="3" t="s">
        <v>355</v>
      </c>
      <c r="D7" s="3">
        <v>2</v>
      </c>
      <c r="E7" s="154">
        <v>52000</v>
      </c>
      <c r="F7">
        <v>5</v>
      </c>
      <c r="H7" s="16" t="s">
        <v>69</v>
      </c>
      <c r="I7" s="155">
        <v>2098.2613674858362</v>
      </c>
      <c r="K7" s="155">
        <f>K10/SQRT(K18)</f>
        <v>2098.2613674858362</v>
      </c>
      <c r="M7" s="4">
        <f t="shared" si="0"/>
        <v>52000</v>
      </c>
    </row>
    <row r="8" spans="1:15">
      <c r="A8">
        <v>68</v>
      </c>
      <c r="B8" s="3" t="s">
        <v>350</v>
      </c>
      <c r="C8" s="3" t="s">
        <v>356</v>
      </c>
      <c r="D8" s="3">
        <v>3</v>
      </c>
      <c r="E8" s="154">
        <v>81400</v>
      </c>
      <c r="F8">
        <v>1</v>
      </c>
      <c r="H8" s="16" t="s">
        <v>19</v>
      </c>
      <c r="I8" s="155">
        <v>50800</v>
      </c>
      <c r="K8" s="155">
        <f>MEDIAN($E$4:$E$33)</f>
        <v>50800</v>
      </c>
      <c r="M8" s="4">
        <f t="shared" si="0"/>
        <v>81000</v>
      </c>
    </row>
    <row r="9" spans="1:15">
      <c r="A9">
        <v>60</v>
      </c>
      <c r="B9" s="3" t="s">
        <v>353</v>
      </c>
      <c r="C9" s="3" t="s">
        <v>357</v>
      </c>
      <c r="D9" s="3">
        <v>3</v>
      </c>
      <c r="E9" s="154">
        <v>46300</v>
      </c>
      <c r="F9">
        <v>5</v>
      </c>
      <c r="H9" s="16" t="s">
        <v>62</v>
      </c>
      <c r="I9" s="155">
        <f>O9</f>
        <v>62000</v>
      </c>
      <c r="K9" s="155" t="e">
        <f>MODE($E$4:$E$33)</f>
        <v>#N/A</v>
      </c>
      <c r="M9" s="4">
        <f t="shared" si="0"/>
        <v>46000</v>
      </c>
      <c r="N9" s="3" t="s">
        <v>23</v>
      </c>
      <c r="O9" s="156">
        <f>MODE(M4:M33)</f>
        <v>62000</v>
      </c>
    </row>
    <row r="10" spans="1:15">
      <c r="A10">
        <v>28</v>
      </c>
      <c r="B10" s="3" t="s">
        <v>350</v>
      </c>
      <c r="C10" s="3" t="s">
        <v>351</v>
      </c>
      <c r="D10" s="3">
        <v>2</v>
      </c>
      <c r="E10" s="154">
        <v>49600</v>
      </c>
      <c r="F10">
        <v>1</v>
      </c>
      <c r="H10" s="16" t="s">
        <v>63</v>
      </c>
      <c r="I10" s="155">
        <v>11492.650825136294</v>
      </c>
      <c r="K10" s="155">
        <f>STDEV($E$4:$E$33)</f>
        <v>11492.650825136294</v>
      </c>
      <c r="M10" s="4">
        <f t="shared" si="0"/>
        <v>50000</v>
      </c>
    </row>
    <row r="11" spans="1:15">
      <c r="A11">
        <v>48</v>
      </c>
      <c r="B11" s="3" t="s">
        <v>350</v>
      </c>
      <c r="C11" s="3" t="s">
        <v>357</v>
      </c>
      <c r="D11" s="3">
        <v>1</v>
      </c>
      <c r="E11" s="154">
        <v>45900</v>
      </c>
      <c r="F11">
        <v>5</v>
      </c>
      <c r="H11" s="16" t="s">
        <v>64</v>
      </c>
      <c r="I11" s="155">
        <v>132081022.98850593</v>
      </c>
      <c r="K11" s="155">
        <f>VAR($E$4:$E$33)</f>
        <v>132081022.98850593</v>
      </c>
      <c r="M11" s="4">
        <f t="shared" si="0"/>
        <v>46000</v>
      </c>
    </row>
    <row r="12" spans="1:15">
      <c r="A12">
        <v>53</v>
      </c>
      <c r="B12" s="3" t="s">
        <v>350</v>
      </c>
      <c r="C12" s="3" t="s">
        <v>352</v>
      </c>
      <c r="D12" s="3">
        <v>3</v>
      </c>
      <c r="E12" s="154">
        <v>47700</v>
      </c>
      <c r="F12">
        <v>4</v>
      </c>
      <c r="H12" s="16" t="s">
        <v>20</v>
      </c>
      <c r="I12" s="157">
        <f>3+0.564599637512805</f>
        <v>3.5645996375128051</v>
      </c>
      <c r="K12" s="157">
        <f>KURT($E$4:$E$33)+3</f>
        <v>3.5645996375128046</v>
      </c>
      <c r="M12" s="4">
        <f t="shared" si="0"/>
        <v>48000</v>
      </c>
    </row>
    <row r="13" spans="1:15">
      <c r="A13">
        <v>61</v>
      </c>
      <c r="B13" s="3" t="s">
        <v>353</v>
      </c>
      <c r="C13" s="3" t="s">
        <v>352</v>
      </c>
      <c r="D13" s="3">
        <v>1</v>
      </c>
      <c r="E13" s="154">
        <v>59900</v>
      </c>
      <c r="F13">
        <v>4</v>
      </c>
      <c r="H13" s="16" t="s">
        <v>65</v>
      </c>
      <c r="I13" s="157">
        <v>0.64312998878865568</v>
      </c>
      <c r="K13" s="157">
        <f>SKEW($E$4:$E$33)</f>
        <v>0.64312998878865568</v>
      </c>
      <c r="M13" s="4">
        <f t="shared" si="0"/>
        <v>60000</v>
      </c>
    </row>
    <row r="14" spans="1:15">
      <c r="A14">
        <v>36</v>
      </c>
      <c r="B14" s="3" t="s">
        <v>353</v>
      </c>
      <c r="C14" s="3" t="s">
        <v>357</v>
      </c>
      <c r="D14" s="3">
        <v>1</v>
      </c>
      <c r="E14" s="154">
        <v>48100</v>
      </c>
      <c r="F14">
        <v>4</v>
      </c>
      <c r="H14" s="16" t="s">
        <v>66</v>
      </c>
      <c r="I14" s="155">
        <v>50400</v>
      </c>
      <c r="K14" s="155">
        <f>K16-K15</f>
        <v>50400</v>
      </c>
      <c r="M14" s="4">
        <f t="shared" si="0"/>
        <v>48000</v>
      </c>
    </row>
    <row r="15" spans="1:15">
      <c r="A15">
        <v>55</v>
      </c>
      <c r="B15" s="3" t="s">
        <v>350</v>
      </c>
      <c r="C15" s="3" t="s">
        <v>358</v>
      </c>
      <c r="D15" s="3">
        <v>0</v>
      </c>
      <c r="E15" s="154">
        <v>58100</v>
      </c>
      <c r="F15">
        <v>3</v>
      </c>
      <c r="H15" s="16" t="s">
        <v>21</v>
      </c>
      <c r="I15" s="155">
        <v>31000</v>
      </c>
      <c r="K15" s="155">
        <f>MIN($E$4:$E$33)</f>
        <v>31000</v>
      </c>
      <c r="M15" s="4">
        <f t="shared" si="0"/>
        <v>58000</v>
      </c>
    </row>
    <row r="16" spans="1:15">
      <c r="A16">
        <v>48</v>
      </c>
      <c r="B16" s="3" t="s">
        <v>353</v>
      </c>
      <c r="C16" s="3" t="s">
        <v>359</v>
      </c>
      <c r="D16" s="3">
        <v>2</v>
      </c>
      <c r="E16" s="154">
        <v>56000</v>
      </c>
      <c r="F16">
        <v>1</v>
      </c>
      <c r="H16" s="16" t="s">
        <v>22</v>
      </c>
      <c r="I16" s="155">
        <v>81400</v>
      </c>
      <c r="K16" s="155">
        <f>MAX($E$4:$E$33)</f>
        <v>81400</v>
      </c>
      <c r="M16" s="4">
        <f t="shared" si="0"/>
        <v>56000</v>
      </c>
    </row>
    <row r="17" spans="1:13">
      <c r="A17">
        <v>51</v>
      </c>
      <c r="B17" s="3" t="s">
        <v>353</v>
      </c>
      <c r="C17" s="3" t="s">
        <v>358</v>
      </c>
      <c r="D17" s="3">
        <v>2</v>
      </c>
      <c r="E17" s="154">
        <v>53400</v>
      </c>
      <c r="F17">
        <v>1</v>
      </c>
      <c r="H17" s="16" t="s">
        <v>67</v>
      </c>
      <c r="I17" s="155">
        <v>1567900</v>
      </c>
      <c r="K17" s="155">
        <f>SUM($E$4:$E$33)</f>
        <v>1567900</v>
      </c>
      <c r="M17" s="4">
        <f t="shared" si="0"/>
        <v>53000</v>
      </c>
    </row>
    <row r="18" spans="1:13" ht="13.5" thickBot="1">
      <c r="A18">
        <v>39</v>
      </c>
      <c r="B18" s="3" t="s">
        <v>353</v>
      </c>
      <c r="C18" s="3" t="s">
        <v>357</v>
      </c>
      <c r="D18" s="3">
        <v>2</v>
      </c>
      <c r="E18" s="154">
        <v>39000</v>
      </c>
      <c r="F18">
        <v>2</v>
      </c>
      <c r="H18" s="17" t="s">
        <v>68</v>
      </c>
      <c r="I18" s="158">
        <v>30</v>
      </c>
      <c r="K18" s="155">
        <f>COUNT($E$4:$E$33)</f>
        <v>30</v>
      </c>
      <c r="M18" s="4">
        <f t="shared" si="0"/>
        <v>39000</v>
      </c>
    </row>
    <row r="19" spans="1:13">
      <c r="A19">
        <v>45</v>
      </c>
      <c r="B19" s="3" t="s">
        <v>350</v>
      </c>
      <c r="C19" s="3" t="s">
        <v>360</v>
      </c>
      <c r="D19" s="3">
        <v>1</v>
      </c>
      <c r="E19" s="154">
        <v>61500</v>
      </c>
      <c r="F19">
        <v>2</v>
      </c>
      <c r="M19" s="4">
        <f t="shared" si="0"/>
        <v>62000</v>
      </c>
    </row>
    <row r="20" spans="1:13">
      <c r="A20">
        <v>43</v>
      </c>
      <c r="B20" s="3" t="s">
        <v>350</v>
      </c>
      <c r="C20" s="3" t="s">
        <v>354</v>
      </c>
      <c r="D20" s="3">
        <v>0</v>
      </c>
      <c r="E20" s="154">
        <v>37700</v>
      </c>
      <c r="F20">
        <v>1</v>
      </c>
      <c r="I20" s="20"/>
      <c r="M20" s="4">
        <f t="shared" si="0"/>
        <v>38000</v>
      </c>
    </row>
    <row r="21" spans="1:13">
      <c r="A21">
        <v>36</v>
      </c>
      <c r="B21" s="3" t="s">
        <v>353</v>
      </c>
      <c r="C21" s="3" t="s">
        <v>360</v>
      </c>
      <c r="D21" s="3">
        <v>2</v>
      </c>
      <c r="E21" s="154">
        <v>36700</v>
      </c>
      <c r="F21">
        <v>4</v>
      </c>
      <c r="H21" s="3" t="s">
        <v>361</v>
      </c>
      <c r="I21" s="8">
        <f>I10/I6</f>
        <v>0.2198989251572733</v>
      </c>
      <c r="M21" s="4">
        <f t="shared" si="0"/>
        <v>37000</v>
      </c>
    </row>
    <row r="22" spans="1:13">
      <c r="A22">
        <v>49</v>
      </c>
      <c r="B22" s="3" t="s">
        <v>353</v>
      </c>
      <c r="C22" s="3" t="s">
        <v>355</v>
      </c>
      <c r="D22" s="3">
        <v>2</v>
      </c>
      <c r="E22" s="154">
        <v>45200</v>
      </c>
      <c r="F22">
        <v>3</v>
      </c>
      <c r="I22" s="20"/>
      <c r="M22" s="4">
        <f t="shared" si="0"/>
        <v>45000</v>
      </c>
    </row>
    <row r="23" spans="1:13">
      <c r="A23">
        <v>53</v>
      </c>
      <c r="B23" s="3" t="s">
        <v>350</v>
      </c>
      <c r="C23" s="3" t="s">
        <v>360</v>
      </c>
      <c r="D23" s="3">
        <v>0</v>
      </c>
      <c r="E23" s="154">
        <v>59000</v>
      </c>
      <c r="F23">
        <v>4</v>
      </c>
      <c r="H23" s="33" t="s">
        <v>30</v>
      </c>
      <c r="I23" s="63">
        <v>0.25</v>
      </c>
      <c r="K23" s="63">
        <v>0.75</v>
      </c>
      <c r="M23" s="4">
        <f t="shared" si="0"/>
        <v>59000</v>
      </c>
    </row>
    <row r="24" spans="1:13">
      <c r="A24">
        <v>61</v>
      </c>
      <c r="B24" s="3" t="s">
        <v>353</v>
      </c>
      <c r="C24" s="3" t="s">
        <v>351</v>
      </c>
      <c r="D24" s="3">
        <v>2</v>
      </c>
      <c r="E24" s="154">
        <v>54300</v>
      </c>
      <c r="F24">
        <v>2</v>
      </c>
      <c r="H24" s="3" t="s">
        <v>136</v>
      </c>
      <c r="I24" s="155">
        <f>PERCENTILE($E$4:$E$33,I23)</f>
        <v>44675</v>
      </c>
      <c r="K24" s="155">
        <f>PERCENTILE($E$4:$E$33,K23)</f>
        <v>59675</v>
      </c>
      <c r="M24" s="4">
        <f t="shared" si="0"/>
        <v>54000</v>
      </c>
    </row>
    <row r="25" spans="1:13">
      <c r="A25">
        <v>62</v>
      </c>
      <c r="B25" s="3" t="s">
        <v>350</v>
      </c>
      <c r="C25" s="3" t="s">
        <v>357</v>
      </c>
      <c r="D25" s="3">
        <v>1</v>
      </c>
      <c r="E25" s="154">
        <v>62100</v>
      </c>
      <c r="F25">
        <v>4</v>
      </c>
      <c r="H25" s="3" t="s">
        <v>137</v>
      </c>
      <c r="I25" s="155">
        <f>NORMINV(I23,$I$6,$I$10)</f>
        <v>44511.658149196366</v>
      </c>
      <c r="K25" s="155">
        <f>NORMINV(K23,$I$6,$I$10)</f>
        <v>60015.008517470305</v>
      </c>
      <c r="M25" s="4">
        <f t="shared" si="0"/>
        <v>62000</v>
      </c>
    </row>
    <row r="26" spans="1:13">
      <c r="A26">
        <v>59</v>
      </c>
      <c r="B26" s="3" t="s">
        <v>350</v>
      </c>
      <c r="C26" s="3" t="s">
        <v>357</v>
      </c>
      <c r="D26" s="3">
        <v>0</v>
      </c>
      <c r="E26" s="154">
        <v>78000</v>
      </c>
      <c r="F26">
        <v>3</v>
      </c>
      <c r="I26" s="155"/>
      <c r="M26" s="4">
        <f t="shared" si="0"/>
        <v>78000</v>
      </c>
    </row>
    <row r="27" spans="1:13">
      <c r="A27">
        <v>44</v>
      </c>
      <c r="B27" s="3" t="s">
        <v>350</v>
      </c>
      <c r="C27" s="3" t="s">
        <v>362</v>
      </c>
      <c r="D27" s="3">
        <v>0</v>
      </c>
      <c r="E27" s="154">
        <v>43200</v>
      </c>
      <c r="F27">
        <v>5</v>
      </c>
      <c r="I27" s="155"/>
      <c r="M27" s="4">
        <f t="shared" si="0"/>
        <v>43000</v>
      </c>
    </row>
    <row r="28" spans="1:13">
      <c r="A28">
        <v>53</v>
      </c>
      <c r="B28" s="3" t="s">
        <v>350</v>
      </c>
      <c r="C28" s="3" t="s">
        <v>362</v>
      </c>
      <c r="D28" s="3">
        <v>1</v>
      </c>
      <c r="E28" s="154">
        <v>44500</v>
      </c>
      <c r="F28">
        <v>3</v>
      </c>
      <c r="I28" s="155"/>
      <c r="M28" s="4">
        <f t="shared" si="0"/>
        <v>45000</v>
      </c>
    </row>
    <row r="29" spans="1:13">
      <c r="A29">
        <v>55</v>
      </c>
      <c r="B29" s="3" t="s">
        <v>353</v>
      </c>
      <c r="C29" s="3" t="s">
        <v>354</v>
      </c>
      <c r="D29" s="3">
        <v>1</v>
      </c>
      <c r="E29" s="154">
        <v>43300</v>
      </c>
      <c r="F29">
        <v>1</v>
      </c>
      <c r="I29" s="155"/>
      <c r="M29" s="4">
        <f t="shared" si="0"/>
        <v>43000</v>
      </c>
    </row>
    <row r="30" spans="1:13">
      <c r="A30">
        <v>66</v>
      </c>
      <c r="B30" s="3" t="s">
        <v>350</v>
      </c>
      <c r="C30" s="3" t="s">
        <v>359</v>
      </c>
      <c r="D30" s="3">
        <v>3</v>
      </c>
      <c r="E30" s="154">
        <v>45400</v>
      </c>
      <c r="F30">
        <v>2</v>
      </c>
      <c r="I30" s="155"/>
      <c r="M30" s="4">
        <f t="shared" si="0"/>
        <v>45000</v>
      </c>
    </row>
    <row r="31" spans="1:13">
      <c r="A31">
        <v>36</v>
      </c>
      <c r="B31" s="3" t="s">
        <v>350</v>
      </c>
      <c r="C31" s="3" t="s">
        <v>360</v>
      </c>
      <c r="D31" s="3">
        <v>2</v>
      </c>
      <c r="E31" s="154">
        <v>53900</v>
      </c>
      <c r="F31">
        <v>1</v>
      </c>
      <c r="I31" s="155"/>
      <c r="M31" s="4">
        <f t="shared" si="0"/>
        <v>54000</v>
      </c>
    </row>
    <row r="32" spans="1:13">
      <c r="A32">
        <v>41</v>
      </c>
      <c r="B32" s="3" t="s">
        <v>350</v>
      </c>
      <c r="C32" s="3" t="s">
        <v>356</v>
      </c>
      <c r="D32" s="3">
        <v>1</v>
      </c>
      <c r="E32" s="154">
        <v>44100</v>
      </c>
      <c r="F32">
        <v>3</v>
      </c>
      <c r="I32" s="155"/>
      <c r="M32" s="4">
        <f t="shared" si="0"/>
        <v>44000</v>
      </c>
    </row>
    <row r="33" spans="1:13">
      <c r="A33">
        <v>28</v>
      </c>
      <c r="B33" s="3" t="s">
        <v>353</v>
      </c>
      <c r="C33" s="3" t="s">
        <v>357</v>
      </c>
      <c r="D33" s="3">
        <v>2</v>
      </c>
      <c r="E33" s="154">
        <v>31000</v>
      </c>
      <c r="F33">
        <v>4</v>
      </c>
      <c r="I33" s="155"/>
      <c r="M33" s="4">
        <f t="shared" si="0"/>
        <v>31000</v>
      </c>
    </row>
    <row r="34" spans="1:13">
      <c r="I34" s="155"/>
    </row>
    <row r="35" spans="1:13">
      <c r="A35" s="1" t="s">
        <v>363</v>
      </c>
      <c r="I35" s="155"/>
      <c r="M35" s="153"/>
    </row>
    <row r="36" spans="1:13">
      <c r="B36" s="3" t="s">
        <v>350</v>
      </c>
      <c r="E36">
        <f>COUNTIF($B$4:$B$33,B36)</f>
        <v>18</v>
      </c>
      <c r="F36" s="201" t="s">
        <v>364</v>
      </c>
      <c r="G36" s="201"/>
      <c r="I36" s="155"/>
    </row>
    <row r="37" spans="1:13">
      <c r="B37" s="3" t="s">
        <v>353</v>
      </c>
      <c r="E37">
        <f>COUNTIF($B$4:$B$33,B37)</f>
        <v>12</v>
      </c>
      <c r="F37" s="201"/>
      <c r="G37" s="201"/>
    </row>
    <row r="38" spans="1:13">
      <c r="F38" s="49"/>
    </row>
    <row r="39" spans="1:13">
      <c r="B39" s="3" t="s">
        <v>350</v>
      </c>
      <c r="E39">
        <f>SUMIF(B4:B33,B39,E4:E33)/E36</f>
        <v>55083.333333333336</v>
      </c>
      <c r="F39" s="49" t="s">
        <v>365</v>
      </c>
    </row>
    <row r="40" spans="1:13">
      <c r="B40" s="3" t="s">
        <v>353</v>
      </c>
      <c r="E40">
        <f>SUMIF(B5:B33,B40,E5:E33)/E37</f>
        <v>48033.333333333336</v>
      </c>
      <c r="F40" s="49" t="s">
        <v>452</v>
      </c>
    </row>
    <row r="41" spans="1:13">
      <c r="F41" s="49"/>
    </row>
    <row r="42" spans="1:13">
      <c r="B42" s="3" t="s">
        <v>350</v>
      </c>
      <c r="E42">
        <f t="array" ref="E42">SUM(($E$4:$E$33)*($B$4:$B$33=B42))/E36</f>
        <v>55083.333333333336</v>
      </c>
      <c r="F42" s="49" t="s">
        <v>365</v>
      </c>
    </row>
    <row r="43" spans="1:13">
      <c r="B43" s="3" t="s">
        <v>353</v>
      </c>
      <c r="E43">
        <f t="array" ref="E43">SUM(($E$4:$E$33)*($B$4:$B$33=B43))/E37</f>
        <v>48033.333333333336</v>
      </c>
      <c r="F43" s="49" t="s">
        <v>450</v>
      </c>
    </row>
    <row r="44" spans="1:13">
      <c r="F44" s="49"/>
    </row>
    <row r="45" spans="1:13">
      <c r="B45" s="3" t="s">
        <v>350</v>
      </c>
      <c r="E45">
        <f t="array" ref="E45">SQRT(SUMSQ(($E$4:$E$33-$E$42)*($B$4:$B$33=B45))/(E36-1))</f>
        <v>11971.74369333154</v>
      </c>
      <c r="F45" s="49" t="s">
        <v>366</v>
      </c>
    </row>
    <row r="46" spans="1:13">
      <c r="B46" s="3" t="s">
        <v>353</v>
      </c>
      <c r="E46">
        <f t="array" ref="E46">SQRT(SUMSQ(($E$4:$E$33-$E$42)*($B$4:$B$33=B46))/(E37-1))</f>
        <v>12182.090679901105</v>
      </c>
      <c r="F46" s="49" t="s">
        <v>451</v>
      </c>
    </row>
    <row r="47" spans="1:13">
      <c r="F47" s="49"/>
    </row>
    <row r="48" spans="1:13">
      <c r="B48" s="3" t="s">
        <v>350</v>
      </c>
      <c r="E48">
        <f t="array" ref="E48">SQRT(SUM(($E$4:$E$33-$E$42)^2*($B$4:$B$33=B48))/(E36-1))</f>
        <v>11971.74369333154</v>
      </c>
      <c r="F48" s="49" t="s">
        <v>367</v>
      </c>
    </row>
    <row r="49" spans="2:6">
      <c r="B49" s="3" t="s">
        <v>353</v>
      </c>
      <c r="E49">
        <f t="array" ref="E49">SQRT(SUM(($E$4:$E$33-$E$42)^2*($B$4:$B$33=B49))/(E37-1))</f>
        <v>12182.090679901105</v>
      </c>
      <c r="F49" s="49" t="s">
        <v>450</v>
      </c>
    </row>
    <row r="51" spans="2:6">
      <c r="B51" s="3" t="s">
        <v>350</v>
      </c>
      <c r="E51">
        <f t="array" ref="E51">(SUM(($E$4:$E$33-$E$42)^3*($B$4:$B$33=B51))/(E36-1))/E48^3</f>
        <v>0.70846788718214171</v>
      </c>
      <c r="F51" s="49" t="s">
        <v>368</v>
      </c>
    </row>
    <row r="52" spans="2:6">
      <c r="B52" s="3" t="s">
        <v>353</v>
      </c>
      <c r="E52">
        <f t="array" ref="E52">(SUM(($E$4:$E$33-$E$42)^3*($B$4:$B$33=B52))/(E37-1))/E49^3</f>
        <v>-1.3737505988744745</v>
      </c>
      <c r="F52" s="49" t="s">
        <v>450</v>
      </c>
    </row>
  </sheetData>
  <mergeCells count="1">
    <mergeCell ref="F36:G37"/>
  </mergeCells>
  <phoneticPr fontId="0" type="noConversion"/>
  <printOptions headings="1" gridLines="1"/>
  <pageMargins left="0.78740157480314965" right="0.78740157480314965" top="0.98425196850393704" bottom="0.98425196850393704" header="0.51181102362204722" footer="0.51181102362204722"/>
  <pageSetup scale="57" orientation="portrait"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J43"/>
  <sheetViews>
    <sheetView workbookViewId="0"/>
  </sheetViews>
  <sheetFormatPr defaultColWidth="11.42578125" defaultRowHeight="12.75"/>
  <sheetData>
    <row r="1" spans="1:4">
      <c r="A1" s="172" t="s">
        <v>483</v>
      </c>
      <c r="C1" s="9"/>
    </row>
    <row r="2" spans="1:4" ht="15.75">
      <c r="A2" t="s">
        <v>496</v>
      </c>
      <c r="C2">
        <v>100</v>
      </c>
    </row>
    <row r="3" spans="1:4" ht="15.75">
      <c r="A3" t="s">
        <v>497</v>
      </c>
      <c r="C3">
        <v>105</v>
      </c>
    </row>
    <row r="4" spans="1:4">
      <c r="A4" s="49" t="s">
        <v>484</v>
      </c>
      <c r="C4">
        <f>C3/C2-1</f>
        <v>5.0000000000000044E-2</v>
      </c>
    </row>
    <row r="5" spans="1:4">
      <c r="B5" s="3"/>
    </row>
    <row r="6" spans="1:4">
      <c r="A6" s="1" t="s">
        <v>485</v>
      </c>
    </row>
    <row r="7" spans="1:4">
      <c r="B7" s="3" t="s">
        <v>486</v>
      </c>
      <c r="C7" s="3" t="s">
        <v>487</v>
      </c>
      <c r="D7" t="s">
        <v>488</v>
      </c>
    </row>
    <row r="8" spans="1:4">
      <c r="B8">
        <v>2</v>
      </c>
      <c r="C8" s="9">
        <f t="shared" ref="C8:C13" si="0">B8*(($C$3/$C$2)^(1/B8)-1)</f>
        <v>4.9390153191919861E-2</v>
      </c>
      <c r="D8">
        <f t="shared" ref="D8:D13" si="1">$C$2*(1+C8/B8)^B8</f>
        <v>105.00000000000003</v>
      </c>
    </row>
    <row r="9" spans="1:4">
      <c r="A9" s="3"/>
      <c r="B9">
        <v>3</v>
      </c>
      <c r="C9">
        <f t="shared" si="0"/>
        <v>4.9189070444560556E-2</v>
      </c>
      <c r="D9">
        <f t="shared" si="1"/>
        <v>105.00000000000004</v>
      </c>
    </row>
    <row r="10" spans="1:4">
      <c r="A10" s="3"/>
      <c r="B10">
        <v>6</v>
      </c>
      <c r="C10">
        <f t="shared" si="0"/>
        <v>4.8989076311406254E-2</v>
      </c>
      <c r="D10">
        <f t="shared" si="1"/>
        <v>104.99999999999996</v>
      </c>
    </row>
    <row r="11" spans="1:4">
      <c r="A11" s="3"/>
      <c r="B11">
        <v>12</v>
      </c>
      <c r="C11">
        <f t="shared" si="0"/>
        <v>4.8889485403780242E-2</v>
      </c>
      <c r="D11">
        <f t="shared" si="1"/>
        <v>105.00000000000011</v>
      </c>
    </row>
    <row r="12" spans="1:4">
      <c r="A12" s="3"/>
      <c r="B12">
        <v>100</v>
      </c>
      <c r="C12">
        <f t="shared" si="0"/>
        <v>4.8802068505993113E-2</v>
      </c>
      <c r="D12">
        <f t="shared" si="1"/>
        <v>104.99999999999916</v>
      </c>
    </row>
    <row r="13" spans="1:4">
      <c r="A13" s="3"/>
      <c r="B13">
        <v>1000</v>
      </c>
      <c r="C13">
        <f t="shared" si="0"/>
        <v>4.8791354428923128E-2</v>
      </c>
      <c r="D13">
        <f t="shared" si="1"/>
        <v>104.99999999999987</v>
      </c>
    </row>
    <row r="14" spans="1:4">
      <c r="A14" s="3"/>
      <c r="B14" s="3" t="s">
        <v>489</v>
      </c>
      <c r="C14" s="3" t="s">
        <v>489</v>
      </c>
    </row>
    <row r="15" spans="1:4">
      <c r="B15" s="3" t="s">
        <v>490</v>
      </c>
      <c r="C15" s="115">
        <f>LN(C3/C2)</f>
        <v>4.8790164169432049E-2</v>
      </c>
      <c r="D15">
        <f>C2*EXP(C15)</f>
        <v>105</v>
      </c>
    </row>
    <row r="16" spans="1:4">
      <c r="A16" s="49"/>
      <c r="C16" s="9"/>
    </row>
    <row r="17" spans="1:10">
      <c r="A17" s="172" t="s">
        <v>491</v>
      </c>
      <c r="C17" s="9"/>
    </row>
    <row r="18" spans="1:10">
      <c r="A18" t="s">
        <v>239</v>
      </c>
      <c r="B18" s="3" t="s">
        <v>240</v>
      </c>
      <c r="C18" s="3" t="s">
        <v>241</v>
      </c>
      <c r="D18" s="3" t="s">
        <v>242</v>
      </c>
      <c r="E18" s="3" t="s">
        <v>243</v>
      </c>
      <c r="F18" s="3" t="s">
        <v>244</v>
      </c>
      <c r="G18" s="3"/>
    </row>
    <row r="19" spans="1:10">
      <c r="A19" t="s">
        <v>245</v>
      </c>
      <c r="B19">
        <v>500</v>
      </c>
      <c r="C19">
        <v>50</v>
      </c>
      <c r="D19">
        <f>B19+C19</f>
        <v>550</v>
      </c>
      <c r="E19">
        <f>B19/$D19</f>
        <v>0.90909090909090906</v>
      </c>
      <c r="F19">
        <f>C19/$D19</f>
        <v>9.0909090909090912E-2</v>
      </c>
    </row>
    <row r="20" spans="1:10">
      <c r="A20" t="s">
        <v>246</v>
      </c>
      <c r="B20">
        <v>510</v>
      </c>
      <c r="C20">
        <v>55</v>
      </c>
      <c r="D20">
        <f>B20+C20</f>
        <v>565</v>
      </c>
      <c r="E20">
        <f>B20/$D20</f>
        <v>0.90265486725663713</v>
      </c>
      <c r="F20">
        <f>C20/$D20</f>
        <v>9.7345132743362831E-2</v>
      </c>
    </row>
    <row r="22" spans="1:10" ht="25.5">
      <c r="B22" s="3" t="s">
        <v>247</v>
      </c>
      <c r="C22" s="3" t="s">
        <v>248</v>
      </c>
      <c r="D22" s="3" t="s">
        <v>249</v>
      </c>
      <c r="E22" s="13" t="s">
        <v>250</v>
      </c>
    </row>
    <row r="23" spans="1:10">
      <c r="A23" t="s">
        <v>253</v>
      </c>
      <c r="B23">
        <f>LN(B20/B19)</f>
        <v>1.980262729617973E-2</v>
      </c>
      <c r="C23">
        <f>LN(C20/C19)</f>
        <v>9.5310179804324935E-2</v>
      </c>
      <c r="D23">
        <f>LN(D20/D19)</f>
        <v>2.6907452919924402E-2</v>
      </c>
      <c r="E23">
        <f>B23*E$19+C23*F$19</f>
        <v>2.6666950251465659E-2</v>
      </c>
      <c r="F23" s="108" t="s">
        <v>254</v>
      </c>
    </row>
    <row r="24" spans="1:10">
      <c r="A24" t="s">
        <v>251</v>
      </c>
      <c r="B24">
        <f>B20/B19-1</f>
        <v>2.0000000000000018E-2</v>
      </c>
      <c r="C24">
        <f>C20/C19-1</f>
        <v>0.10000000000000009</v>
      </c>
      <c r="D24">
        <f>D20/D19-1</f>
        <v>2.7272727272727337E-2</v>
      </c>
      <c r="E24">
        <f>B24*E$19+C24*F$19</f>
        <v>2.7272727272727296E-2</v>
      </c>
      <c r="F24" s="108" t="s">
        <v>252</v>
      </c>
    </row>
    <row r="25" spans="1:10">
      <c r="F25" s="108"/>
    </row>
    <row r="26" spans="1:10">
      <c r="A26" s="1" t="s">
        <v>492</v>
      </c>
      <c r="H26" s="3" t="s">
        <v>493</v>
      </c>
      <c r="I26" s="3" t="s">
        <v>494</v>
      </c>
      <c r="J26" s="3" t="s">
        <v>495</v>
      </c>
    </row>
    <row r="27" spans="1:10" ht="15.75">
      <c r="A27" s="3" t="s">
        <v>263</v>
      </c>
      <c r="B27" s="3" t="s">
        <v>256</v>
      </c>
      <c r="C27" s="3" t="s">
        <v>257</v>
      </c>
      <c r="D27" s="3" t="s">
        <v>258</v>
      </c>
      <c r="E27" s="3" t="s">
        <v>259</v>
      </c>
      <c r="F27" s="3" t="s">
        <v>260</v>
      </c>
      <c r="H27">
        <v>4</v>
      </c>
      <c r="I27">
        <v>21</v>
      </c>
      <c r="J27">
        <f>21*24</f>
        <v>504</v>
      </c>
    </row>
    <row r="28" spans="1:10">
      <c r="A28">
        <v>1994.12</v>
      </c>
      <c r="B28" s="8">
        <v>2106.58</v>
      </c>
      <c r="C28" s="9">
        <f t="shared" ref="C28:C40" si="2">LN(B28)</f>
        <v>7.6528210583860456</v>
      </c>
      <c r="D28" t="s">
        <v>255</v>
      </c>
      <c r="E28" t="s">
        <v>255</v>
      </c>
      <c r="F28" t="s">
        <v>255</v>
      </c>
    </row>
    <row r="29" spans="1:10">
      <c r="A29">
        <v>1995.01</v>
      </c>
      <c r="B29" s="8">
        <v>2021.27</v>
      </c>
      <c r="C29" s="9">
        <f t="shared" si="2"/>
        <v>7.6114813057094004</v>
      </c>
      <c r="D29" s="8">
        <f t="shared" ref="D29:D40" si="3">B29-B28</f>
        <v>-85.309999999999945</v>
      </c>
      <c r="E29" s="173">
        <f t="shared" ref="E29:E40" si="4">C29-C28</f>
        <v>-4.1339752676645247E-2</v>
      </c>
      <c r="F29" s="173">
        <f t="shared" ref="F29:F40" si="5">D29/B28</f>
        <v>-4.0496919177054724E-2</v>
      </c>
      <c r="H29" s="173">
        <f t="shared" ref="H29:H40" si="6">H$27*(($B29/$B28)^(1/H$27)-1)</f>
        <v>-4.1126864808239461E-2</v>
      </c>
      <c r="I29" s="173">
        <f t="shared" ref="I29:I40" si="7">I$27*(($B29/$B28)^(1/I$27)-1)</f>
        <v>-4.1299089479107431E-2</v>
      </c>
      <c r="J29" s="173">
        <f t="shared" ref="J29:J40" si="8">J$27*(($B29/$B28)^(1/J$27)-1)</f>
        <v>-4.1338057311165244E-2</v>
      </c>
    </row>
    <row r="30" spans="1:10">
      <c r="A30">
        <v>1995.02</v>
      </c>
      <c r="B30" s="8">
        <v>2102.1799999999998</v>
      </c>
      <c r="C30" s="9">
        <f t="shared" si="2"/>
        <v>7.6507301805013563</v>
      </c>
      <c r="D30" s="8">
        <f t="shared" si="3"/>
        <v>80.909999999999854</v>
      </c>
      <c r="E30" s="173">
        <f t="shared" si="4"/>
        <v>3.9248874791955934E-2</v>
      </c>
      <c r="F30" s="173">
        <f t="shared" si="5"/>
        <v>4.0029288516625613E-2</v>
      </c>
      <c r="H30" s="173">
        <f t="shared" si="6"/>
        <v>3.9442065422736761E-2</v>
      </c>
      <c r="I30" s="173">
        <f t="shared" si="7"/>
        <v>3.9285575609415702E-2</v>
      </c>
      <c r="J30" s="173">
        <f t="shared" si="8"/>
        <v>3.9250403079838847E-2</v>
      </c>
    </row>
    <row r="31" spans="1:10">
      <c r="A31">
        <v>1995.03</v>
      </c>
      <c r="B31" s="8">
        <v>1922.59</v>
      </c>
      <c r="C31" s="9">
        <f t="shared" si="2"/>
        <v>7.5614285143282691</v>
      </c>
      <c r="D31" s="8">
        <f t="shared" si="3"/>
        <v>-179.58999999999992</v>
      </c>
      <c r="E31" s="173">
        <f t="shared" si="4"/>
        <v>-8.9301666173087213E-2</v>
      </c>
      <c r="F31" s="173">
        <f t="shared" si="5"/>
        <v>-8.5430362766271167E-2</v>
      </c>
      <c r="H31" s="173">
        <f t="shared" si="6"/>
        <v>-8.8312194857437909E-2</v>
      </c>
      <c r="I31" s="173">
        <f t="shared" si="7"/>
        <v>-8.9112059138972244E-2</v>
      </c>
      <c r="J31" s="173">
        <f t="shared" si="8"/>
        <v>-8.9293755144728593E-2</v>
      </c>
    </row>
    <row r="32" spans="1:10">
      <c r="A32">
        <v>1995.04</v>
      </c>
      <c r="B32" s="8">
        <v>2015.94</v>
      </c>
      <c r="C32" s="9">
        <f t="shared" si="2"/>
        <v>7.6088408668436029</v>
      </c>
      <c r="D32" s="8">
        <f t="shared" si="3"/>
        <v>93.350000000000136</v>
      </c>
      <c r="E32" s="173">
        <f t="shared" si="4"/>
        <v>4.7412352515333822E-2</v>
      </c>
      <c r="F32" s="173">
        <f t="shared" si="5"/>
        <v>4.855429394722751E-2</v>
      </c>
      <c r="H32" s="173">
        <f t="shared" si="6"/>
        <v>4.7694457414629632E-2</v>
      </c>
      <c r="I32" s="173">
        <f t="shared" si="7"/>
        <v>4.7465914988373603E-2</v>
      </c>
      <c r="J32" s="173">
        <f t="shared" si="8"/>
        <v>4.7414582675729733E-2</v>
      </c>
    </row>
    <row r="33" spans="1:10">
      <c r="A33">
        <v>1995.05</v>
      </c>
      <c r="B33" s="8">
        <v>2092.17</v>
      </c>
      <c r="C33" s="9">
        <f t="shared" si="2"/>
        <v>7.6459570838335269</v>
      </c>
      <c r="D33" s="8">
        <f t="shared" si="3"/>
        <v>76.230000000000018</v>
      </c>
      <c r="E33" s="173">
        <f t="shared" si="4"/>
        <v>3.7116216989923956E-2</v>
      </c>
      <c r="F33" s="173">
        <f t="shared" si="5"/>
        <v>3.7813625405518032E-2</v>
      </c>
      <c r="H33" s="173">
        <f t="shared" si="6"/>
        <v>3.7288952546193244E-2</v>
      </c>
      <c r="I33" s="173">
        <f t="shared" si="7"/>
        <v>3.7149036645597988E-2</v>
      </c>
      <c r="J33" s="173">
        <f t="shared" si="8"/>
        <v>3.7117583703624391E-2</v>
      </c>
    </row>
    <row r="34" spans="1:10">
      <c r="A34">
        <v>1995.06</v>
      </c>
      <c r="B34" s="8">
        <v>2083.9299999999998</v>
      </c>
      <c r="C34" s="9">
        <f t="shared" si="2"/>
        <v>7.642010813057686</v>
      </c>
      <c r="D34" s="8">
        <f t="shared" si="3"/>
        <v>-8.2400000000002365</v>
      </c>
      <c r="E34" s="173">
        <f t="shared" si="4"/>
        <v>-3.9462707758408655E-3</v>
      </c>
      <c r="F34" s="173">
        <f t="shared" si="5"/>
        <v>-3.9384944818060845E-3</v>
      </c>
      <c r="H34" s="173">
        <f t="shared" si="6"/>
        <v>-3.9443247842143592E-3</v>
      </c>
      <c r="I34" s="173">
        <f t="shared" si="7"/>
        <v>-3.9459000120890542E-3</v>
      </c>
      <c r="J34" s="173">
        <f t="shared" si="8"/>
        <v>-3.9462553264506539E-3</v>
      </c>
    </row>
    <row r="35" spans="1:10">
      <c r="A35">
        <v>1995.07</v>
      </c>
      <c r="B35" s="8">
        <v>2218.7399999999998</v>
      </c>
      <c r="C35" s="9">
        <f t="shared" si="2"/>
        <v>7.7046947461713158</v>
      </c>
      <c r="D35" s="8">
        <f t="shared" si="3"/>
        <v>134.80999999999995</v>
      </c>
      <c r="E35" s="173">
        <f t="shared" si="4"/>
        <v>6.2683933113629742E-2</v>
      </c>
      <c r="F35" s="173">
        <f t="shared" si="5"/>
        <v>6.4690272705897015E-2</v>
      </c>
      <c r="H35" s="173">
        <f t="shared" si="6"/>
        <v>6.3177668281030996E-2</v>
      </c>
      <c r="I35" s="173">
        <f t="shared" si="7"/>
        <v>6.2777580445828596E-2</v>
      </c>
      <c r="J35" s="173">
        <f t="shared" si="8"/>
        <v>6.2687831366030622E-2</v>
      </c>
    </row>
    <row r="36" spans="1:10">
      <c r="A36">
        <v>1995.08</v>
      </c>
      <c r="B36" s="8">
        <v>2238.31</v>
      </c>
      <c r="C36" s="9">
        <f t="shared" si="2"/>
        <v>7.7134763958119601</v>
      </c>
      <c r="D36" s="8">
        <f t="shared" si="3"/>
        <v>19.570000000000164</v>
      </c>
      <c r="E36" s="173">
        <f t="shared" si="4"/>
        <v>8.7816496406443179E-3</v>
      </c>
      <c r="F36" s="173">
        <f t="shared" si="5"/>
        <v>8.8203214437023569E-3</v>
      </c>
      <c r="H36" s="173">
        <f t="shared" si="6"/>
        <v>8.7912963701706204E-3</v>
      </c>
      <c r="I36" s="173">
        <f t="shared" si="7"/>
        <v>8.7834860244793145E-3</v>
      </c>
      <c r="J36" s="173">
        <f t="shared" si="8"/>
        <v>8.7817261464113727E-3</v>
      </c>
    </row>
    <row r="37" spans="1:10">
      <c r="A37">
        <v>1995.09</v>
      </c>
      <c r="B37" s="8">
        <v>2187.04</v>
      </c>
      <c r="C37" s="9">
        <f t="shared" si="2"/>
        <v>7.6903043104043425</v>
      </c>
      <c r="D37" s="8">
        <f t="shared" si="3"/>
        <v>-51.269999999999982</v>
      </c>
      <c r="E37" s="173">
        <f t="shared" si="4"/>
        <v>-2.3172085407617615E-2</v>
      </c>
      <c r="F37" s="173">
        <f t="shared" si="5"/>
        <v>-2.2905674370395514E-2</v>
      </c>
      <c r="H37" s="173">
        <f t="shared" si="6"/>
        <v>-2.3105096633072808E-2</v>
      </c>
      <c r="I37" s="173">
        <f t="shared" si="7"/>
        <v>-2.3159305690898635E-2</v>
      </c>
      <c r="J37" s="173">
        <f t="shared" si="8"/>
        <v>-2.3171552731691136E-2</v>
      </c>
    </row>
    <row r="38" spans="1:10">
      <c r="A38" s="8">
        <v>1995.1</v>
      </c>
      <c r="B38" s="8">
        <v>2167.91</v>
      </c>
      <c r="C38" s="9">
        <f t="shared" si="2"/>
        <v>7.6815188487827228</v>
      </c>
      <c r="D38" s="8">
        <f t="shared" si="3"/>
        <v>-19.130000000000109</v>
      </c>
      <c r="E38" s="173">
        <f t="shared" si="4"/>
        <v>-8.7854616216196391E-3</v>
      </c>
      <c r="F38" s="173">
        <f t="shared" si="5"/>
        <v>-8.7469822225474201E-3</v>
      </c>
      <c r="H38" s="173">
        <f t="shared" si="6"/>
        <v>-8.7758206392969385E-3</v>
      </c>
      <c r="I38" s="173">
        <f t="shared" si="7"/>
        <v>-8.7836241555835359E-3</v>
      </c>
      <c r="J38" s="173">
        <f t="shared" si="8"/>
        <v>-8.7853850502952469E-3</v>
      </c>
    </row>
    <row r="39" spans="1:10">
      <c r="A39">
        <v>1995.11</v>
      </c>
      <c r="B39" s="8">
        <v>2242.83</v>
      </c>
      <c r="C39" s="9">
        <f t="shared" si="2"/>
        <v>7.7154937402970294</v>
      </c>
      <c r="D39" s="8">
        <f t="shared" si="3"/>
        <v>74.920000000000073</v>
      </c>
      <c r="E39" s="173">
        <f t="shared" si="4"/>
        <v>3.3974891514306549E-2</v>
      </c>
      <c r="F39" s="173">
        <f t="shared" si="5"/>
        <v>3.455863020143829E-2</v>
      </c>
      <c r="H39" s="173">
        <f t="shared" si="6"/>
        <v>3.4119587550193842E-2</v>
      </c>
      <c r="I39" s="173">
        <f t="shared" si="7"/>
        <v>3.4002389514238729E-2</v>
      </c>
      <c r="J39" s="173">
        <f t="shared" si="8"/>
        <v>3.3976036672228815E-2</v>
      </c>
    </row>
    <row r="40" spans="1:10">
      <c r="A40">
        <v>1995.12</v>
      </c>
      <c r="B40" s="8">
        <v>2253.88</v>
      </c>
      <c r="C40" s="9">
        <f t="shared" si="2"/>
        <v>7.720408454495713</v>
      </c>
      <c r="D40" s="8">
        <f t="shared" si="3"/>
        <v>11.050000000000182</v>
      </c>
      <c r="E40" s="173">
        <f t="shared" si="4"/>
        <v>4.9147141986836118E-3</v>
      </c>
      <c r="F40" s="173">
        <f t="shared" si="5"/>
        <v>4.9268112161867739E-3</v>
      </c>
      <c r="H40" s="173">
        <f t="shared" si="6"/>
        <v>4.9177347376048175E-3</v>
      </c>
      <c r="I40" s="173">
        <f t="shared" si="7"/>
        <v>4.9152893486852367E-3</v>
      </c>
      <c r="J40" s="173">
        <f t="shared" si="8"/>
        <v>4.9147381614353947E-3</v>
      </c>
    </row>
    <row r="41" spans="1:10">
      <c r="D41" s="3" t="s">
        <v>261</v>
      </c>
      <c r="E41" s="173">
        <f>AVERAGE(E29:E40)</f>
        <v>5.6322830091389458E-3</v>
      </c>
      <c r="F41" s="173">
        <f>AVERAGE(F29:F40)</f>
        <v>6.4895675348767244E-3</v>
      </c>
    </row>
    <row r="42" spans="1:10">
      <c r="D42" s="3" t="s">
        <v>262</v>
      </c>
      <c r="F42" s="173">
        <f t="array" ref="F42">GEOMEAN(1+F29:F40)-1</f>
        <v>5.6481741355187687E-3</v>
      </c>
    </row>
    <row r="43" spans="1:10">
      <c r="D43" s="3" t="s">
        <v>264</v>
      </c>
      <c r="E43" s="173">
        <f>(C40-C28)/12</f>
        <v>5.6322830091389458E-3</v>
      </c>
      <c r="F43" s="173">
        <f>(B40/B28)^(1/12)-1</f>
        <v>5.6481741355185466E-3</v>
      </c>
    </row>
  </sheetData>
  <phoneticPr fontId="11" type="noConversion"/>
  <pageMargins left="0.78740157499999996" right="0.78740157499999996" top="0.984251969" bottom="0.984251969" header="0.4921259845" footer="0.492125984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2"/>
  <dimension ref="A1:D257"/>
  <sheetViews>
    <sheetView workbookViewId="0"/>
  </sheetViews>
  <sheetFormatPr defaultColWidth="9.140625" defaultRowHeight="12.75"/>
  <sheetData>
    <row r="1" spans="1:4">
      <c r="A1" s="1" t="s">
        <v>0</v>
      </c>
    </row>
    <row r="3" spans="1:4">
      <c r="A3" s="2" t="s">
        <v>1</v>
      </c>
    </row>
    <row r="4" spans="1:4">
      <c r="A4" s="5">
        <v>12</v>
      </c>
      <c r="C4" t="s">
        <v>23</v>
      </c>
      <c r="D4">
        <f>MODE(A4:A257)</f>
        <v>11</v>
      </c>
    </row>
    <row r="5" spans="1:4">
      <c r="A5" s="5">
        <v>11</v>
      </c>
    </row>
    <row r="6" spans="1:4">
      <c r="A6" s="5">
        <v>10.5</v>
      </c>
    </row>
    <row r="7" spans="1:4">
      <c r="A7" s="5">
        <v>10</v>
      </c>
    </row>
    <row r="8" spans="1:4">
      <c r="A8" s="5">
        <v>10.5</v>
      </c>
    </row>
    <row r="9" spans="1:4">
      <c r="A9" s="5">
        <v>13</v>
      </c>
    </row>
    <row r="10" spans="1:4">
      <c r="A10" s="5">
        <v>9</v>
      </c>
    </row>
    <row r="11" spans="1:4">
      <c r="A11" s="5">
        <v>9</v>
      </c>
    </row>
    <row r="12" spans="1:4">
      <c r="A12" s="5">
        <v>13</v>
      </c>
    </row>
    <row r="13" spans="1:4">
      <c r="A13" s="5">
        <v>10.5</v>
      </c>
    </row>
    <row r="14" spans="1:4">
      <c r="A14" s="5">
        <v>7.5</v>
      </c>
    </row>
    <row r="15" spans="1:4">
      <c r="A15" s="5">
        <v>10</v>
      </c>
    </row>
    <row r="16" spans="1:4">
      <c r="A16" s="5">
        <v>6.5</v>
      </c>
    </row>
    <row r="17" spans="1:1">
      <c r="A17" s="5">
        <v>12</v>
      </c>
    </row>
    <row r="18" spans="1:1">
      <c r="A18" s="5">
        <v>12.5</v>
      </c>
    </row>
    <row r="19" spans="1:1">
      <c r="A19" s="5">
        <v>8</v>
      </c>
    </row>
    <row r="20" spans="1:1">
      <c r="A20" s="5">
        <v>11</v>
      </c>
    </row>
    <row r="21" spans="1:1">
      <c r="A21" s="5">
        <v>8.5</v>
      </c>
    </row>
    <row r="22" spans="1:1">
      <c r="A22" s="5">
        <v>11</v>
      </c>
    </row>
    <row r="23" spans="1:1">
      <c r="A23" s="5">
        <v>9.5</v>
      </c>
    </row>
    <row r="24" spans="1:1">
      <c r="A24" s="5">
        <v>11</v>
      </c>
    </row>
    <row r="25" spans="1:1">
      <c r="A25" s="5">
        <v>8</v>
      </c>
    </row>
    <row r="26" spans="1:1">
      <c r="A26" s="5">
        <v>11</v>
      </c>
    </row>
    <row r="27" spans="1:1">
      <c r="A27" s="5">
        <v>9.5</v>
      </c>
    </row>
    <row r="28" spans="1:1">
      <c r="A28" s="5">
        <v>12.5</v>
      </c>
    </row>
    <row r="29" spans="1:1">
      <c r="A29" s="5">
        <v>9.5</v>
      </c>
    </row>
    <row r="30" spans="1:1">
      <c r="A30" s="5">
        <v>9</v>
      </c>
    </row>
    <row r="31" spans="1:1">
      <c r="A31" s="5">
        <v>8.5</v>
      </c>
    </row>
    <row r="32" spans="1:1">
      <c r="A32" s="5">
        <v>7.5</v>
      </c>
    </row>
    <row r="33" spans="1:1">
      <c r="A33" s="5">
        <v>9.5</v>
      </c>
    </row>
    <row r="34" spans="1:1">
      <c r="A34" s="5">
        <v>11</v>
      </c>
    </row>
    <row r="35" spans="1:1">
      <c r="A35" s="5">
        <v>11</v>
      </c>
    </row>
    <row r="36" spans="1:1">
      <c r="A36" s="5">
        <v>11.5</v>
      </c>
    </row>
    <row r="37" spans="1:1">
      <c r="A37" s="5">
        <v>9</v>
      </c>
    </row>
    <row r="38" spans="1:1">
      <c r="A38" s="5">
        <v>8.5</v>
      </c>
    </row>
    <row r="39" spans="1:1">
      <c r="A39" s="5">
        <v>10.5</v>
      </c>
    </row>
    <row r="40" spans="1:1">
      <c r="A40" s="5">
        <v>7</v>
      </c>
    </row>
    <row r="41" spans="1:1">
      <c r="A41" s="5">
        <v>9.5</v>
      </c>
    </row>
    <row r="42" spans="1:1">
      <c r="A42" s="5">
        <v>10.5</v>
      </c>
    </row>
    <row r="43" spans="1:1">
      <c r="A43" s="5">
        <v>9.5</v>
      </c>
    </row>
    <row r="44" spans="1:1">
      <c r="A44" s="5">
        <v>11</v>
      </c>
    </row>
    <row r="45" spans="1:1">
      <c r="A45" s="5">
        <v>9.5</v>
      </c>
    </row>
    <row r="46" spans="1:1">
      <c r="A46" s="5">
        <v>9</v>
      </c>
    </row>
    <row r="47" spans="1:1">
      <c r="A47" s="5">
        <v>8</v>
      </c>
    </row>
    <row r="48" spans="1:1">
      <c r="A48" s="5">
        <v>11.5</v>
      </c>
    </row>
    <row r="49" spans="1:1">
      <c r="A49" s="5">
        <v>8</v>
      </c>
    </row>
    <row r="50" spans="1:1">
      <c r="A50" s="5">
        <v>7.5</v>
      </c>
    </row>
    <row r="51" spans="1:1">
      <c r="A51" s="5">
        <v>9.5</v>
      </c>
    </row>
    <row r="52" spans="1:1">
      <c r="A52" s="5">
        <v>10</v>
      </c>
    </row>
    <row r="53" spans="1:1">
      <c r="A53" s="5">
        <v>10.5</v>
      </c>
    </row>
    <row r="54" spans="1:1">
      <c r="A54" s="5">
        <v>11.5</v>
      </c>
    </row>
    <row r="55" spans="1:1">
      <c r="A55" s="5">
        <v>10</v>
      </c>
    </row>
    <row r="56" spans="1:1">
      <c r="A56" s="5">
        <v>8</v>
      </c>
    </row>
    <row r="57" spans="1:1">
      <c r="A57" s="5">
        <v>7.5</v>
      </c>
    </row>
    <row r="58" spans="1:1">
      <c r="A58" s="5">
        <v>10</v>
      </c>
    </row>
    <row r="59" spans="1:1">
      <c r="A59" s="5">
        <v>11.5</v>
      </c>
    </row>
    <row r="60" spans="1:1">
      <c r="A60" s="5">
        <v>11</v>
      </c>
    </row>
    <row r="61" spans="1:1">
      <c r="A61" s="5">
        <v>11</v>
      </c>
    </row>
    <row r="62" spans="1:1">
      <c r="A62" s="5">
        <v>10.5</v>
      </c>
    </row>
    <row r="63" spans="1:1">
      <c r="A63" s="5">
        <v>7.5</v>
      </c>
    </row>
    <row r="64" spans="1:1">
      <c r="A64" s="5">
        <v>7.5</v>
      </c>
    </row>
    <row r="65" spans="1:1">
      <c r="A65" s="5">
        <v>12</v>
      </c>
    </row>
    <row r="66" spans="1:1">
      <c r="A66" s="5">
        <v>10</v>
      </c>
    </row>
    <row r="67" spans="1:1">
      <c r="A67" s="5">
        <v>12</v>
      </c>
    </row>
    <row r="68" spans="1:1">
      <c r="A68" s="5">
        <v>9.5</v>
      </c>
    </row>
    <row r="69" spans="1:1">
      <c r="A69" s="5">
        <v>12</v>
      </c>
    </row>
    <row r="70" spans="1:1">
      <c r="A70" s="5">
        <v>11</v>
      </c>
    </row>
    <row r="71" spans="1:1">
      <c r="A71" s="5">
        <v>11</v>
      </c>
    </row>
    <row r="72" spans="1:1">
      <c r="A72" s="5">
        <v>11</v>
      </c>
    </row>
    <row r="73" spans="1:1">
      <c r="A73" s="5">
        <v>9.5</v>
      </c>
    </row>
    <row r="74" spans="1:1">
      <c r="A74" s="5">
        <v>10</v>
      </c>
    </row>
    <row r="75" spans="1:1">
      <c r="A75" s="5">
        <v>12</v>
      </c>
    </row>
    <row r="76" spans="1:1">
      <c r="A76" s="5">
        <v>13.5</v>
      </c>
    </row>
    <row r="77" spans="1:1">
      <c r="A77" s="5">
        <v>8.5</v>
      </c>
    </row>
    <row r="78" spans="1:1">
      <c r="A78" s="5">
        <v>10</v>
      </c>
    </row>
    <row r="79" spans="1:1">
      <c r="A79" s="5">
        <v>11.5</v>
      </c>
    </row>
    <row r="80" spans="1:1">
      <c r="A80" s="5">
        <v>8.5</v>
      </c>
    </row>
    <row r="81" spans="1:1">
      <c r="A81" s="5">
        <v>10</v>
      </c>
    </row>
    <row r="82" spans="1:1">
      <c r="A82" s="5">
        <v>9.5</v>
      </c>
    </row>
    <row r="83" spans="1:1">
      <c r="A83" s="5">
        <v>10</v>
      </c>
    </row>
    <row r="84" spans="1:1">
      <c r="A84" s="5">
        <v>10</v>
      </c>
    </row>
    <row r="85" spans="1:1">
      <c r="A85" s="5">
        <v>13</v>
      </c>
    </row>
    <row r="86" spans="1:1">
      <c r="A86" s="5">
        <v>12</v>
      </c>
    </row>
    <row r="87" spans="1:1">
      <c r="A87" s="5">
        <v>9.5</v>
      </c>
    </row>
    <row r="88" spans="1:1">
      <c r="A88" s="5">
        <v>9</v>
      </c>
    </row>
    <row r="89" spans="1:1">
      <c r="A89" s="5">
        <v>11</v>
      </c>
    </row>
    <row r="90" spans="1:1">
      <c r="A90" s="5">
        <v>8</v>
      </c>
    </row>
    <row r="91" spans="1:1">
      <c r="A91" s="5">
        <v>10</v>
      </c>
    </row>
    <row r="92" spans="1:1">
      <c r="A92" s="5">
        <v>12</v>
      </c>
    </row>
    <row r="93" spans="1:1">
      <c r="A93" s="5">
        <v>6.5</v>
      </c>
    </row>
    <row r="94" spans="1:1">
      <c r="A94" s="5">
        <v>10.5</v>
      </c>
    </row>
    <row r="95" spans="1:1">
      <c r="A95" s="5">
        <v>12</v>
      </c>
    </row>
    <row r="96" spans="1:1">
      <c r="A96" s="5">
        <v>9.5</v>
      </c>
    </row>
    <row r="97" spans="1:1">
      <c r="A97" s="5">
        <v>9</v>
      </c>
    </row>
    <row r="98" spans="1:1">
      <c r="A98" s="5">
        <v>10.5</v>
      </c>
    </row>
    <row r="99" spans="1:1">
      <c r="A99" s="5">
        <v>8</v>
      </c>
    </row>
    <row r="100" spans="1:1">
      <c r="A100" s="5">
        <v>9.5</v>
      </c>
    </row>
    <row r="101" spans="1:1">
      <c r="A101" s="5">
        <v>11</v>
      </c>
    </row>
    <row r="102" spans="1:1">
      <c r="A102" s="5">
        <v>12.5</v>
      </c>
    </row>
    <row r="103" spans="1:1">
      <c r="A103" s="5">
        <v>13.5</v>
      </c>
    </row>
    <row r="104" spans="1:1">
      <c r="A104" s="5">
        <v>11</v>
      </c>
    </row>
    <row r="105" spans="1:1">
      <c r="A105" s="5">
        <v>7.5</v>
      </c>
    </row>
    <row r="106" spans="1:1">
      <c r="A106" s="5">
        <v>10.5</v>
      </c>
    </row>
    <row r="107" spans="1:1">
      <c r="A107" s="5">
        <v>8.5</v>
      </c>
    </row>
    <row r="108" spans="1:1">
      <c r="A108" s="5">
        <v>8.5</v>
      </c>
    </row>
    <row r="109" spans="1:1">
      <c r="A109" s="5">
        <v>11</v>
      </c>
    </row>
    <row r="110" spans="1:1">
      <c r="A110" s="5">
        <v>11</v>
      </c>
    </row>
    <row r="111" spans="1:1">
      <c r="A111" s="5">
        <v>9.5</v>
      </c>
    </row>
    <row r="112" spans="1:1">
      <c r="A112" s="5">
        <v>11.5</v>
      </c>
    </row>
    <row r="113" spans="1:1">
      <c r="A113" s="5">
        <v>8</v>
      </c>
    </row>
    <row r="114" spans="1:1">
      <c r="A114" s="5">
        <v>10</v>
      </c>
    </row>
    <row r="115" spans="1:1">
      <c r="A115" s="5">
        <v>10</v>
      </c>
    </row>
    <row r="116" spans="1:1">
      <c r="A116" s="5">
        <v>7.5</v>
      </c>
    </row>
    <row r="117" spans="1:1">
      <c r="A117" s="5">
        <v>8</v>
      </c>
    </row>
    <row r="118" spans="1:1">
      <c r="A118" s="5">
        <v>10.5</v>
      </c>
    </row>
    <row r="119" spans="1:1">
      <c r="A119" s="5">
        <v>8.5</v>
      </c>
    </row>
    <row r="120" spans="1:1">
      <c r="A120" s="5">
        <v>8.5</v>
      </c>
    </row>
    <row r="121" spans="1:1">
      <c r="A121" s="5">
        <v>8.5</v>
      </c>
    </row>
    <row r="122" spans="1:1">
      <c r="A122" s="5">
        <v>7</v>
      </c>
    </row>
    <row r="123" spans="1:1">
      <c r="A123" s="5">
        <v>11.5</v>
      </c>
    </row>
    <row r="124" spans="1:1">
      <c r="A124" s="5">
        <v>8</v>
      </c>
    </row>
    <row r="125" spans="1:1">
      <c r="A125" s="5">
        <v>7</v>
      </c>
    </row>
    <row r="126" spans="1:1">
      <c r="A126" s="5">
        <v>12</v>
      </c>
    </row>
    <row r="127" spans="1:1">
      <c r="A127" s="5">
        <v>8</v>
      </c>
    </row>
    <row r="128" spans="1:1">
      <c r="A128" s="5">
        <v>9</v>
      </c>
    </row>
    <row r="129" spans="1:1">
      <c r="A129" s="5">
        <v>9</v>
      </c>
    </row>
    <row r="130" spans="1:1">
      <c r="A130" s="5">
        <v>10.5</v>
      </c>
    </row>
    <row r="131" spans="1:1">
      <c r="A131" s="5">
        <v>8.5</v>
      </c>
    </row>
    <row r="132" spans="1:1">
      <c r="A132" s="5">
        <v>12.5</v>
      </c>
    </row>
    <row r="133" spans="1:1">
      <c r="A133" s="5">
        <v>10.5</v>
      </c>
    </row>
    <row r="134" spans="1:1">
      <c r="A134" s="5">
        <v>10</v>
      </c>
    </row>
    <row r="135" spans="1:1">
      <c r="A135" s="5">
        <v>8</v>
      </c>
    </row>
    <row r="136" spans="1:1">
      <c r="A136" s="5">
        <v>8.5</v>
      </c>
    </row>
    <row r="137" spans="1:1">
      <c r="A137" s="5">
        <v>11</v>
      </c>
    </row>
    <row r="138" spans="1:1">
      <c r="A138" s="5">
        <v>6.5</v>
      </c>
    </row>
    <row r="139" spans="1:1">
      <c r="A139" s="5">
        <v>8.5</v>
      </c>
    </row>
    <row r="140" spans="1:1">
      <c r="A140" s="5">
        <v>8</v>
      </c>
    </row>
    <row r="141" spans="1:1">
      <c r="A141" s="5">
        <v>12.5</v>
      </c>
    </row>
    <row r="142" spans="1:1">
      <c r="A142" s="5">
        <v>10.5</v>
      </c>
    </row>
    <row r="143" spans="1:1">
      <c r="A143" s="5">
        <v>9.5</v>
      </c>
    </row>
    <row r="144" spans="1:1">
      <c r="A144" s="5">
        <v>10</v>
      </c>
    </row>
    <row r="145" spans="1:1">
      <c r="A145" s="5">
        <v>9</v>
      </c>
    </row>
    <row r="146" spans="1:1">
      <c r="A146" s="5">
        <v>9.5</v>
      </c>
    </row>
    <row r="147" spans="1:1">
      <c r="A147" s="5">
        <v>9.5</v>
      </c>
    </row>
    <row r="148" spans="1:1">
      <c r="A148" s="5">
        <v>8.5</v>
      </c>
    </row>
    <row r="149" spans="1:1">
      <c r="A149" s="5">
        <v>10.5</v>
      </c>
    </row>
    <row r="150" spans="1:1">
      <c r="A150" s="5">
        <v>10</v>
      </c>
    </row>
    <row r="151" spans="1:1">
      <c r="A151" s="5">
        <v>9</v>
      </c>
    </row>
    <row r="152" spans="1:1">
      <c r="A152" s="5">
        <v>13</v>
      </c>
    </row>
    <row r="153" spans="1:1">
      <c r="A153" s="5">
        <v>13</v>
      </c>
    </row>
    <row r="154" spans="1:1">
      <c r="A154" s="5">
        <v>9</v>
      </c>
    </row>
    <row r="155" spans="1:1">
      <c r="A155" s="5">
        <v>7.5</v>
      </c>
    </row>
    <row r="156" spans="1:1">
      <c r="A156" s="5">
        <v>9</v>
      </c>
    </row>
    <row r="157" spans="1:1">
      <c r="A157" s="5">
        <v>13</v>
      </c>
    </row>
    <row r="158" spans="1:1">
      <c r="A158" s="5">
        <v>13</v>
      </c>
    </row>
    <row r="159" spans="1:1">
      <c r="A159" s="5">
        <v>11.5</v>
      </c>
    </row>
    <row r="160" spans="1:1">
      <c r="A160" s="5">
        <v>10</v>
      </c>
    </row>
    <row r="161" spans="1:1">
      <c r="A161" s="5">
        <v>9</v>
      </c>
    </row>
    <row r="162" spans="1:1">
      <c r="A162" s="5">
        <v>10</v>
      </c>
    </row>
    <row r="163" spans="1:1">
      <c r="A163" s="5">
        <v>13</v>
      </c>
    </row>
    <row r="164" spans="1:1">
      <c r="A164" s="5">
        <v>11.5</v>
      </c>
    </row>
    <row r="165" spans="1:1">
      <c r="A165" s="5">
        <v>10.5</v>
      </c>
    </row>
    <row r="166" spans="1:1">
      <c r="A166" s="5">
        <v>8.5</v>
      </c>
    </row>
    <row r="167" spans="1:1">
      <c r="A167" s="5">
        <v>9</v>
      </c>
    </row>
    <row r="168" spans="1:1">
      <c r="A168" s="5">
        <v>10.5</v>
      </c>
    </row>
    <row r="169" spans="1:1">
      <c r="A169" s="5">
        <v>13</v>
      </c>
    </row>
    <row r="170" spans="1:1">
      <c r="A170" s="5">
        <v>11</v>
      </c>
    </row>
    <row r="171" spans="1:1">
      <c r="A171" s="5">
        <v>9.5</v>
      </c>
    </row>
    <row r="172" spans="1:1">
      <c r="A172" s="5">
        <v>10</v>
      </c>
    </row>
    <row r="173" spans="1:1">
      <c r="A173" s="5">
        <v>8.5</v>
      </c>
    </row>
    <row r="174" spans="1:1">
      <c r="A174" s="5">
        <v>12</v>
      </c>
    </row>
    <row r="175" spans="1:1">
      <c r="A175" s="5">
        <v>11</v>
      </c>
    </row>
    <row r="176" spans="1:1">
      <c r="A176" s="5">
        <v>8.5</v>
      </c>
    </row>
    <row r="177" spans="1:1">
      <c r="A177" s="5">
        <v>12.5</v>
      </c>
    </row>
    <row r="178" spans="1:1">
      <c r="A178" s="5">
        <v>10</v>
      </c>
    </row>
    <row r="179" spans="1:1">
      <c r="A179" s="5">
        <v>8</v>
      </c>
    </row>
    <row r="180" spans="1:1">
      <c r="A180" s="5">
        <v>8.5</v>
      </c>
    </row>
    <row r="181" spans="1:1">
      <c r="A181" s="5">
        <v>10</v>
      </c>
    </row>
    <row r="182" spans="1:1">
      <c r="A182" s="5">
        <v>8.5</v>
      </c>
    </row>
    <row r="183" spans="1:1">
      <c r="A183" s="5">
        <v>11.5</v>
      </c>
    </row>
    <row r="184" spans="1:1">
      <c r="A184" s="5">
        <v>11.5</v>
      </c>
    </row>
    <row r="185" spans="1:1">
      <c r="A185" s="5">
        <v>9.5</v>
      </c>
    </row>
    <row r="186" spans="1:1">
      <c r="A186" s="5">
        <v>10</v>
      </c>
    </row>
    <row r="187" spans="1:1">
      <c r="A187" s="5">
        <v>8.5</v>
      </c>
    </row>
    <row r="188" spans="1:1">
      <c r="A188" s="5">
        <v>11</v>
      </c>
    </row>
    <row r="189" spans="1:1">
      <c r="A189" s="5">
        <v>12</v>
      </c>
    </row>
    <row r="190" spans="1:1">
      <c r="A190" s="5">
        <v>10.5</v>
      </c>
    </row>
    <row r="191" spans="1:1">
      <c r="A191" s="5">
        <v>11</v>
      </c>
    </row>
    <row r="192" spans="1:1">
      <c r="A192" s="5">
        <v>11</v>
      </c>
    </row>
    <row r="193" spans="1:1">
      <c r="A193" s="5">
        <v>9</v>
      </c>
    </row>
    <row r="194" spans="1:1">
      <c r="A194" s="5">
        <v>12</v>
      </c>
    </row>
    <row r="195" spans="1:1">
      <c r="A195" s="5">
        <v>10</v>
      </c>
    </row>
    <row r="196" spans="1:1">
      <c r="A196" s="5">
        <v>12</v>
      </c>
    </row>
    <row r="197" spans="1:1">
      <c r="A197" s="5">
        <v>11</v>
      </c>
    </row>
    <row r="198" spans="1:1">
      <c r="A198" s="5">
        <v>10</v>
      </c>
    </row>
    <row r="199" spans="1:1">
      <c r="A199" s="5">
        <v>9.5</v>
      </c>
    </row>
    <row r="200" spans="1:1">
      <c r="A200" s="5">
        <v>10.5</v>
      </c>
    </row>
    <row r="201" spans="1:1">
      <c r="A201" s="5">
        <v>8</v>
      </c>
    </row>
    <row r="202" spans="1:1">
      <c r="A202" s="5">
        <v>10</v>
      </c>
    </row>
    <row r="203" spans="1:1">
      <c r="A203" s="5">
        <v>12</v>
      </c>
    </row>
    <row r="204" spans="1:1">
      <c r="A204" s="5">
        <v>7.5</v>
      </c>
    </row>
    <row r="205" spans="1:1">
      <c r="A205" s="5">
        <v>10.5</v>
      </c>
    </row>
    <row r="206" spans="1:1">
      <c r="A206" s="5">
        <v>13.5</v>
      </c>
    </row>
    <row r="207" spans="1:1">
      <c r="A207" s="5">
        <v>12.5</v>
      </c>
    </row>
    <row r="208" spans="1:1">
      <c r="A208" s="5">
        <v>11</v>
      </c>
    </row>
    <row r="209" spans="1:1">
      <c r="A209" s="5">
        <v>8</v>
      </c>
    </row>
    <row r="210" spans="1:1">
      <c r="A210" s="5">
        <v>11</v>
      </c>
    </row>
    <row r="211" spans="1:1">
      <c r="A211" s="5">
        <v>9</v>
      </c>
    </row>
    <row r="212" spans="1:1">
      <c r="A212" s="5">
        <v>9.5</v>
      </c>
    </row>
    <row r="213" spans="1:1">
      <c r="A213" s="5">
        <v>9</v>
      </c>
    </row>
    <row r="214" spans="1:1">
      <c r="A214" s="5">
        <v>10</v>
      </c>
    </row>
    <row r="215" spans="1:1">
      <c r="A215" s="5">
        <v>11.5</v>
      </c>
    </row>
    <row r="216" spans="1:1">
      <c r="A216" s="5">
        <v>9</v>
      </c>
    </row>
    <row r="217" spans="1:1">
      <c r="A217" s="5">
        <v>11.5</v>
      </c>
    </row>
    <row r="218" spans="1:1">
      <c r="A218" s="5">
        <v>10.5</v>
      </c>
    </row>
    <row r="219" spans="1:1">
      <c r="A219" s="5">
        <v>9.5</v>
      </c>
    </row>
    <row r="220" spans="1:1">
      <c r="A220" s="5">
        <v>9.5</v>
      </c>
    </row>
    <row r="221" spans="1:1">
      <c r="A221" s="5">
        <v>8.5</v>
      </c>
    </row>
    <row r="222" spans="1:1">
      <c r="A222" s="5">
        <v>10</v>
      </c>
    </row>
    <row r="223" spans="1:1">
      <c r="A223" s="5">
        <v>7.5</v>
      </c>
    </row>
    <row r="224" spans="1:1">
      <c r="A224" s="5">
        <v>11</v>
      </c>
    </row>
    <row r="225" spans="1:1">
      <c r="A225" s="5">
        <v>9.5</v>
      </c>
    </row>
    <row r="226" spans="1:1">
      <c r="A226" s="5">
        <v>11</v>
      </c>
    </row>
    <row r="227" spans="1:1">
      <c r="A227" s="5">
        <v>11.5</v>
      </c>
    </row>
    <row r="228" spans="1:1">
      <c r="A228" s="5">
        <v>10.5</v>
      </c>
    </row>
    <row r="229" spans="1:1">
      <c r="A229" s="5">
        <v>7.5</v>
      </c>
    </row>
    <row r="230" spans="1:1">
      <c r="A230" s="5">
        <v>12</v>
      </c>
    </row>
    <row r="231" spans="1:1">
      <c r="A231" s="5">
        <v>8.5</v>
      </c>
    </row>
    <row r="232" spans="1:1">
      <c r="A232" s="5">
        <v>8</v>
      </c>
    </row>
    <row r="233" spans="1:1">
      <c r="A233" s="5">
        <v>10.5</v>
      </c>
    </row>
    <row r="234" spans="1:1">
      <c r="A234" s="5">
        <v>10</v>
      </c>
    </row>
    <row r="235" spans="1:1">
      <c r="A235" s="5">
        <v>12</v>
      </c>
    </row>
    <row r="236" spans="1:1">
      <c r="A236" s="5">
        <v>7.5</v>
      </c>
    </row>
    <row r="237" spans="1:1">
      <c r="A237" s="5">
        <v>8</v>
      </c>
    </row>
    <row r="238" spans="1:1">
      <c r="A238" s="5">
        <v>9.5</v>
      </c>
    </row>
    <row r="239" spans="1:1">
      <c r="A239" s="5">
        <v>13.5</v>
      </c>
    </row>
    <row r="240" spans="1:1">
      <c r="A240" s="5">
        <v>11</v>
      </c>
    </row>
    <row r="241" spans="1:1">
      <c r="A241" s="5">
        <v>8.5</v>
      </c>
    </row>
    <row r="242" spans="1:1">
      <c r="A242" s="5">
        <v>9</v>
      </c>
    </row>
    <row r="243" spans="1:1">
      <c r="A243" s="5">
        <v>12</v>
      </c>
    </row>
    <row r="244" spans="1:1">
      <c r="A244" s="5">
        <v>11</v>
      </c>
    </row>
    <row r="245" spans="1:1">
      <c r="A245" s="5">
        <v>8</v>
      </c>
    </row>
    <row r="246" spans="1:1">
      <c r="A246" s="5">
        <v>12</v>
      </c>
    </row>
    <row r="247" spans="1:1">
      <c r="A247" s="5">
        <v>9</v>
      </c>
    </row>
    <row r="248" spans="1:1">
      <c r="A248" s="5">
        <v>7.5</v>
      </c>
    </row>
    <row r="249" spans="1:1">
      <c r="A249" s="5">
        <v>11.5</v>
      </c>
    </row>
    <row r="250" spans="1:1">
      <c r="A250" s="5">
        <v>8.5</v>
      </c>
    </row>
    <row r="251" spans="1:1">
      <c r="A251" s="5">
        <v>12</v>
      </c>
    </row>
    <row r="252" spans="1:1">
      <c r="A252" s="5">
        <v>8.5</v>
      </c>
    </row>
    <row r="253" spans="1:1">
      <c r="A253" s="5">
        <v>7</v>
      </c>
    </row>
    <row r="254" spans="1:1">
      <c r="A254" s="5">
        <v>9</v>
      </c>
    </row>
    <row r="255" spans="1:1">
      <c r="A255" s="5">
        <v>8.5</v>
      </c>
    </row>
    <row r="256" spans="1:1">
      <c r="A256" s="5">
        <v>11</v>
      </c>
    </row>
    <row r="257" spans="1:1">
      <c r="A257" s="5">
        <v>8.5</v>
      </c>
    </row>
  </sheetData>
  <phoneticPr fontId="0" type="noConversion"/>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J16"/>
  <sheetViews>
    <sheetView workbookViewId="0"/>
  </sheetViews>
  <sheetFormatPr defaultColWidth="9.140625" defaultRowHeight="12.75"/>
  <cols>
    <col min="1" max="1" width="9" customWidth="1"/>
    <col min="2" max="2" width="8.7109375" customWidth="1"/>
    <col min="3" max="3" width="6.85546875" customWidth="1"/>
    <col min="4" max="4" width="21.140625" customWidth="1"/>
    <col min="5" max="5" width="9.28515625" customWidth="1"/>
    <col min="6" max="6" width="3.140625" customWidth="1"/>
  </cols>
  <sheetData>
    <row r="1" spans="1:10" ht="13.5" thickBot="1">
      <c r="A1" s="1" t="s">
        <v>2</v>
      </c>
    </row>
    <row r="2" spans="1:10">
      <c r="D2" s="18"/>
      <c r="E2" s="18" t="s">
        <v>4</v>
      </c>
      <c r="G2" s="18" t="s">
        <v>5</v>
      </c>
    </row>
    <row r="3" spans="1:10" s="6" customFormat="1">
      <c r="A3" s="6" t="s">
        <v>3</v>
      </c>
      <c r="D3" s="16" t="s">
        <v>17</v>
      </c>
      <c r="E3" s="16">
        <v>2.5</v>
      </c>
      <c r="F3"/>
      <c r="G3" s="16">
        <v>2.5</v>
      </c>
    </row>
    <row r="4" spans="1:10">
      <c r="A4" s="7" t="s">
        <v>4</v>
      </c>
      <c r="B4" s="7" t="s">
        <v>5</v>
      </c>
      <c r="D4" s="16" t="s">
        <v>69</v>
      </c>
      <c r="E4" s="19">
        <v>9.1287092917529417E-3</v>
      </c>
      <c r="G4" s="19">
        <v>2.738612787525594E-2</v>
      </c>
    </row>
    <row r="5" spans="1:10">
      <c r="A5" s="14">
        <v>2.5</v>
      </c>
      <c r="B5" s="14">
        <v>2.4</v>
      </c>
      <c r="D5" s="16" t="s">
        <v>19</v>
      </c>
      <c r="E5" s="16">
        <v>2.5</v>
      </c>
      <c r="G5" s="16">
        <v>2.5</v>
      </c>
      <c r="I5" s="14"/>
      <c r="J5" s="9"/>
    </row>
    <row r="6" spans="1:10">
      <c r="A6" s="14">
        <v>2.4500000000000002</v>
      </c>
      <c r="B6" s="14">
        <v>2.625</v>
      </c>
      <c r="D6" s="16" t="s">
        <v>62</v>
      </c>
      <c r="E6" s="16">
        <v>2.5</v>
      </c>
      <c r="G6" s="16">
        <v>2.5</v>
      </c>
      <c r="I6" s="14"/>
      <c r="J6" s="9"/>
    </row>
    <row r="7" spans="1:10">
      <c r="A7" s="14">
        <v>2.5499999999999998</v>
      </c>
      <c r="B7" s="14">
        <v>2.5</v>
      </c>
      <c r="D7" s="16" t="s">
        <v>63</v>
      </c>
      <c r="E7" s="19">
        <v>2.8867513459481835E-2</v>
      </c>
      <c r="G7" s="19">
        <v>8.6602540378436385E-2</v>
      </c>
      <c r="I7" s="14"/>
      <c r="J7" s="9"/>
    </row>
    <row r="8" spans="1:10">
      <c r="A8" s="14">
        <v>2.5249999999999999</v>
      </c>
      <c r="B8" s="14">
        <v>2.4249999999999998</v>
      </c>
      <c r="D8" s="16" t="s">
        <v>64</v>
      </c>
      <c r="E8" s="19">
        <v>8.3333333333336494E-4</v>
      </c>
      <c r="G8" s="19">
        <v>7.4999999999987056E-3</v>
      </c>
      <c r="I8" s="14"/>
      <c r="J8" s="9"/>
    </row>
    <row r="9" spans="1:10">
      <c r="A9" s="14">
        <v>2.5</v>
      </c>
      <c r="B9" s="14">
        <v>2.5</v>
      </c>
      <c r="D9" s="16" t="s">
        <v>20</v>
      </c>
      <c r="E9" s="19">
        <f>3+0.0803571428571441</f>
        <v>3.0803571428571441</v>
      </c>
      <c r="G9" s="19">
        <f>3-1.37466931216931</f>
        <v>1.6253306878306899</v>
      </c>
      <c r="I9" s="14"/>
      <c r="J9" s="9"/>
    </row>
    <row r="10" spans="1:10">
      <c r="A10" s="14">
        <v>2.4750000000000001</v>
      </c>
      <c r="B10" s="14">
        <v>2.5750000000000002</v>
      </c>
      <c r="D10" s="16" t="s">
        <v>65</v>
      </c>
      <c r="E10" s="16">
        <v>0</v>
      </c>
      <c r="G10" s="16">
        <v>0</v>
      </c>
      <c r="I10" s="14"/>
      <c r="J10" s="9"/>
    </row>
    <row r="11" spans="1:10">
      <c r="A11" s="14">
        <v>2.4750000000000001</v>
      </c>
      <c r="B11" s="14">
        <v>2.4500000000000002</v>
      </c>
      <c r="D11" s="16" t="s">
        <v>66</v>
      </c>
      <c r="E11" s="16">
        <v>9.9999999999999645E-2</v>
      </c>
      <c r="G11" s="16">
        <v>0.25</v>
      </c>
      <c r="I11" s="14"/>
      <c r="J11" s="9"/>
    </row>
    <row r="12" spans="1:10">
      <c r="A12" s="14">
        <v>2.5</v>
      </c>
      <c r="B12" s="14">
        <v>2.5499999999999998</v>
      </c>
      <c r="D12" s="16" t="s">
        <v>21</v>
      </c>
      <c r="E12" s="16">
        <v>2.4500000000000002</v>
      </c>
      <c r="G12" s="16">
        <v>2.375</v>
      </c>
      <c r="I12" s="14"/>
      <c r="J12" s="9"/>
    </row>
    <row r="13" spans="1:10">
      <c r="A13" s="14">
        <v>2.5249999999999999</v>
      </c>
      <c r="B13" s="14">
        <v>2.375</v>
      </c>
      <c r="D13" s="16" t="s">
        <v>22</v>
      </c>
      <c r="E13" s="16">
        <v>2.5499999999999998</v>
      </c>
      <c r="G13" s="16">
        <v>2.625</v>
      </c>
      <c r="I13" s="14"/>
      <c r="J13" s="9"/>
    </row>
    <row r="14" spans="1:10">
      <c r="A14" s="14">
        <v>2.5</v>
      </c>
      <c r="B14" s="14">
        <v>2.6</v>
      </c>
      <c r="D14" s="16" t="s">
        <v>67</v>
      </c>
      <c r="E14" s="16">
        <v>25</v>
      </c>
      <c r="G14" s="16">
        <v>25</v>
      </c>
      <c r="I14" s="14"/>
      <c r="J14" s="9"/>
    </row>
    <row r="15" spans="1:10" ht="13.5" thickBot="1">
      <c r="D15" s="17" t="s">
        <v>68</v>
      </c>
      <c r="E15" s="17">
        <v>10</v>
      </c>
      <c r="G15" s="17">
        <v>10</v>
      </c>
      <c r="J15" s="9"/>
    </row>
    <row r="16" spans="1:10">
      <c r="G16" s="9"/>
    </row>
  </sheetData>
  <phoneticPr fontId="0" type="noConversion"/>
  <printOptions headings="1" gridLines="1"/>
  <pageMargins left="0.78740157499999996" right="0.78740157499999996" top="0.984251969" bottom="0.984251969" header="0.5" footer="0.5"/>
  <pageSetup orientation="landscape" horizontalDpi="300" verticalDpi="300" r:id="rId1"/>
  <headerFooter alignWithMargins="0">
    <oddFooter>&amp;CDiameters from two suppliers</oddFooter>
  </headerFooter>
  <drawing r:id="rId2"/>
</worksheet>
</file>

<file path=xl/worksheets/sheet7.xml><?xml version="1.0" encoding="utf-8"?>
<worksheet xmlns="http://schemas.openxmlformats.org/spreadsheetml/2006/main" xmlns:r="http://schemas.openxmlformats.org/officeDocument/2006/relationships">
  <sheetPr>
    <pageSetUpPr fitToPage="1"/>
  </sheetPr>
  <dimension ref="A1:J135"/>
  <sheetViews>
    <sheetView workbookViewId="0"/>
  </sheetViews>
  <sheetFormatPr defaultColWidth="9.140625" defaultRowHeight="12.75"/>
  <cols>
    <col min="1" max="1" width="10.85546875" customWidth="1"/>
    <col min="2" max="2" width="11.42578125" customWidth="1"/>
    <col min="3" max="3" width="9.7109375" customWidth="1"/>
    <col min="4" max="4" width="6.42578125" customWidth="1"/>
    <col min="5" max="5" width="11.28515625" customWidth="1"/>
    <col min="6" max="6" width="10.28515625" customWidth="1"/>
    <col min="8" max="8" width="11.140625" customWidth="1"/>
  </cols>
  <sheetData>
    <row r="1" spans="1:9">
      <c r="A1" s="1" t="s">
        <v>111</v>
      </c>
      <c r="E1" s="9"/>
      <c r="F1" s="9"/>
    </row>
    <row r="3" spans="1:9" ht="13.5" thickBot="1">
      <c r="A3" s="3" t="s">
        <v>112</v>
      </c>
      <c r="B3" s="2" t="s">
        <v>113</v>
      </c>
      <c r="C3" s="2" t="s">
        <v>114</v>
      </c>
      <c r="E3" s="27"/>
      <c r="F3" s="27"/>
      <c r="G3" s="27"/>
      <c r="H3" s="27"/>
      <c r="I3" s="27"/>
    </row>
    <row r="4" spans="1:9" ht="27.75" customHeight="1">
      <c r="A4">
        <v>1986.01</v>
      </c>
      <c r="B4" s="8">
        <v>1387.12</v>
      </c>
      <c r="C4" s="5" t="s">
        <v>6</v>
      </c>
      <c r="E4" s="23" t="s">
        <v>27</v>
      </c>
      <c r="F4" s="23" t="s">
        <v>24</v>
      </c>
      <c r="G4" s="24" t="s">
        <v>25</v>
      </c>
      <c r="H4" s="25" t="s">
        <v>420</v>
      </c>
      <c r="I4" s="26" t="s">
        <v>26</v>
      </c>
    </row>
    <row r="5" spans="1:9" ht="12.75" customHeight="1">
      <c r="A5">
        <v>1986.02</v>
      </c>
      <c r="B5" s="8">
        <v>1357.34</v>
      </c>
      <c r="C5" s="57">
        <f t="shared" ref="C5:C36" si="0">100*(LN(B5)-LN(B4))</f>
        <v>-2.1702753094873906</v>
      </c>
      <c r="E5" s="22">
        <v>-25</v>
      </c>
      <c r="F5" s="16">
        <v>0</v>
      </c>
      <c r="G5" s="30">
        <f>F5/SUM($F$5:$F$26)</f>
        <v>0</v>
      </c>
      <c r="H5" s="30">
        <f>NORMDIST(E5,AVERAGE($C$5:$C$135),STDEV($C$5:$C$135),1)</f>
        <v>5.7919362017599951E-6</v>
      </c>
      <c r="I5" s="30">
        <f>H5</f>
        <v>5.7919362017599951E-6</v>
      </c>
    </row>
    <row r="6" spans="1:9">
      <c r="A6">
        <v>1986.03</v>
      </c>
      <c r="B6" s="8">
        <v>1481.63</v>
      </c>
      <c r="C6" s="57">
        <f t="shared" si="0"/>
        <v>8.7615930925506014</v>
      </c>
      <c r="E6" s="22">
        <v>-22.5</v>
      </c>
      <c r="F6" s="16">
        <v>1</v>
      </c>
      <c r="G6" s="30">
        <f t="shared" ref="G6:G26" si="1">F6/SUM($F$5:$F$26)</f>
        <v>7.6335877862595417E-3</v>
      </c>
      <c r="H6" s="30">
        <f t="shared" ref="H6:H25" si="2">NORMDIST(E6,AVERAGE($C$5:$C$135),STDEV($C$5:$C$135),1)</f>
        <v>3.8050862255833984E-5</v>
      </c>
      <c r="I6" s="30">
        <f t="shared" ref="I6:I26" si="3">H6-H5</f>
        <v>3.2258926054073989E-5</v>
      </c>
    </row>
    <row r="7" spans="1:9">
      <c r="A7">
        <v>1986.04</v>
      </c>
      <c r="B7" s="8">
        <v>1507.32</v>
      </c>
      <c r="C7" s="57">
        <f t="shared" si="0"/>
        <v>1.7190406420112936</v>
      </c>
      <c r="E7" s="22">
        <v>-20</v>
      </c>
      <c r="F7" s="16">
        <v>0</v>
      </c>
      <c r="G7" s="30">
        <f t="shared" si="1"/>
        <v>0</v>
      </c>
      <c r="H7" s="30">
        <f t="shared" si="2"/>
        <v>2.0980270948056656E-4</v>
      </c>
      <c r="I7" s="30">
        <f t="shared" si="3"/>
        <v>1.7175184722473258E-4</v>
      </c>
    </row>
    <row r="8" spans="1:9">
      <c r="A8">
        <v>1986.05</v>
      </c>
      <c r="B8" s="8">
        <v>1380.47</v>
      </c>
      <c r="C8" s="57">
        <f t="shared" si="0"/>
        <v>-8.7909218609871331</v>
      </c>
      <c r="E8" s="22">
        <v>-17.5</v>
      </c>
      <c r="F8" s="16">
        <v>1</v>
      </c>
      <c r="G8" s="30">
        <f t="shared" si="1"/>
        <v>7.6335877862595417E-3</v>
      </c>
      <c r="H8" s="30">
        <f t="shared" si="2"/>
        <v>9.7246331742861791E-4</v>
      </c>
      <c r="I8" s="30">
        <f t="shared" si="3"/>
        <v>7.6266060794805135E-4</v>
      </c>
    </row>
    <row r="9" spans="1:9">
      <c r="A9">
        <v>1986.06</v>
      </c>
      <c r="B9" s="8">
        <v>1357.45</v>
      </c>
      <c r="C9" s="57">
        <f t="shared" si="0"/>
        <v>-1.6816081160053287</v>
      </c>
      <c r="E9" s="22">
        <v>-15</v>
      </c>
      <c r="F9" s="16">
        <v>1</v>
      </c>
      <c r="G9" s="30">
        <f t="shared" si="1"/>
        <v>7.6335877862595417E-3</v>
      </c>
      <c r="H9" s="30">
        <f t="shared" si="2"/>
        <v>3.7971331086832372E-3</v>
      </c>
      <c r="I9" s="30">
        <f t="shared" si="3"/>
        <v>2.8246697912546193E-3</v>
      </c>
    </row>
    <row r="10" spans="1:9">
      <c r="A10">
        <v>1986.07</v>
      </c>
      <c r="B10" s="8">
        <v>1288.5999999999999</v>
      </c>
      <c r="C10" s="57">
        <f t="shared" si="0"/>
        <v>-5.2051582012695441</v>
      </c>
      <c r="E10" s="22">
        <v>-12.5</v>
      </c>
      <c r="F10" s="16">
        <v>1</v>
      </c>
      <c r="G10" s="30">
        <f t="shared" si="1"/>
        <v>7.6335877862595417E-3</v>
      </c>
      <c r="H10" s="30">
        <f t="shared" si="2"/>
        <v>1.2523554417849803E-2</v>
      </c>
      <c r="I10" s="30">
        <f t="shared" si="3"/>
        <v>8.7264213091665654E-3</v>
      </c>
    </row>
    <row r="11" spans="1:9">
      <c r="A11">
        <v>1986.08</v>
      </c>
      <c r="B11" s="8">
        <v>1497.5</v>
      </c>
      <c r="C11" s="57">
        <f t="shared" si="0"/>
        <v>15.02406932850624</v>
      </c>
      <c r="E11" s="22">
        <v>-10</v>
      </c>
      <c r="F11" s="16">
        <v>1</v>
      </c>
      <c r="G11" s="30">
        <f t="shared" si="1"/>
        <v>7.6335877862595417E-3</v>
      </c>
      <c r="H11" s="30">
        <f t="shared" si="2"/>
        <v>3.5012011551297073E-2</v>
      </c>
      <c r="I11" s="30">
        <f t="shared" si="3"/>
        <v>2.248845713344727E-2</v>
      </c>
    </row>
    <row r="12" spans="1:9">
      <c r="A12">
        <v>1986.09</v>
      </c>
      <c r="B12" s="8">
        <v>1408.02</v>
      </c>
      <c r="C12" s="57">
        <f t="shared" si="0"/>
        <v>-6.1612588827046011</v>
      </c>
      <c r="E12" s="22">
        <v>-7.5</v>
      </c>
      <c r="F12" s="16">
        <v>5</v>
      </c>
      <c r="G12" s="30">
        <f t="shared" si="1"/>
        <v>3.8167938931297711E-2</v>
      </c>
      <c r="H12" s="30">
        <f t="shared" si="2"/>
        <v>8.3357717850362612E-2</v>
      </c>
      <c r="I12" s="30">
        <f t="shared" si="3"/>
        <v>4.8345706299065538E-2</v>
      </c>
    </row>
    <row r="13" spans="1:9">
      <c r="A13">
        <v>1986.1</v>
      </c>
      <c r="B13" s="8">
        <v>1426.32</v>
      </c>
      <c r="C13" s="57">
        <f t="shared" si="0"/>
        <v>1.291323856395632</v>
      </c>
      <c r="E13" s="22">
        <v>-5</v>
      </c>
      <c r="F13" s="16">
        <v>5</v>
      </c>
      <c r="G13" s="30">
        <f t="shared" si="1"/>
        <v>3.8167938931297711E-2</v>
      </c>
      <c r="H13" s="30">
        <f t="shared" si="2"/>
        <v>0.17006334973165138</v>
      </c>
      <c r="I13" s="30">
        <f t="shared" si="3"/>
        <v>8.6705631881288769E-2</v>
      </c>
    </row>
    <row r="14" spans="1:9">
      <c r="A14">
        <v>1986.11</v>
      </c>
      <c r="B14" s="8">
        <v>1466.28</v>
      </c>
      <c r="C14" s="57">
        <f t="shared" si="0"/>
        <v>2.763088038991679</v>
      </c>
      <c r="E14" s="22">
        <v>-2.5</v>
      </c>
      <c r="F14" s="16">
        <v>13</v>
      </c>
      <c r="G14" s="30">
        <f t="shared" si="1"/>
        <v>9.9236641221374045E-2</v>
      </c>
      <c r="H14" s="30">
        <f t="shared" si="2"/>
        <v>0.29979340645356367</v>
      </c>
      <c r="I14" s="30">
        <f t="shared" si="3"/>
        <v>0.12973005672191229</v>
      </c>
    </row>
    <row r="15" spans="1:9">
      <c r="A15">
        <v>1986.12</v>
      </c>
      <c r="B15" s="8">
        <v>1432.25</v>
      </c>
      <c r="C15" s="57">
        <f t="shared" si="0"/>
        <v>-2.3481946827744515</v>
      </c>
      <c r="E15" s="22">
        <v>0</v>
      </c>
      <c r="F15" s="16">
        <v>24</v>
      </c>
      <c r="G15" s="30">
        <f t="shared" si="1"/>
        <v>0.18320610687022901</v>
      </c>
      <c r="H15" s="30">
        <f t="shared" si="2"/>
        <v>0.46173064712311396</v>
      </c>
      <c r="I15" s="30">
        <f t="shared" si="3"/>
        <v>0.16193724066955029</v>
      </c>
    </row>
    <row r="16" spans="1:9">
      <c r="A16">
        <v>1987.01</v>
      </c>
      <c r="B16" s="8">
        <v>1294.45</v>
      </c>
      <c r="C16" s="57">
        <f t="shared" si="0"/>
        <v>-10.11607397947758</v>
      </c>
      <c r="E16" s="22">
        <v>2.5</v>
      </c>
      <c r="F16" s="16">
        <v>29</v>
      </c>
      <c r="G16" s="30">
        <f t="shared" si="1"/>
        <v>0.22137404580152673</v>
      </c>
      <c r="H16" s="30">
        <f t="shared" si="2"/>
        <v>0.63037455012460075</v>
      </c>
      <c r="I16" s="30">
        <f t="shared" si="3"/>
        <v>0.16864390300148679</v>
      </c>
    </row>
    <row r="17" spans="1:9">
      <c r="A17">
        <v>1987.02</v>
      </c>
      <c r="B17" s="8">
        <v>1244.3599999999999</v>
      </c>
      <c r="C17" s="57">
        <f t="shared" si="0"/>
        <v>-3.9464552992201973</v>
      </c>
      <c r="E17" s="22">
        <v>5</v>
      </c>
      <c r="F17" s="16">
        <v>25</v>
      </c>
      <c r="G17" s="30">
        <f t="shared" si="1"/>
        <v>0.19083969465648856</v>
      </c>
      <c r="H17" s="30">
        <f t="shared" si="2"/>
        <v>0.77690006231344544</v>
      </c>
      <c r="I17" s="30">
        <f t="shared" si="3"/>
        <v>0.14652551218884469</v>
      </c>
    </row>
    <row r="18" spans="1:9">
      <c r="A18">
        <v>1987.03</v>
      </c>
      <c r="B18" s="8">
        <v>1301.71</v>
      </c>
      <c r="C18" s="57">
        <f t="shared" si="0"/>
        <v>4.5057443202854763</v>
      </c>
      <c r="E18" s="22">
        <v>7.5</v>
      </c>
      <c r="F18" s="16">
        <v>14</v>
      </c>
      <c r="G18" s="30">
        <f t="shared" si="1"/>
        <v>0.10687022900763359</v>
      </c>
      <c r="H18" s="30">
        <f t="shared" si="2"/>
        <v>0.88311152634380208</v>
      </c>
      <c r="I18" s="30">
        <f t="shared" si="3"/>
        <v>0.10621146403035664</v>
      </c>
    </row>
    <row r="19" spans="1:9">
      <c r="A19">
        <v>1987.04</v>
      </c>
      <c r="B19" s="8">
        <v>1308.1400000000001</v>
      </c>
      <c r="C19" s="57">
        <f t="shared" si="0"/>
        <v>0.4927496224032879</v>
      </c>
      <c r="E19" s="22">
        <v>10</v>
      </c>
      <c r="F19" s="16">
        <v>8</v>
      </c>
      <c r="G19" s="30">
        <f t="shared" si="1"/>
        <v>6.1068702290076333E-2</v>
      </c>
      <c r="H19" s="30">
        <f t="shared" si="2"/>
        <v>0.94734152685919515</v>
      </c>
      <c r="I19" s="30">
        <f t="shared" si="3"/>
        <v>6.4230000515393071E-2</v>
      </c>
    </row>
    <row r="20" spans="1:9">
      <c r="A20">
        <v>1987.05</v>
      </c>
      <c r="B20" s="8">
        <v>1316.43</v>
      </c>
      <c r="C20" s="57">
        <f t="shared" si="0"/>
        <v>0.63172463066196727</v>
      </c>
      <c r="E20" s="22">
        <v>12.5</v>
      </c>
      <c r="F20" s="16">
        <v>0</v>
      </c>
      <c r="G20" s="30">
        <f t="shared" si="1"/>
        <v>0</v>
      </c>
      <c r="H20" s="30">
        <f t="shared" si="2"/>
        <v>0.97974576240556221</v>
      </c>
      <c r="I20" s="30">
        <f t="shared" si="3"/>
        <v>3.2404235546367066E-2</v>
      </c>
    </row>
    <row r="21" spans="1:9">
      <c r="A21">
        <v>1987.06</v>
      </c>
      <c r="B21" s="8">
        <v>1382.56</v>
      </c>
      <c r="C21" s="57">
        <f t="shared" si="0"/>
        <v>4.9013325857872658</v>
      </c>
      <c r="E21" s="22">
        <v>15</v>
      </c>
      <c r="F21" s="16">
        <v>2</v>
      </c>
      <c r="G21" s="30">
        <f t="shared" si="1"/>
        <v>1.5267175572519083E-2</v>
      </c>
      <c r="H21" s="30">
        <f t="shared" si="2"/>
        <v>0.99338368353769879</v>
      </c>
      <c r="I21" s="30">
        <f t="shared" si="3"/>
        <v>1.3637921132136577E-2</v>
      </c>
    </row>
    <row r="22" spans="1:9">
      <c r="A22">
        <v>1987.07</v>
      </c>
      <c r="B22" s="8">
        <v>1510.54</v>
      </c>
      <c r="C22" s="57">
        <f t="shared" si="0"/>
        <v>8.8530349680597809</v>
      </c>
      <c r="E22" s="22">
        <v>17.5</v>
      </c>
      <c r="F22" s="16">
        <v>1</v>
      </c>
      <c r="G22" s="30">
        <f t="shared" si="1"/>
        <v>7.6335877862595417E-3</v>
      </c>
      <c r="H22" s="30">
        <f t="shared" si="2"/>
        <v>0.99817173511663582</v>
      </c>
      <c r="I22" s="30">
        <f t="shared" si="3"/>
        <v>4.7880515789370248E-3</v>
      </c>
    </row>
    <row r="23" spans="1:9">
      <c r="A23">
        <v>1987.08</v>
      </c>
      <c r="B23" s="8">
        <v>1537.81</v>
      </c>
      <c r="C23" s="57">
        <f t="shared" si="0"/>
        <v>1.7892123599453136</v>
      </c>
      <c r="E23" s="22">
        <v>20</v>
      </c>
      <c r="F23" s="16">
        <v>0</v>
      </c>
      <c r="G23" s="30">
        <f t="shared" si="1"/>
        <v>0</v>
      </c>
      <c r="H23" s="30">
        <f t="shared" si="2"/>
        <v>0.99957394232834895</v>
      </c>
      <c r="I23" s="30">
        <f t="shared" si="3"/>
        <v>1.4022072117131357E-3</v>
      </c>
    </row>
    <row r="24" spans="1:9">
      <c r="A24">
        <v>1987.09</v>
      </c>
      <c r="B24" s="8">
        <v>1500.17</v>
      </c>
      <c r="C24" s="57">
        <f t="shared" si="0"/>
        <v>-2.4780891371242397</v>
      </c>
      <c r="E24" s="22">
        <v>22.5</v>
      </c>
      <c r="F24" s="16">
        <v>0</v>
      </c>
      <c r="G24" s="30">
        <f t="shared" si="1"/>
        <v>0</v>
      </c>
      <c r="H24" s="30">
        <f t="shared" si="2"/>
        <v>0.99991646068906481</v>
      </c>
      <c r="I24" s="30">
        <f t="shared" si="3"/>
        <v>3.4251836071585995E-4</v>
      </c>
    </row>
    <row r="25" spans="1:9">
      <c r="A25">
        <v>1987.1</v>
      </c>
      <c r="B25" s="8">
        <v>1177.3800000000001</v>
      </c>
      <c r="C25" s="57">
        <f t="shared" si="0"/>
        <v>-24.228680413261117</v>
      </c>
      <c r="E25" s="22">
        <v>25</v>
      </c>
      <c r="F25" s="16">
        <v>0</v>
      </c>
      <c r="G25" s="30">
        <f t="shared" si="1"/>
        <v>0</v>
      </c>
      <c r="H25" s="30">
        <f t="shared" si="2"/>
        <v>0.99998624322757768</v>
      </c>
      <c r="I25" s="30">
        <f t="shared" si="3"/>
        <v>6.9782538512863646E-5</v>
      </c>
    </row>
    <row r="26" spans="1:9" ht="13.5" thickBot="1">
      <c r="A26">
        <v>1987.11</v>
      </c>
      <c r="B26" s="8">
        <v>1022.84</v>
      </c>
      <c r="C26" s="57">
        <f t="shared" si="0"/>
        <v>-14.070855888689149</v>
      </c>
      <c r="E26" s="17" t="s">
        <v>48</v>
      </c>
      <c r="F26" s="17">
        <v>0</v>
      </c>
      <c r="G26" s="32">
        <f t="shared" si="1"/>
        <v>0</v>
      </c>
      <c r="H26" s="32">
        <v>1</v>
      </c>
      <c r="I26" s="32">
        <f t="shared" si="3"/>
        <v>1.3756772422324204E-5</v>
      </c>
    </row>
    <row r="27" spans="1:9">
      <c r="A27">
        <v>1987.12</v>
      </c>
      <c r="B27" s="8">
        <v>1000</v>
      </c>
      <c r="C27" s="57">
        <f t="shared" si="0"/>
        <v>-2.258307200025822</v>
      </c>
      <c r="I27" s="58"/>
    </row>
    <row r="28" spans="1:9">
      <c r="A28">
        <v>1988.01</v>
      </c>
      <c r="B28" s="8">
        <v>935.57</v>
      </c>
      <c r="C28" s="57">
        <f t="shared" si="0"/>
        <v>-6.6599309771241622</v>
      </c>
    </row>
    <row r="29" spans="1:9">
      <c r="A29">
        <v>1988.02</v>
      </c>
      <c r="B29" s="8">
        <v>1079.55</v>
      </c>
      <c r="C29" s="57">
        <f t="shared" si="0"/>
        <v>14.314359741102756</v>
      </c>
      <c r="F29" s="33" t="s">
        <v>30</v>
      </c>
      <c r="G29" s="28">
        <v>0.01</v>
      </c>
      <c r="H29" s="28">
        <v>0.05</v>
      </c>
      <c r="I29" s="28">
        <v>0.1</v>
      </c>
    </row>
    <row r="30" spans="1:9">
      <c r="A30">
        <v>1988.03</v>
      </c>
      <c r="B30" s="8">
        <v>1063.17</v>
      </c>
      <c r="C30" s="57">
        <f t="shared" si="0"/>
        <v>-1.528927632527477</v>
      </c>
      <c r="F30" s="3" t="s">
        <v>136</v>
      </c>
      <c r="G30" s="89">
        <f>PERCENTILE($C$5:$C$135,G29)</f>
        <v>-18.869004819682839</v>
      </c>
      <c r="H30" s="89">
        <f>PERCENTILE($C$5:$C$135,H29)</f>
        <v>-8.8605442391479272</v>
      </c>
      <c r="I30" s="89">
        <f>PERCENTILE($C$5:$C$135,I29)</f>
        <v>-5.41003674595677</v>
      </c>
    </row>
    <row r="31" spans="1:9">
      <c r="A31">
        <v>1988.04</v>
      </c>
      <c r="B31" s="8">
        <v>1054.46</v>
      </c>
      <c r="C31" s="57">
        <f t="shared" si="0"/>
        <v>-0.82262237667922733</v>
      </c>
      <c r="F31" s="3" t="s">
        <v>137</v>
      </c>
      <c r="G31" s="21">
        <f>NORMINV(G29,AVERAGE($C$5:$C$135),STDEV($C$5:$C$135))</f>
        <v>-12.999349795822081</v>
      </c>
      <c r="H31" s="21">
        <f>NORMINV(H29,AVERAGE($C$5:$C$135),STDEV($C$5:$C$135))</f>
        <v>-9.0271987796870459</v>
      </c>
      <c r="I31" s="21">
        <f>NORMINV(I29,AVERAGE($C$5:$C$135),STDEV($C$5:$C$135))</f>
        <v>-6.9096597710385801</v>
      </c>
    </row>
    <row r="32" spans="1:9">
      <c r="A32">
        <v>1988.05</v>
      </c>
      <c r="B32" s="8">
        <v>1083.31</v>
      </c>
      <c r="C32" s="57">
        <f t="shared" si="0"/>
        <v>2.6992381432322965</v>
      </c>
    </row>
    <row r="33" spans="1:10">
      <c r="A33">
        <v>1988.06</v>
      </c>
      <c r="B33" s="8">
        <v>1140.49</v>
      </c>
      <c r="C33" s="57">
        <f t="shared" si="0"/>
        <v>5.1436825639650685</v>
      </c>
    </row>
    <row r="34" spans="1:10" ht="13.5" thickBot="1">
      <c r="A34">
        <v>1988.07</v>
      </c>
      <c r="B34" s="8">
        <v>1181.72</v>
      </c>
      <c r="C34" s="57">
        <f t="shared" si="0"/>
        <v>3.5513009669318585</v>
      </c>
      <c r="E34" s="27"/>
      <c r="F34" s="27"/>
      <c r="G34" s="27"/>
      <c r="H34" s="27"/>
      <c r="I34" s="27"/>
      <c r="J34" s="27"/>
    </row>
    <row r="35" spans="1:10" ht="25.5">
      <c r="A35">
        <v>1988.08</v>
      </c>
      <c r="B35" s="8">
        <v>1165.3599999999999</v>
      </c>
      <c r="C35" s="57">
        <f t="shared" si="0"/>
        <v>-1.3940952130456097</v>
      </c>
      <c r="E35" s="23" t="s">
        <v>27</v>
      </c>
      <c r="F35" s="164" t="s">
        <v>418</v>
      </c>
      <c r="G35" s="164" t="s">
        <v>419</v>
      </c>
      <c r="H35" s="25" t="s">
        <v>420</v>
      </c>
      <c r="I35" s="26" t="s">
        <v>421</v>
      </c>
      <c r="J35" s="111" t="s">
        <v>26</v>
      </c>
    </row>
    <row r="36" spans="1:10">
      <c r="A36">
        <v>1988.09</v>
      </c>
      <c r="B36" s="8">
        <v>1252.69</v>
      </c>
      <c r="C36" s="57">
        <f t="shared" si="0"/>
        <v>7.2263186920348055</v>
      </c>
      <c r="E36" s="22">
        <v>-25</v>
      </c>
      <c r="F36" s="16">
        <f>FREQUENCY($C$5:$C$135,E36)</f>
        <v>0</v>
      </c>
      <c r="G36" s="30">
        <f>F36/SUM($F$5:$F$26)</f>
        <v>0</v>
      </c>
      <c r="H36" s="30">
        <f>NORMDIST(E36,AVERAGE($C$5:$C$135),STDEV($C$5:$C$135),1)</f>
        <v>5.7919362017599951E-6</v>
      </c>
      <c r="I36" s="30">
        <f>G36</f>
        <v>0</v>
      </c>
      <c r="J36" s="30">
        <f>H36</f>
        <v>5.7919362017599951E-6</v>
      </c>
    </row>
    <row r="37" spans="1:10">
      <c r="A37">
        <v>1988.1</v>
      </c>
      <c r="B37" s="8">
        <v>1300.79</v>
      </c>
      <c r="C37" s="57">
        <f t="shared" ref="C37:C68" si="4">100*(LN(B37)-LN(B36))</f>
        <v>3.7678533126080715</v>
      </c>
      <c r="E37" s="22">
        <v>-22.5</v>
      </c>
      <c r="F37" s="16">
        <f t="shared" ref="F37:F57" si="5">FREQUENCY($C$5:$C$135,E37)</f>
        <v>1</v>
      </c>
      <c r="G37" s="30">
        <f t="shared" ref="G37:G57" si="6">F37/SUM($F$5:$F$26)</f>
        <v>7.6335877862595417E-3</v>
      </c>
      <c r="H37" s="30">
        <f t="shared" ref="H37:H56" si="7">NORMDIST(E37,AVERAGE($C$5:$C$135),STDEV($C$5:$C$135),1)</f>
        <v>3.8050862255833984E-5</v>
      </c>
      <c r="I37" s="30">
        <f>G37-G36</f>
        <v>7.6335877862595417E-3</v>
      </c>
      <c r="J37" s="30">
        <f>H37-H36</f>
        <v>3.2258926054073989E-5</v>
      </c>
    </row>
    <row r="38" spans="1:10">
      <c r="A38">
        <v>1988.11</v>
      </c>
      <c r="B38" s="8">
        <v>1275.99</v>
      </c>
      <c r="C38" s="57">
        <f t="shared" si="4"/>
        <v>-1.9249424303690255</v>
      </c>
      <c r="E38" s="22">
        <v>-20</v>
      </c>
      <c r="F38" s="16">
        <f t="shared" si="5"/>
        <v>1</v>
      </c>
      <c r="G38" s="30">
        <f t="shared" si="6"/>
        <v>7.6335877862595417E-3</v>
      </c>
      <c r="H38" s="30">
        <f t="shared" si="7"/>
        <v>2.0980270948056656E-4</v>
      </c>
      <c r="I38" s="30">
        <f t="shared" ref="I38:J57" si="8">G38-G37</f>
        <v>0</v>
      </c>
      <c r="J38" s="30">
        <f t="shared" si="8"/>
        <v>1.7175184722473258E-4</v>
      </c>
    </row>
    <row r="39" spans="1:10">
      <c r="A39">
        <v>1988.12</v>
      </c>
      <c r="B39" s="8">
        <v>1327.87</v>
      </c>
      <c r="C39" s="57">
        <f t="shared" si="4"/>
        <v>3.985380679499162</v>
      </c>
      <c r="E39" s="22">
        <v>-17.5</v>
      </c>
      <c r="F39" s="16">
        <f t="shared" si="5"/>
        <v>2</v>
      </c>
      <c r="G39" s="30">
        <f t="shared" si="6"/>
        <v>1.5267175572519083E-2</v>
      </c>
      <c r="H39" s="30">
        <f t="shared" si="7"/>
        <v>9.7246331742861791E-4</v>
      </c>
      <c r="I39" s="30">
        <f t="shared" si="8"/>
        <v>7.6335877862595417E-3</v>
      </c>
      <c r="J39" s="30">
        <f t="shared" si="8"/>
        <v>7.6266060794805135E-4</v>
      </c>
    </row>
    <row r="40" spans="1:10">
      <c r="A40">
        <v>1989.01</v>
      </c>
      <c r="B40" s="8">
        <v>1312.73</v>
      </c>
      <c r="C40" s="57">
        <f t="shared" si="4"/>
        <v>-1.1467216469806196</v>
      </c>
      <c r="E40" s="22">
        <v>-15</v>
      </c>
      <c r="F40" s="16">
        <f t="shared" si="5"/>
        <v>3</v>
      </c>
      <c r="G40" s="30">
        <f t="shared" si="6"/>
        <v>2.2900763358778626E-2</v>
      </c>
      <c r="H40" s="30">
        <f t="shared" si="7"/>
        <v>3.7971331086832372E-3</v>
      </c>
      <c r="I40" s="30">
        <f t="shared" si="8"/>
        <v>7.6335877862595426E-3</v>
      </c>
      <c r="J40" s="30">
        <f t="shared" si="8"/>
        <v>2.8246697912546193E-3</v>
      </c>
    </row>
    <row r="41" spans="1:10">
      <c r="A41">
        <v>1989.02</v>
      </c>
      <c r="B41" s="8">
        <v>1288.6600000000001</v>
      </c>
      <c r="C41" s="57">
        <f t="shared" si="4"/>
        <v>-1.8506019427572795</v>
      </c>
      <c r="E41" s="22">
        <v>-12.5</v>
      </c>
      <c r="F41" s="16">
        <f t="shared" si="5"/>
        <v>4</v>
      </c>
      <c r="G41" s="30">
        <f t="shared" si="6"/>
        <v>3.0534351145038167E-2</v>
      </c>
      <c r="H41" s="30">
        <f t="shared" si="7"/>
        <v>1.2523554417849803E-2</v>
      </c>
      <c r="I41" s="30">
        <f t="shared" si="8"/>
        <v>7.6335877862595408E-3</v>
      </c>
      <c r="J41" s="30">
        <f t="shared" si="8"/>
        <v>8.7264213091665654E-3</v>
      </c>
    </row>
    <row r="42" spans="1:10">
      <c r="A42">
        <v>1989.03</v>
      </c>
      <c r="B42" s="8">
        <v>1322.66</v>
      </c>
      <c r="C42" s="57">
        <f t="shared" si="4"/>
        <v>2.6041941620327691</v>
      </c>
      <c r="E42" s="22">
        <v>-10</v>
      </c>
      <c r="F42" s="16">
        <f t="shared" si="5"/>
        <v>5</v>
      </c>
      <c r="G42" s="30">
        <f t="shared" si="6"/>
        <v>3.8167938931297711E-2</v>
      </c>
      <c r="H42" s="30">
        <f t="shared" si="7"/>
        <v>3.5012011551297073E-2</v>
      </c>
      <c r="I42" s="30">
        <f t="shared" si="8"/>
        <v>7.6335877862595443E-3</v>
      </c>
      <c r="J42" s="30">
        <f t="shared" si="8"/>
        <v>2.248845713344727E-2</v>
      </c>
    </row>
    <row r="43" spans="1:10">
      <c r="A43">
        <v>1989.04</v>
      </c>
      <c r="B43" s="8">
        <v>1370.9</v>
      </c>
      <c r="C43" s="57">
        <f t="shared" si="4"/>
        <v>3.5822598040484266</v>
      </c>
      <c r="E43" s="22">
        <v>-7.5</v>
      </c>
      <c r="F43" s="16">
        <f t="shared" si="5"/>
        <v>10</v>
      </c>
      <c r="G43" s="30">
        <f t="shared" si="6"/>
        <v>7.6335877862595422E-2</v>
      </c>
      <c r="H43" s="30">
        <f t="shared" si="7"/>
        <v>8.3357717850362612E-2</v>
      </c>
      <c r="I43" s="30">
        <f t="shared" si="8"/>
        <v>3.8167938931297711E-2</v>
      </c>
      <c r="J43" s="30">
        <f t="shared" si="8"/>
        <v>4.8345706299065538E-2</v>
      </c>
    </row>
    <row r="44" spans="1:10">
      <c r="A44">
        <v>1989.05</v>
      </c>
      <c r="B44" s="8">
        <v>1407.29</v>
      </c>
      <c r="C44" s="57">
        <f t="shared" si="4"/>
        <v>2.6198410729977972</v>
      </c>
      <c r="E44" s="22">
        <v>-5</v>
      </c>
      <c r="F44" s="16">
        <f t="shared" si="5"/>
        <v>15</v>
      </c>
      <c r="G44" s="30">
        <f t="shared" si="6"/>
        <v>0.11450381679389313</v>
      </c>
      <c r="H44" s="30">
        <f t="shared" si="7"/>
        <v>0.17006334973165138</v>
      </c>
      <c r="I44" s="30">
        <f t="shared" si="8"/>
        <v>3.8167938931297704E-2</v>
      </c>
      <c r="J44" s="30">
        <f t="shared" si="8"/>
        <v>8.6705631881288769E-2</v>
      </c>
    </row>
    <row r="45" spans="1:10">
      <c r="A45">
        <v>1989.06</v>
      </c>
      <c r="B45" s="8">
        <v>1473.72</v>
      </c>
      <c r="C45" s="57">
        <f t="shared" si="4"/>
        <v>4.6123947238459806</v>
      </c>
      <c r="E45" s="22">
        <v>-2.5</v>
      </c>
      <c r="F45" s="16">
        <f t="shared" si="5"/>
        <v>28</v>
      </c>
      <c r="G45" s="30">
        <f t="shared" si="6"/>
        <v>0.21374045801526717</v>
      </c>
      <c r="H45" s="30">
        <f t="shared" si="7"/>
        <v>0.29979340645356367</v>
      </c>
      <c r="I45" s="30">
        <f t="shared" si="8"/>
        <v>9.9236641221374045E-2</v>
      </c>
      <c r="J45" s="30">
        <f t="shared" si="8"/>
        <v>0.12973005672191229</v>
      </c>
    </row>
    <row r="46" spans="1:10">
      <c r="A46">
        <v>1989.07</v>
      </c>
      <c r="B46" s="8">
        <v>1554.16</v>
      </c>
      <c r="C46" s="57">
        <f t="shared" si="4"/>
        <v>5.3145390320232799</v>
      </c>
      <c r="E46" s="22">
        <v>0</v>
      </c>
      <c r="F46" s="16">
        <f t="shared" si="5"/>
        <v>52</v>
      </c>
      <c r="G46" s="30">
        <f t="shared" si="6"/>
        <v>0.39694656488549618</v>
      </c>
      <c r="H46" s="30">
        <f t="shared" si="7"/>
        <v>0.46173064712311396</v>
      </c>
      <c r="I46" s="30">
        <f t="shared" si="8"/>
        <v>0.18320610687022901</v>
      </c>
      <c r="J46" s="30">
        <f t="shared" si="8"/>
        <v>0.16193724066955029</v>
      </c>
    </row>
    <row r="47" spans="1:10">
      <c r="A47">
        <v>1989.08</v>
      </c>
      <c r="B47" s="8">
        <v>1597.85</v>
      </c>
      <c r="C47" s="57">
        <f t="shared" si="4"/>
        <v>2.7723768855712372</v>
      </c>
      <c r="E47" s="22">
        <v>2.5</v>
      </c>
      <c r="F47" s="16">
        <f t="shared" si="5"/>
        <v>81</v>
      </c>
      <c r="G47" s="30">
        <f t="shared" si="6"/>
        <v>0.61832061068702293</v>
      </c>
      <c r="H47" s="30">
        <f t="shared" si="7"/>
        <v>0.63037455012460075</v>
      </c>
      <c r="I47" s="30">
        <f t="shared" si="8"/>
        <v>0.22137404580152675</v>
      </c>
      <c r="J47" s="30">
        <f t="shared" si="8"/>
        <v>0.16864390300148679</v>
      </c>
    </row>
    <row r="48" spans="1:10">
      <c r="A48">
        <v>1989.09</v>
      </c>
      <c r="B48" s="8">
        <v>1574.37</v>
      </c>
      <c r="C48" s="57">
        <f t="shared" si="4"/>
        <v>-1.4803783347844046</v>
      </c>
      <c r="E48" s="22">
        <v>5</v>
      </c>
      <c r="F48" s="16">
        <f t="shared" si="5"/>
        <v>106</v>
      </c>
      <c r="G48" s="30">
        <f t="shared" si="6"/>
        <v>0.80916030534351147</v>
      </c>
      <c r="H48" s="30">
        <f t="shared" si="7"/>
        <v>0.77690006231344544</v>
      </c>
      <c r="I48" s="30">
        <f t="shared" si="8"/>
        <v>0.19083969465648853</v>
      </c>
      <c r="J48" s="30">
        <f t="shared" si="8"/>
        <v>0.14652551218884469</v>
      </c>
    </row>
    <row r="49" spans="1:10">
      <c r="A49">
        <v>1989.1</v>
      </c>
      <c r="B49" s="8">
        <v>1472.76</v>
      </c>
      <c r="C49" s="57">
        <f t="shared" si="4"/>
        <v>-6.6717000840976759</v>
      </c>
      <c r="E49" s="22">
        <v>7.5</v>
      </c>
      <c r="F49" s="16">
        <f t="shared" si="5"/>
        <v>120</v>
      </c>
      <c r="G49" s="30">
        <f t="shared" si="6"/>
        <v>0.91603053435114501</v>
      </c>
      <c r="H49" s="30">
        <f t="shared" si="7"/>
        <v>0.88311152634380208</v>
      </c>
      <c r="I49" s="30">
        <f t="shared" si="8"/>
        <v>0.10687022900763354</v>
      </c>
      <c r="J49" s="30">
        <f t="shared" si="8"/>
        <v>0.10621146403035664</v>
      </c>
    </row>
    <row r="50" spans="1:10">
      <c r="A50">
        <v>1989.11</v>
      </c>
      <c r="B50" s="8">
        <v>1577.43</v>
      </c>
      <c r="C50" s="57">
        <f t="shared" si="4"/>
        <v>6.8658749023886578</v>
      </c>
      <c r="E50" s="22">
        <v>10</v>
      </c>
      <c r="F50" s="16">
        <f t="shared" si="5"/>
        <v>128</v>
      </c>
      <c r="G50" s="30">
        <f t="shared" si="6"/>
        <v>0.97709923664122134</v>
      </c>
      <c r="H50" s="30">
        <f t="shared" si="7"/>
        <v>0.94734152685919515</v>
      </c>
      <c r="I50" s="30">
        <f t="shared" si="8"/>
        <v>6.1068702290076327E-2</v>
      </c>
      <c r="J50" s="30">
        <f t="shared" si="8"/>
        <v>6.4230000515393071E-2</v>
      </c>
    </row>
    <row r="51" spans="1:10">
      <c r="A51">
        <v>1989.12</v>
      </c>
      <c r="B51" s="8">
        <v>1790.37</v>
      </c>
      <c r="C51" s="57">
        <f t="shared" si="4"/>
        <v>12.662536196380181</v>
      </c>
      <c r="E51" s="22">
        <v>12.5</v>
      </c>
      <c r="F51" s="16">
        <f t="shared" si="5"/>
        <v>128</v>
      </c>
      <c r="G51" s="30">
        <f t="shared" si="6"/>
        <v>0.97709923664122134</v>
      </c>
      <c r="H51" s="30">
        <f t="shared" si="7"/>
        <v>0.97974576240556221</v>
      </c>
      <c r="I51" s="30">
        <f t="shared" si="8"/>
        <v>0</v>
      </c>
      <c r="J51" s="30">
        <f t="shared" si="8"/>
        <v>3.2404235546367066E-2</v>
      </c>
    </row>
    <row r="52" spans="1:10">
      <c r="A52">
        <v>1990.01</v>
      </c>
      <c r="B52" s="8">
        <v>1823.44</v>
      </c>
      <c r="C52" s="57">
        <f t="shared" si="4"/>
        <v>1.8302524565776856</v>
      </c>
      <c r="E52" s="22">
        <v>15</v>
      </c>
      <c r="F52" s="16">
        <f t="shared" si="5"/>
        <v>130</v>
      </c>
      <c r="G52" s="30">
        <f t="shared" si="6"/>
        <v>0.99236641221374045</v>
      </c>
      <c r="H52" s="30">
        <f t="shared" si="7"/>
        <v>0.99338368353769879</v>
      </c>
      <c r="I52" s="30">
        <f t="shared" si="8"/>
        <v>1.5267175572519109E-2</v>
      </c>
      <c r="J52" s="30">
        <f t="shared" si="8"/>
        <v>1.3637921132136577E-2</v>
      </c>
    </row>
    <row r="53" spans="1:10">
      <c r="A53">
        <v>1990.02</v>
      </c>
      <c r="B53" s="8">
        <v>1809.92</v>
      </c>
      <c r="C53" s="57">
        <f t="shared" si="4"/>
        <v>-0.74421815628387122</v>
      </c>
      <c r="E53" s="22">
        <v>17.5</v>
      </c>
      <c r="F53" s="16">
        <f t="shared" si="5"/>
        <v>131</v>
      </c>
      <c r="G53" s="30">
        <f t="shared" si="6"/>
        <v>1</v>
      </c>
      <c r="H53" s="30">
        <f t="shared" si="7"/>
        <v>0.99817173511663582</v>
      </c>
      <c r="I53" s="30">
        <f t="shared" si="8"/>
        <v>7.6335877862595547E-3</v>
      </c>
      <c r="J53" s="30">
        <f t="shared" si="8"/>
        <v>4.7880515789370248E-3</v>
      </c>
    </row>
    <row r="54" spans="1:10">
      <c r="A54">
        <v>1990.03</v>
      </c>
      <c r="B54" s="8">
        <v>1968.55</v>
      </c>
      <c r="C54" s="57">
        <f t="shared" si="4"/>
        <v>8.4014585723973134</v>
      </c>
      <c r="E54" s="22">
        <v>20</v>
      </c>
      <c r="F54" s="16">
        <f t="shared" si="5"/>
        <v>131</v>
      </c>
      <c r="G54" s="30">
        <f t="shared" si="6"/>
        <v>1</v>
      </c>
      <c r="H54" s="30">
        <f t="shared" si="7"/>
        <v>0.99957394232834895</v>
      </c>
      <c r="I54" s="30">
        <f t="shared" si="8"/>
        <v>0</v>
      </c>
      <c r="J54" s="30">
        <f t="shared" si="8"/>
        <v>1.4022072117131357E-3</v>
      </c>
    </row>
    <row r="55" spans="1:10">
      <c r="A55">
        <v>1990.04</v>
      </c>
      <c r="B55" s="8">
        <v>1813.25</v>
      </c>
      <c r="C55" s="57">
        <f t="shared" si="4"/>
        <v>-8.2176415868494779</v>
      </c>
      <c r="E55" s="22">
        <v>22.5</v>
      </c>
      <c r="F55" s="16">
        <f t="shared" si="5"/>
        <v>131</v>
      </c>
      <c r="G55" s="30">
        <f t="shared" si="6"/>
        <v>1</v>
      </c>
      <c r="H55" s="30">
        <f t="shared" si="7"/>
        <v>0.99991646068906481</v>
      </c>
      <c r="I55" s="30">
        <f t="shared" si="8"/>
        <v>0</v>
      </c>
      <c r="J55" s="30">
        <f t="shared" si="8"/>
        <v>3.4251836071585995E-4</v>
      </c>
    </row>
    <row r="56" spans="1:10">
      <c r="A56">
        <v>1990.05</v>
      </c>
      <c r="B56" s="8">
        <v>1844.81</v>
      </c>
      <c r="C56" s="57">
        <f t="shared" si="4"/>
        <v>1.7255475898385164</v>
      </c>
      <c r="E56" s="22">
        <v>25</v>
      </c>
      <c r="F56" s="16">
        <f t="shared" si="5"/>
        <v>131</v>
      </c>
      <c r="G56" s="30">
        <f t="shared" si="6"/>
        <v>1</v>
      </c>
      <c r="H56" s="30">
        <f t="shared" si="7"/>
        <v>0.99998624322757768</v>
      </c>
      <c r="I56" s="30">
        <f t="shared" si="8"/>
        <v>0</v>
      </c>
      <c r="J56" s="30">
        <f t="shared" si="8"/>
        <v>6.9782538512863646E-5</v>
      </c>
    </row>
    <row r="57" spans="1:10" ht="13.5" thickBot="1">
      <c r="A57">
        <v>1990.06</v>
      </c>
      <c r="B57" s="8">
        <v>1879.9</v>
      </c>
      <c r="C57" s="57">
        <f t="shared" si="4"/>
        <v>1.8842292778008307</v>
      </c>
      <c r="E57" s="17">
        <v>1000</v>
      </c>
      <c r="F57" s="17">
        <f t="shared" si="5"/>
        <v>131</v>
      </c>
      <c r="G57" s="32">
        <f t="shared" si="6"/>
        <v>1</v>
      </c>
      <c r="H57" s="32">
        <v>1</v>
      </c>
      <c r="I57" s="32">
        <f t="shared" si="8"/>
        <v>0</v>
      </c>
      <c r="J57" s="32">
        <f t="shared" si="8"/>
        <v>1.3756772422324204E-5</v>
      </c>
    </row>
    <row r="58" spans="1:10">
      <c r="A58">
        <v>1990.07</v>
      </c>
      <c r="B58" s="8">
        <v>1919.2</v>
      </c>
      <c r="C58" s="57">
        <f t="shared" si="4"/>
        <v>2.0689848605569772</v>
      </c>
    </row>
    <row r="59" spans="1:10">
      <c r="A59">
        <v>1990.08</v>
      </c>
      <c r="B59" s="8">
        <v>1629.51</v>
      </c>
      <c r="C59" s="57">
        <f t="shared" si="4"/>
        <v>-16.362907641490398</v>
      </c>
    </row>
    <row r="60" spans="1:10">
      <c r="A60">
        <v>1990.09</v>
      </c>
      <c r="B60" s="8">
        <v>1334.89</v>
      </c>
      <c r="C60" s="57">
        <f t="shared" si="4"/>
        <v>-19.943046467479597</v>
      </c>
    </row>
    <row r="61" spans="1:10">
      <c r="A61">
        <v>1990.1</v>
      </c>
      <c r="B61" s="8">
        <v>1433.82</v>
      </c>
      <c r="C61" s="57">
        <f t="shared" si="4"/>
        <v>7.1493319832555358</v>
      </c>
    </row>
    <row r="62" spans="1:10">
      <c r="A62">
        <v>1990.11</v>
      </c>
      <c r="B62" s="8">
        <v>1441.23</v>
      </c>
      <c r="C62" s="57">
        <f t="shared" si="4"/>
        <v>0.51547043756254851</v>
      </c>
    </row>
    <row r="63" spans="1:10">
      <c r="A63">
        <v>1990.12</v>
      </c>
      <c r="B63" s="8">
        <v>1398.23</v>
      </c>
      <c r="C63" s="57">
        <f t="shared" si="4"/>
        <v>-3.028976463834443</v>
      </c>
    </row>
    <row r="64" spans="1:10">
      <c r="A64">
        <v>1991.01</v>
      </c>
      <c r="B64" s="8">
        <v>1420.08</v>
      </c>
      <c r="C64" s="57">
        <f t="shared" si="4"/>
        <v>1.550605703092689</v>
      </c>
    </row>
    <row r="65" spans="1:3">
      <c r="A65">
        <v>1991.02</v>
      </c>
      <c r="B65" s="8">
        <v>1542.09</v>
      </c>
      <c r="C65" s="57">
        <f t="shared" si="4"/>
        <v>8.2425431142266525</v>
      </c>
    </row>
    <row r="66" spans="1:3">
      <c r="A66">
        <v>1991.03</v>
      </c>
      <c r="B66" s="8">
        <v>1522.8</v>
      </c>
      <c r="C66" s="57">
        <f t="shared" si="4"/>
        <v>-1.2587893670472639</v>
      </c>
    </row>
    <row r="67" spans="1:3">
      <c r="A67">
        <v>1991.04</v>
      </c>
      <c r="B67" s="8">
        <v>1605.79</v>
      </c>
      <c r="C67" s="57">
        <f t="shared" si="4"/>
        <v>5.3065101797268532</v>
      </c>
    </row>
    <row r="68" spans="1:3">
      <c r="A68">
        <v>1991.05</v>
      </c>
      <c r="B68" s="8">
        <v>1704.11</v>
      </c>
      <c r="C68" s="57">
        <f t="shared" si="4"/>
        <v>5.9427132990741427</v>
      </c>
    </row>
    <row r="69" spans="1:3">
      <c r="A69">
        <v>1991.06</v>
      </c>
      <c r="B69" s="8">
        <v>1622.18</v>
      </c>
      <c r="C69" s="57">
        <f t="shared" ref="C69:C100" si="9">100*(LN(B69)-LN(B68))</f>
        <v>-4.9272056672123199</v>
      </c>
    </row>
    <row r="70" spans="1:3">
      <c r="A70">
        <v>1991.07</v>
      </c>
      <c r="B70" s="8">
        <v>1622.31</v>
      </c>
      <c r="C70" s="57">
        <f t="shared" si="9"/>
        <v>8.0135861149521759E-3</v>
      </c>
    </row>
    <row r="71" spans="1:3">
      <c r="A71">
        <v>1991.08</v>
      </c>
      <c r="B71" s="8">
        <v>1650.5</v>
      </c>
      <c r="C71" s="57">
        <f t="shared" si="9"/>
        <v>1.7227212807869208</v>
      </c>
    </row>
    <row r="72" spans="1:3">
      <c r="A72">
        <v>1991.09</v>
      </c>
      <c r="B72" s="8">
        <v>1607.03</v>
      </c>
      <c r="C72" s="57">
        <f t="shared" si="9"/>
        <v>-2.6690517403912928</v>
      </c>
    </row>
    <row r="73" spans="1:3">
      <c r="A73">
        <v>1991.1</v>
      </c>
      <c r="B73" s="8">
        <v>1582.06</v>
      </c>
      <c r="C73" s="57">
        <f t="shared" si="9"/>
        <v>-1.5659959605839546</v>
      </c>
    </row>
    <row r="74" spans="1:3">
      <c r="A74">
        <v>1991.11</v>
      </c>
      <c r="B74" s="8">
        <v>1566.57</v>
      </c>
      <c r="C74" s="57">
        <f t="shared" si="9"/>
        <v>-0.98392792847690203</v>
      </c>
    </row>
    <row r="75" spans="1:3">
      <c r="A75">
        <v>1991.12</v>
      </c>
      <c r="B75" s="8">
        <v>1577.98</v>
      </c>
      <c r="C75" s="57">
        <f t="shared" si="9"/>
        <v>0.72570320555440659</v>
      </c>
    </row>
    <row r="76" spans="1:3">
      <c r="A76">
        <v>1992.01</v>
      </c>
      <c r="B76" s="8">
        <v>1687.49</v>
      </c>
      <c r="C76" s="57">
        <f t="shared" si="9"/>
        <v>6.709666974893036</v>
      </c>
    </row>
    <row r="77" spans="1:3">
      <c r="A77">
        <v>1992.02</v>
      </c>
      <c r="B77" s="8">
        <v>1745.13</v>
      </c>
      <c r="C77" s="57">
        <f t="shared" si="9"/>
        <v>3.3586833625781409</v>
      </c>
    </row>
    <row r="78" spans="1:3">
      <c r="A78">
        <v>1992.03</v>
      </c>
      <c r="B78" s="8">
        <v>1717.86</v>
      </c>
      <c r="C78" s="57">
        <f t="shared" si="9"/>
        <v>-1.5749721310053921</v>
      </c>
    </row>
    <row r="79" spans="1:3">
      <c r="A79">
        <v>1992.04</v>
      </c>
      <c r="B79" s="8">
        <v>1734.03</v>
      </c>
      <c r="C79" s="57">
        <f t="shared" si="9"/>
        <v>0.93688491099594984</v>
      </c>
    </row>
    <row r="80" spans="1:3">
      <c r="A80">
        <v>1992.05</v>
      </c>
      <c r="B80" s="8">
        <v>1803.22</v>
      </c>
      <c r="C80" s="57">
        <f t="shared" si="9"/>
        <v>3.9125776388194033</v>
      </c>
    </row>
    <row r="81" spans="1:3">
      <c r="A81">
        <v>1992.06</v>
      </c>
      <c r="B81" s="8">
        <v>1752.63</v>
      </c>
      <c r="C81" s="57">
        <f t="shared" si="9"/>
        <v>-2.8456438716293775</v>
      </c>
    </row>
    <row r="82" spans="1:3">
      <c r="A82">
        <v>1992.07</v>
      </c>
      <c r="B82" s="8">
        <v>1615.42</v>
      </c>
      <c r="C82" s="57">
        <f t="shared" si="9"/>
        <v>-8.1522532134766124</v>
      </c>
    </row>
    <row r="83" spans="1:3">
      <c r="A83">
        <v>1992.08</v>
      </c>
      <c r="B83" s="8">
        <v>1541.25</v>
      </c>
      <c r="C83" s="57">
        <f t="shared" si="9"/>
        <v>-4.7001209287468093</v>
      </c>
    </row>
    <row r="84" spans="1:3">
      <c r="A84">
        <v>1992.09</v>
      </c>
      <c r="B84" s="8">
        <v>1466.36</v>
      </c>
      <c r="C84" s="57">
        <f t="shared" si="9"/>
        <v>-4.9810636011954124</v>
      </c>
    </row>
    <row r="85" spans="1:3">
      <c r="A85">
        <v>1992.1</v>
      </c>
      <c r="B85" s="8">
        <v>1492.32</v>
      </c>
      <c r="C85" s="57">
        <f t="shared" si="9"/>
        <v>1.7548816511953724</v>
      </c>
    </row>
    <row r="86" spans="1:3">
      <c r="A86">
        <v>1992.11</v>
      </c>
      <c r="B86" s="8">
        <v>1544.34</v>
      </c>
      <c r="C86" s="57">
        <f t="shared" si="9"/>
        <v>3.4264678617994981</v>
      </c>
    </row>
    <row r="87" spans="1:3">
      <c r="A87">
        <v>1992.12</v>
      </c>
      <c r="B87" s="8">
        <v>1545.05</v>
      </c>
      <c r="C87" s="57">
        <f t="shared" si="9"/>
        <v>4.5963767119072685E-2</v>
      </c>
    </row>
    <row r="88" spans="1:3">
      <c r="A88">
        <v>1993.01</v>
      </c>
      <c r="B88" s="8">
        <v>1571.85</v>
      </c>
      <c r="C88" s="57">
        <f t="shared" si="9"/>
        <v>1.719699732132085</v>
      </c>
    </row>
    <row r="89" spans="1:3">
      <c r="A89">
        <v>1993.02</v>
      </c>
      <c r="B89" s="8">
        <v>1684.35</v>
      </c>
      <c r="C89" s="57">
        <f t="shared" si="9"/>
        <v>6.9126463097597401</v>
      </c>
    </row>
    <row r="90" spans="1:3">
      <c r="A90">
        <v>1993.03</v>
      </c>
      <c r="B90" s="8">
        <v>1684.21</v>
      </c>
      <c r="C90" s="57">
        <f t="shared" si="9"/>
        <v>-8.3121571282873674E-3</v>
      </c>
    </row>
    <row r="91" spans="1:3">
      <c r="A91">
        <v>1993.04</v>
      </c>
      <c r="B91" s="8">
        <v>1627.19</v>
      </c>
      <c r="C91" s="57">
        <f t="shared" si="9"/>
        <v>-3.4442010366020348</v>
      </c>
    </row>
    <row r="92" spans="1:3">
      <c r="A92">
        <v>1993.05</v>
      </c>
      <c r="B92" s="8">
        <v>1631.85</v>
      </c>
      <c r="C92" s="57">
        <f t="shared" si="9"/>
        <v>0.28597397858467488</v>
      </c>
    </row>
    <row r="93" spans="1:3">
      <c r="A93">
        <v>1993.06</v>
      </c>
      <c r="B93" s="8">
        <v>1697.63</v>
      </c>
      <c r="C93" s="57">
        <f t="shared" si="9"/>
        <v>3.9518820175909575</v>
      </c>
    </row>
    <row r="94" spans="1:3">
      <c r="A94">
        <v>1993.07</v>
      </c>
      <c r="B94" s="8">
        <v>1803.23</v>
      </c>
      <c r="C94" s="57">
        <f t="shared" si="9"/>
        <v>6.0346340525624598</v>
      </c>
    </row>
    <row r="95" spans="1:3">
      <c r="A95">
        <v>1993.08</v>
      </c>
      <c r="B95" s="8">
        <v>1944.89</v>
      </c>
      <c r="C95" s="57">
        <f t="shared" si="9"/>
        <v>7.5625918946578885</v>
      </c>
    </row>
    <row r="96" spans="1:3">
      <c r="A96">
        <v>1993.09</v>
      </c>
      <c r="B96" s="8">
        <v>1915.71</v>
      </c>
      <c r="C96" s="57">
        <f t="shared" si="9"/>
        <v>-1.5117109101870696</v>
      </c>
    </row>
    <row r="97" spans="1:3">
      <c r="A97">
        <v>1993.1</v>
      </c>
      <c r="B97" s="8">
        <v>2069</v>
      </c>
      <c r="C97" s="57">
        <f t="shared" si="9"/>
        <v>7.6977087664099386</v>
      </c>
    </row>
    <row r="98" spans="1:3">
      <c r="A98">
        <v>1993.11</v>
      </c>
      <c r="B98" s="8">
        <v>2057.77</v>
      </c>
      <c r="C98" s="57">
        <f t="shared" si="9"/>
        <v>-0.5442526586358909</v>
      </c>
    </row>
    <row r="99" spans="1:3">
      <c r="A99">
        <v>1993.12</v>
      </c>
      <c r="B99" s="8">
        <v>2266.6799999999998</v>
      </c>
      <c r="C99" s="57">
        <f t="shared" si="9"/>
        <v>9.6693333672544846</v>
      </c>
    </row>
    <row r="100" spans="1:3">
      <c r="A100">
        <v>1994.01</v>
      </c>
      <c r="B100" s="8">
        <v>2177.4499999999998</v>
      </c>
      <c r="C100" s="57">
        <f t="shared" si="9"/>
        <v>-4.0161738481218734</v>
      </c>
    </row>
    <row r="101" spans="1:3">
      <c r="A101">
        <v>1994.02</v>
      </c>
      <c r="B101" s="8">
        <v>2091.5700000000002</v>
      </c>
      <c r="C101" s="57">
        <f t="shared" ref="C101:C132" si="10">100*(LN(B101)-LN(B100))</f>
        <v>-4.023948722602988</v>
      </c>
    </row>
    <row r="102" spans="1:3">
      <c r="A102">
        <v>1994.03</v>
      </c>
      <c r="B102" s="8">
        <v>2133.11</v>
      </c>
      <c r="C102" s="57">
        <f t="shared" si="10"/>
        <v>1.9666028575055172</v>
      </c>
    </row>
    <row r="103" spans="1:3">
      <c r="A103">
        <v>1994.04</v>
      </c>
      <c r="B103" s="8">
        <v>2245.98</v>
      </c>
      <c r="C103" s="57">
        <f t="shared" si="10"/>
        <v>5.156094283970436</v>
      </c>
    </row>
    <row r="104" spans="1:3">
      <c r="A104">
        <v>1994.05</v>
      </c>
      <c r="B104" s="8">
        <v>2127.6999999999998</v>
      </c>
      <c r="C104" s="57">
        <f t="shared" si="10"/>
        <v>-5.41003674595677</v>
      </c>
    </row>
    <row r="105" spans="1:3">
      <c r="A105">
        <v>1994.06</v>
      </c>
      <c r="B105" s="8">
        <v>2025.34</v>
      </c>
      <c r="C105" s="57">
        <f t="shared" si="10"/>
        <v>-4.9303996398299077</v>
      </c>
    </row>
    <row r="106" spans="1:3">
      <c r="A106">
        <v>1994.07</v>
      </c>
      <c r="B106" s="8">
        <v>2146.64</v>
      </c>
      <c r="C106" s="57">
        <f t="shared" si="10"/>
        <v>5.8166241311510269</v>
      </c>
    </row>
    <row r="107" spans="1:3">
      <c r="A107">
        <v>1994.08</v>
      </c>
      <c r="B107" s="8">
        <v>2212.85</v>
      </c>
      <c r="C107" s="57">
        <f t="shared" si="10"/>
        <v>3.0377448468547286</v>
      </c>
    </row>
    <row r="108" spans="1:3">
      <c r="A108">
        <v>1994.09</v>
      </c>
      <c r="B108" s="8">
        <v>2011.75</v>
      </c>
      <c r="C108" s="57">
        <f t="shared" si="10"/>
        <v>-9.527628743518779</v>
      </c>
    </row>
    <row r="109" spans="1:3">
      <c r="A109">
        <v>1994.1</v>
      </c>
      <c r="B109" s="8">
        <v>2071.63</v>
      </c>
      <c r="C109" s="57">
        <f t="shared" si="10"/>
        <v>2.9330746978783573</v>
      </c>
    </row>
    <row r="110" spans="1:3">
      <c r="A110">
        <v>1994.11</v>
      </c>
      <c r="B110" s="8">
        <v>2048.2600000000002</v>
      </c>
      <c r="C110" s="57">
        <f t="shared" si="10"/>
        <v>-1.1345084778493941</v>
      </c>
    </row>
    <row r="111" spans="1:3">
      <c r="A111">
        <v>1994.12</v>
      </c>
      <c r="B111" s="8">
        <v>2106.58</v>
      </c>
      <c r="C111" s="57">
        <f t="shared" si="10"/>
        <v>2.8075127159513436</v>
      </c>
    </row>
    <row r="112" spans="1:3">
      <c r="A112">
        <v>1995.01</v>
      </c>
      <c r="B112" s="8">
        <v>2021.27</v>
      </c>
      <c r="C112" s="57">
        <f t="shared" si="10"/>
        <v>-4.1339752676645247</v>
      </c>
    </row>
    <row r="113" spans="1:3">
      <c r="A113">
        <v>1995.02</v>
      </c>
      <c r="B113" s="8">
        <v>2102.1799999999998</v>
      </c>
      <c r="C113" s="57">
        <f t="shared" si="10"/>
        <v>3.9248874791955934</v>
      </c>
    </row>
    <row r="114" spans="1:3">
      <c r="A114">
        <v>1995.03</v>
      </c>
      <c r="B114" s="8">
        <v>1922.59</v>
      </c>
      <c r="C114" s="57">
        <f t="shared" si="10"/>
        <v>-8.9301666173087213</v>
      </c>
    </row>
    <row r="115" spans="1:3">
      <c r="A115">
        <v>1995.04</v>
      </c>
      <c r="B115" s="8">
        <v>2015.94</v>
      </c>
      <c r="C115" s="57">
        <f t="shared" si="10"/>
        <v>4.7412352515333822</v>
      </c>
    </row>
    <row r="116" spans="1:3">
      <c r="A116">
        <v>1995.05</v>
      </c>
      <c r="B116" s="8">
        <v>2092.17</v>
      </c>
      <c r="C116" s="57">
        <f t="shared" si="10"/>
        <v>3.7116216989923956</v>
      </c>
    </row>
    <row r="117" spans="1:3">
      <c r="A117">
        <v>1995.06</v>
      </c>
      <c r="B117" s="8">
        <v>2083.9299999999998</v>
      </c>
      <c r="C117" s="57">
        <f t="shared" si="10"/>
        <v>-0.39462707758408655</v>
      </c>
    </row>
    <row r="118" spans="1:3">
      <c r="A118">
        <v>1995.07</v>
      </c>
      <c r="B118" s="8">
        <v>2218.7399999999998</v>
      </c>
      <c r="C118" s="57">
        <f t="shared" si="10"/>
        <v>6.2683933113629742</v>
      </c>
    </row>
    <row r="119" spans="1:3">
      <c r="A119">
        <v>1995.08</v>
      </c>
      <c r="B119" s="8">
        <v>2238.31</v>
      </c>
      <c r="C119" s="57">
        <f t="shared" si="10"/>
        <v>0.87816496406443179</v>
      </c>
    </row>
    <row r="120" spans="1:3">
      <c r="A120">
        <v>1995.09</v>
      </c>
      <c r="B120" s="8">
        <v>2187.04</v>
      </c>
      <c r="C120" s="57">
        <f t="shared" si="10"/>
        <v>-2.3172085407617615</v>
      </c>
    </row>
    <row r="121" spans="1:3">
      <c r="A121">
        <v>1995.1</v>
      </c>
      <c r="B121" s="8">
        <v>2167.91</v>
      </c>
      <c r="C121" s="57">
        <f t="shared" si="10"/>
        <v>-0.87854616216196391</v>
      </c>
    </row>
    <row r="122" spans="1:3">
      <c r="A122">
        <v>1995.11</v>
      </c>
      <c r="B122" s="8">
        <v>2242.83</v>
      </c>
      <c r="C122" s="57">
        <f t="shared" si="10"/>
        <v>3.3974891514306549</v>
      </c>
    </row>
    <row r="123" spans="1:3">
      <c r="A123">
        <v>1995.12</v>
      </c>
      <c r="B123" s="8">
        <v>2253.88</v>
      </c>
      <c r="C123" s="57">
        <f t="shared" si="10"/>
        <v>0.49147141986836118</v>
      </c>
    </row>
    <row r="124" spans="1:3">
      <c r="A124">
        <v>1996.01</v>
      </c>
      <c r="B124" s="8">
        <v>2435.79</v>
      </c>
      <c r="C124" s="57">
        <f t="shared" si="10"/>
        <v>7.7617963721494654</v>
      </c>
    </row>
    <row r="125" spans="1:3">
      <c r="A125">
        <v>1996.02</v>
      </c>
      <c r="B125" s="8">
        <v>2473.5500000000002</v>
      </c>
      <c r="C125" s="57">
        <f t="shared" si="10"/>
        <v>1.538322651752555</v>
      </c>
    </row>
    <row r="126" spans="1:3">
      <c r="A126">
        <v>1996.03</v>
      </c>
      <c r="B126" s="8">
        <v>2485.87</v>
      </c>
      <c r="C126" s="57">
        <f t="shared" si="10"/>
        <v>0.49683331287013743</v>
      </c>
    </row>
    <row r="127" spans="1:3">
      <c r="A127">
        <v>1996.04</v>
      </c>
      <c r="B127" s="8">
        <v>2505.25</v>
      </c>
      <c r="C127" s="57">
        <f t="shared" si="10"/>
        <v>0.77658310750035042</v>
      </c>
    </row>
    <row r="128" spans="1:3">
      <c r="A128">
        <v>1996.05</v>
      </c>
      <c r="B128" s="8">
        <v>2542.8000000000002</v>
      </c>
      <c r="C128" s="57">
        <f t="shared" si="10"/>
        <v>1.4877306123815437</v>
      </c>
    </row>
    <row r="129" spans="1:3">
      <c r="A129">
        <v>1996.06</v>
      </c>
      <c r="B129" s="8">
        <v>2561.39</v>
      </c>
      <c r="C129" s="57">
        <f t="shared" si="10"/>
        <v>0.72842438071596405</v>
      </c>
    </row>
    <row r="130" spans="1:3">
      <c r="A130">
        <v>1996.07</v>
      </c>
      <c r="B130" s="8">
        <v>2473.35</v>
      </c>
      <c r="C130" s="57">
        <f t="shared" si="10"/>
        <v>-3.4976572854326093</v>
      </c>
    </row>
    <row r="131" spans="1:3">
      <c r="A131">
        <v>1996.08</v>
      </c>
      <c r="B131" s="8">
        <v>2543.83</v>
      </c>
      <c r="C131" s="57">
        <f t="shared" si="10"/>
        <v>2.8097312312738154</v>
      </c>
    </row>
    <row r="132" spans="1:3">
      <c r="A132">
        <v>1996.09</v>
      </c>
      <c r="B132" s="8">
        <v>2651.85</v>
      </c>
      <c r="C132" s="57">
        <f t="shared" si="10"/>
        <v>4.158669029231632</v>
      </c>
    </row>
    <row r="133" spans="1:3">
      <c r="A133">
        <v>1996.1</v>
      </c>
      <c r="B133" s="8">
        <v>2659.25</v>
      </c>
      <c r="C133" s="57">
        <f>100*(LN(B133)-LN(B132))</f>
        <v>0.27866185116325326</v>
      </c>
    </row>
    <row r="134" spans="1:3">
      <c r="A134">
        <v>1996.11</v>
      </c>
      <c r="B134" s="8">
        <v>2845.52</v>
      </c>
      <c r="C134" s="57">
        <f>100*(LN(B134)-LN(B133))</f>
        <v>6.7701699528418757</v>
      </c>
    </row>
    <row r="135" spans="1:3">
      <c r="A135">
        <v>1996.12</v>
      </c>
      <c r="B135" s="8">
        <v>2888.69</v>
      </c>
      <c r="C135" s="57">
        <f>100*(LN(B135)-LN(B134))</f>
        <v>1.5057284483355637</v>
      </c>
    </row>
  </sheetData>
  <phoneticPr fontId="0" type="noConversion"/>
  <printOptions headings="1" gridLines="1"/>
  <pageMargins left="0.78740157499999996" right="0.78740157499999996" top="0.984251969" bottom="0.984251969" header="0.5" footer="0.5"/>
  <pageSetup scale="37"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N135"/>
  <sheetViews>
    <sheetView workbookViewId="0"/>
  </sheetViews>
  <sheetFormatPr defaultColWidth="9.140625" defaultRowHeight="12.75"/>
  <cols>
    <col min="1" max="1" width="11.5703125" customWidth="1"/>
    <col min="2" max="2" width="11.7109375" customWidth="1"/>
    <col min="3" max="3" width="9.7109375" customWidth="1"/>
    <col min="4" max="4" width="3.7109375" customWidth="1"/>
    <col min="8" max="8" width="11.42578125" customWidth="1"/>
    <col min="9" max="9" width="4" customWidth="1"/>
    <col min="10" max="11" width="7.7109375" customWidth="1"/>
  </cols>
  <sheetData>
    <row r="1" spans="1:14">
      <c r="A1" s="1" t="s">
        <v>111</v>
      </c>
      <c r="E1" s="1" t="s">
        <v>34</v>
      </c>
    </row>
    <row r="2" spans="1:14">
      <c r="E2" t="s">
        <v>28</v>
      </c>
      <c r="G2" s="8">
        <f>AVERAGE(C5:C135)</f>
        <v>0.55997973809704671</v>
      </c>
    </row>
    <row r="3" spans="1:14" s="3" customFormat="1">
      <c r="A3" s="3" t="s">
        <v>112</v>
      </c>
      <c r="B3" s="2" t="s">
        <v>113</v>
      </c>
      <c r="C3" s="2" t="s">
        <v>114</v>
      </c>
      <c r="E3" t="s">
        <v>33</v>
      </c>
      <c r="F3"/>
      <c r="G3" s="21">
        <f>STDEV(C5:C135)</f>
        <v>5.8285906786445807</v>
      </c>
    </row>
    <row r="4" spans="1:14" s="3" customFormat="1">
      <c r="A4">
        <v>1986.01</v>
      </c>
      <c r="B4">
        <v>1387.12</v>
      </c>
      <c r="C4" s="5" t="s">
        <v>6</v>
      </c>
      <c r="E4" t="s">
        <v>31</v>
      </c>
      <c r="F4"/>
      <c r="G4" s="8">
        <f>SKEW(C5:C135)</f>
        <v>-1.000485155632405</v>
      </c>
    </row>
    <row r="5" spans="1:14" s="3" customFormat="1">
      <c r="A5">
        <v>1986.02</v>
      </c>
      <c r="B5">
        <v>1357.34</v>
      </c>
      <c r="C5" s="57">
        <f t="shared" ref="C5:C36" si="0">100*(LN(B5)-LN(B4))</f>
        <v>-2.1702753094873906</v>
      </c>
      <c r="D5" s="52"/>
      <c r="E5" t="s">
        <v>32</v>
      </c>
      <c r="F5"/>
      <c r="G5" s="8">
        <f>KURT(C5:C135)+3</f>
        <v>6.2106146346076763</v>
      </c>
      <c r="N5"/>
    </row>
    <row r="6" spans="1:14">
      <c r="A6">
        <v>1986.03</v>
      </c>
      <c r="B6">
        <v>1481.63</v>
      </c>
      <c r="C6" s="57">
        <f t="shared" si="0"/>
        <v>8.7615930925506014</v>
      </c>
      <c r="D6" s="52"/>
      <c r="E6" s="16"/>
      <c r="G6" s="8"/>
      <c r="H6" s="3"/>
      <c r="I6" s="3"/>
      <c r="J6" s="3"/>
      <c r="K6" s="3"/>
      <c r="L6" s="3"/>
    </row>
    <row r="7" spans="1:14">
      <c r="A7">
        <v>1986.04</v>
      </c>
      <c r="B7">
        <v>1507.32</v>
      </c>
      <c r="C7" s="57">
        <f t="shared" si="0"/>
        <v>1.7190406420112936</v>
      </c>
      <c r="D7" s="52"/>
      <c r="E7" s="59" t="s">
        <v>115</v>
      </c>
      <c r="G7" s="8"/>
      <c r="H7" s="3"/>
      <c r="I7" s="3"/>
      <c r="J7" s="3"/>
      <c r="K7" s="3"/>
      <c r="L7" s="3"/>
    </row>
    <row r="8" spans="1:14" ht="25.5">
      <c r="A8">
        <v>1986.05</v>
      </c>
      <c r="B8">
        <v>1380.47</v>
      </c>
      <c r="C8" s="57">
        <f t="shared" si="0"/>
        <v>-8.7909218609871331</v>
      </c>
      <c r="D8" s="52"/>
      <c r="J8" s="3" t="s">
        <v>132</v>
      </c>
      <c r="K8" s="13" t="s">
        <v>133</v>
      </c>
      <c r="L8" s="13" t="s">
        <v>24</v>
      </c>
      <c r="M8" s="13" t="s">
        <v>25</v>
      </c>
    </row>
    <row r="9" spans="1:14">
      <c r="A9">
        <v>1986.06</v>
      </c>
      <c r="B9">
        <v>1357.45</v>
      </c>
      <c r="C9" s="57">
        <f t="shared" si="0"/>
        <v>-1.6816081160053287</v>
      </c>
      <c r="D9" s="52"/>
      <c r="E9" t="s">
        <v>35</v>
      </c>
      <c r="I9">
        <v>-3</v>
      </c>
      <c r="J9" s="95" t="s">
        <v>197</v>
      </c>
      <c r="K9" s="8">
        <f t="shared" ref="K9:K15" si="1">$G$2+I9*$G$3</f>
        <v>-16.925792297836697</v>
      </c>
      <c r="L9">
        <f>FREQUENCY($C$5:$C$135,K9)</f>
        <v>2</v>
      </c>
      <c r="M9" s="60">
        <f t="shared" ref="M9:M16" si="2">L9/COUNT($C$5:$C$135)</f>
        <v>1.5267175572519083E-2</v>
      </c>
    </row>
    <row r="10" spans="1:14">
      <c r="A10">
        <v>1986.07</v>
      </c>
      <c r="B10">
        <v>1288.5999999999999</v>
      </c>
      <c r="C10" s="57">
        <f t="shared" si="0"/>
        <v>-5.2051582012695441</v>
      </c>
      <c r="D10" s="52"/>
      <c r="E10" t="s">
        <v>36</v>
      </c>
      <c r="I10">
        <v>-2</v>
      </c>
      <c r="J10" s="8">
        <f>K9</f>
        <v>-16.925792297836697</v>
      </c>
      <c r="K10" s="8">
        <f t="shared" si="1"/>
        <v>-11.097201619192115</v>
      </c>
      <c r="L10" s="20">
        <f>FREQUENCY($C$5:$C$135,K10)-L9</f>
        <v>2</v>
      </c>
      <c r="M10" s="60">
        <f t="shared" si="2"/>
        <v>1.5267175572519083E-2</v>
      </c>
    </row>
    <row r="11" spans="1:14">
      <c r="A11">
        <v>1986.08</v>
      </c>
      <c r="B11">
        <v>1497.5</v>
      </c>
      <c r="C11" s="57">
        <f t="shared" si="0"/>
        <v>15.02406932850624</v>
      </c>
      <c r="D11" s="52"/>
      <c r="E11" t="s">
        <v>37</v>
      </c>
      <c r="I11">
        <v>-1</v>
      </c>
      <c r="J11" s="8">
        <f t="shared" ref="J11:J16" si="3">K10</f>
        <v>-11.097201619192115</v>
      </c>
      <c r="K11" s="8">
        <f t="shared" si="1"/>
        <v>-5.2686109405475339</v>
      </c>
      <c r="L11" s="20">
        <f>FREQUENCY($C$5:$C$135,K11)-SUM($L$9:L10)</f>
        <v>10</v>
      </c>
      <c r="M11" s="60">
        <f t="shared" si="2"/>
        <v>7.6335877862595422E-2</v>
      </c>
    </row>
    <row r="12" spans="1:14">
      <c r="A12">
        <v>1986.09</v>
      </c>
      <c r="B12">
        <v>1408.02</v>
      </c>
      <c r="C12" s="57">
        <f t="shared" si="0"/>
        <v>-6.1612588827046011</v>
      </c>
      <c r="D12" s="52"/>
      <c r="E12" t="s">
        <v>38</v>
      </c>
      <c r="I12">
        <v>0</v>
      </c>
      <c r="J12" s="8">
        <f t="shared" si="3"/>
        <v>-5.2686109405475339</v>
      </c>
      <c r="K12" s="8">
        <f t="shared" si="1"/>
        <v>0.55997973809704671</v>
      </c>
      <c r="L12" s="20">
        <f>FREQUENCY($C$5:$C$135,K12)-SUM($L$9:L11)</f>
        <v>46</v>
      </c>
      <c r="M12" s="60">
        <f t="shared" si="2"/>
        <v>0.35114503816793891</v>
      </c>
    </row>
    <row r="13" spans="1:14">
      <c r="A13">
        <v>1986.1</v>
      </c>
      <c r="B13">
        <v>1426.32</v>
      </c>
      <c r="C13" s="57">
        <f t="shared" si="0"/>
        <v>1.291323856395632</v>
      </c>
      <c r="D13" s="52"/>
      <c r="E13" t="s">
        <v>39</v>
      </c>
      <c r="I13">
        <v>1</v>
      </c>
      <c r="J13" s="8">
        <f t="shared" si="3"/>
        <v>0.55997973809704671</v>
      </c>
      <c r="K13" s="8">
        <f t="shared" si="1"/>
        <v>6.3885704167416275</v>
      </c>
      <c r="L13" s="20">
        <f>FREQUENCY($C$5:$C$135,K13)-SUM($L$9:L12)</f>
        <v>54</v>
      </c>
      <c r="M13" s="60">
        <f t="shared" si="2"/>
        <v>0.41221374045801529</v>
      </c>
    </row>
    <row r="14" spans="1:14">
      <c r="A14">
        <v>1986.11</v>
      </c>
      <c r="B14">
        <v>1466.28</v>
      </c>
      <c r="C14" s="57">
        <f t="shared" si="0"/>
        <v>2.763088038991679</v>
      </c>
      <c r="D14" s="52"/>
      <c r="E14" t="s">
        <v>40</v>
      </c>
      <c r="I14">
        <v>2</v>
      </c>
      <c r="J14" s="8">
        <f t="shared" si="3"/>
        <v>6.3885704167416275</v>
      </c>
      <c r="K14" s="8">
        <f t="shared" si="1"/>
        <v>12.217161095386208</v>
      </c>
      <c r="L14" s="20">
        <f>FREQUENCY($C$5:$C$135,K14)-SUM($L$9:L13)</f>
        <v>14</v>
      </c>
      <c r="M14" s="60">
        <f t="shared" si="2"/>
        <v>0.10687022900763359</v>
      </c>
    </row>
    <row r="15" spans="1:14">
      <c r="A15">
        <v>1986.12</v>
      </c>
      <c r="B15">
        <v>1432.25</v>
      </c>
      <c r="C15" s="57">
        <f t="shared" si="0"/>
        <v>-2.3481946827744515</v>
      </c>
      <c r="D15" s="52"/>
      <c r="E15" t="s">
        <v>135</v>
      </c>
      <c r="I15">
        <v>3</v>
      </c>
      <c r="J15" s="8">
        <f t="shared" si="3"/>
        <v>12.217161095386208</v>
      </c>
      <c r="K15" s="8">
        <f t="shared" si="1"/>
        <v>18.045751774030787</v>
      </c>
      <c r="L15" s="20">
        <f>FREQUENCY($C$5:$C$135,K15)-SUM($L$9:L14)</f>
        <v>3</v>
      </c>
      <c r="M15" s="60">
        <f t="shared" si="2"/>
        <v>2.2900763358778626E-2</v>
      </c>
    </row>
    <row r="16" spans="1:14">
      <c r="A16">
        <v>1987.01</v>
      </c>
      <c r="B16">
        <v>1294.45</v>
      </c>
      <c r="C16" s="57">
        <f t="shared" si="0"/>
        <v>-10.11607397947758</v>
      </c>
      <c r="D16" s="52"/>
      <c r="E16" t="s">
        <v>41</v>
      </c>
      <c r="J16" s="8">
        <f t="shared" si="3"/>
        <v>18.045751774030787</v>
      </c>
      <c r="K16" s="94" t="s">
        <v>195</v>
      </c>
      <c r="L16" s="20">
        <f>COUNT(C5:C135)-SUM(L9:L15)</f>
        <v>0</v>
      </c>
      <c r="M16" s="60">
        <f t="shared" si="2"/>
        <v>0</v>
      </c>
    </row>
    <row r="17" spans="1:13">
      <c r="A17">
        <v>1987.02</v>
      </c>
      <c r="B17">
        <v>1244.3599999999999</v>
      </c>
      <c r="C17" s="57">
        <f t="shared" si="0"/>
        <v>-3.9464552992201973</v>
      </c>
      <c r="D17" s="52"/>
    </row>
    <row r="18" spans="1:13">
      <c r="A18">
        <v>1987.03</v>
      </c>
      <c r="B18">
        <v>1301.71</v>
      </c>
      <c r="C18" s="57">
        <f t="shared" si="0"/>
        <v>4.5057443202854763</v>
      </c>
      <c r="D18" s="52"/>
      <c r="K18" s="3" t="s">
        <v>44</v>
      </c>
      <c r="L18" s="3" t="s">
        <v>265</v>
      </c>
      <c r="M18" s="3" t="s">
        <v>47</v>
      </c>
    </row>
    <row r="19" spans="1:13">
      <c r="A19">
        <v>1987.04</v>
      </c>
      <c r="B19">
        <v>1308.1400000000001</v>
      </c>
      <c r="C19" s="57">
        <f t="shared" si="0"/>
        <v>0.4927496224032879</v>
      </c>
      <c r="D19" s="52"/>
      <c r="E19" t="s">
        <v>46</v>
      </c>
      <c r="K19" s="110">
        <f>2/3</f>
        <v>0.66666666666666663</v>
      </c>
      <c r="L19" s="62">
        <f>1-2*NORMSDIST(-1)</f>
        <v>0.68268949213708585</v>
      </c>
      <c r="M19" s="62">
        <f>SUM(M12:M13)</f>
        <v>0.76335877862595414</v>
      </c>
    </row>
    <row r="20" spans="1:13">
      <c r="A20">
        <v>1987.05</v>
      </c>
      <c r="B20">
        <v>1316.43</v>
      </c>
      <c r="C20" s="57">
        <f t="shared" si="0"/>
        <v>0.63172463066196727</v>
      </c>
      <c r="D20" s="52"/>
      <c r="E20" t="s">
        <v>45</v>
      </c>
      <c r="F20" s="14"/>
      <c r="G20" s="14"/>
      <c r="H20" s="14"/>
      <c r="K20" s="109">
        <f>0.95</f>
        <v>0.95</v>
      </c>
      <c r="L20" s="62">
        <f>1-2*NORMSDIST(-2)</f>
        <v>0.95449973610364136</v>
      </c>
      <c r="M20" s="62">
        <f>SUM(M11:M14)</f>
        <v>0.94656488549618323</v>
      </c>
    </row>
    <row r="21" spans="1:13">
      <c r="A21">
        <v>1987.06</v>
      </c>
      <c r="B21">
        <v>1382.56</v>
      </c>
      <c r="C21" s="57">
        <f t="shared" si="0"/>
        <v>4.9013325857872658</v>
      </c>
      <c r="D21" s="52"/>
      <c r="E21" t="s">
        <v>71</v>
      </c>
      <c r="F21" s="14"/>
      <c r="G21" s="14"/>
      <c r="H21" s="14"/>
      <c r="K21" s="94" t="s">
        <v>266</v>
      </c>
      <c r="L21" s="62">
        <f>1-2*NORMSDIST(-3)</f>
        <v>0.99730020393673979</v>
      </c>
      <c r="M21" s="62">
        <f>SUM(M10:M15)</f>
        <v>0.98473282442748089</v>
      </c>
    </row>
    <row r="22" spans="1:13">
      <c r="A22">
        <v>1987.07</v>
      </c>
      <c r="B22">
        <v>1510.54</v>
      </c>
      <c r="C22" s="57">
        <f t="shared" si="0"/>
        <v>8.8530349680597809</v>
      </c>
      <c r="D22" s="52"/>
    </row>
    <row r="23" spans="1:13">
      <c r="A23">
        <v>1987.08</v>
      </c>
      <c r="B23">
        <v>1537.81</v>
      </c>
      <c r="C23" s="57">
        <f t="shared" si="0"/>
        <v>1.7892123599453136</v>
      </c>
      <c r="D23" s="52"/>
      <c r="H23" t="s">
        <v>49</v>
      </c>
      <c r="J23" s="63">
        <v>0.9</v>
      </c>
      <c r="K23" s="63">
        <v>0.95</v>
      </c>
      <c r="L23" s="63">
        <v>0.99</v>
      </c>
    </row>
    <row r="24" spans="1:13">
      <c r="A24">
        <v>1987.09</v>
      </c>
      <c r="B24">
        <v>1500.17</v>
      </c>
      <c r="C24" s="57">
        <f t="shared" si="0"/>
        <v>-2.4780891371242397</v>
      </c>
      <c r="D24" s="52"/>
      <c r="H24" s="36" t="s">
        <v>50</v>
      </c>
      <c r="J24" s="14">
        <f>NORMSINV((1-J23)/2)</f>
        <v>-1.6448536269514742</v>
      </c>
      <c r="K24" s="14">
        <f>NORMSINV((1-K23)/2)</f>
        <v>-1.9599639845400545</v>
      </c>
      <c r="L24" s="14">
        <f>NORMSINV((1-L23)/2)</f>
        <v>-2.5758293035489155</v>
      </c>
    </row>
    <row r="25" spans="1:13">
      <c r="A25">
        <v>1987.1</v>
      </c>
      <c r="B25">
        <v>1177.3800000000001</v>
      </c>
      <c r="C25" s="57">
        <f t="shared" si="0"/>
        <v>-24.228680413261117</v>
      </c>
      <c r="D25" s="52"/>
      <c r="H25" t="s">
        <v>51</v>
      </c>
      <c r="J25" s="21">
        <f>$G$2-ABS(J24)*$G$3</f>
        <v>-9.0271987796870459</v>
      </c>
      <c r="K25" s="21">
        <f>$G$2-ABS(K24)*$G$3</f>
        <v>-10.863848072672205</v>
      </c>
      <c r="L25" s="21">
        <f>$G$2-ABS(L24)*$G$3</f>
        <v>-14.453474930347724</v>
      </c>
    </row>
    <row r="26" spans="1:13">
      <c r="A26">
        <v>1987.11</v>
      </c>
      <c r="B26">
        <v>1022.84</v>
      </c>
      <c r="C26" s="57">
        <f t="shared" si="0"/>
        <v>-14.070855888689149</v>
      </c>
      <c r="D26" s="52"/>
      <c r="H26" t="s">
        <v>52</v>
      </c>
      <c r="J26" s="21">
        <f>$G$2+ABS(J24)*$G$3</f>
        <v>10.14715825588114</v>
      </c>
      <c r="K26" s="21">
        <f>$G$2+ABS(K24)*$G$3</f>
        <v>11.983807548866299</v>
      </c>
      <c r="L26" s="21">
        <f>$G$2+ABS(L24)*$G$3</f>
        <v>15.573434406541818</v>
      </c>
    </row>
    <row r="27" spans="1:13">
      <c r="A27">
        <v>1987.12</v>
      </c>
      <c r="B27">
        <v>1000</v>
      </c>
      <c r="C27" s="57">
        <f t="shared" si="0"/>
        <v>-2.258307200025822</v>
      </c>
      <c r="D27" s="52"/>
    </row>
    <row r="28" spans="1:13">
      <c r="A28">
        <v>1988.01</v>
      </c>
      <c r="B28">
        <v>935.57</v>
      </c>
      <c r="C28" s="57">
        <f t="shared" si="0"/>
        <v>-6.6599309771241622</v>
      </c>
      <c r="D28" s="52"/>
    </row>
    <row r="29" spans="1:13">
      <c r="A29">
        <v>1988.02</v>
      </c>
      <c r="B29">
        <v>1079.55</v>
      </c>
      <c r="C29" s="57">
        <f t="shared" si="0"/>
        <v>14.314359741102756</v>
      </c>
      <c r="D29" s="52"/>
    </row>
    <row r="30" spans="1:13">
      <c r="A30">
        <v>1988.03</v>
      </c>
      <c r="B30">
        <v>1063.17</v>
      </c>
      <c r="C30" s="57">
        <f t="shared" si="0"/>
        <v>-1.528927632527477</v>
      </c>
      <c r="D30" s="52"/>
    </row>
    <row r="31" spans="1:13">
      <c r="A31">
        <v>1988.04</v>
      </c>
      <c r="B31">
        <v>1054.46</v>
      </c>
      <c r="C31" s="57">
        <f t="shared" si="0"/>
        <v>-0.82262237667922733</v>
      </c>
      <c r="D31" s="52"/>
    </row>
    <row r="32" spans="1:13">
      <c r="A32">
        <v>1988.05</v>
      </c>
      <c r="B32">
        <v>1083.31</v>
      </c>
      <c r="C32" s="57">
        <f t="shared" si="0"/>
        <v>2.6992381432322965</v>
      </c>
      <c r="D32" s="52"/>
    </row>
    <row r="33" spans="1:4">
      <c r="A33">
        <v>1988.06</v>
      </c>
      <c r="B33">
        <v>1140.49</v>
      </c>
      <c r="C33" s="57">
        <f t="shared" si="0"/>
        <v>5.1436825639650685</v>
      </c>
      <c r="D33" s="52"/>
    </row>
    <row r="34" spans="1:4">
      <c r="A34">
        <v>1988.07</v>
      </c>
      <c r="B34">
        <v>1181.72</v>
      </c>
      <c r="C34" s="57">
        <f t="shared" si="0"/>
        <v>3.5513009669318585</v>
      </c>
      <c r="D34" s="52"/>
    </row>
    <row r="35" spans="1:4">
      <c r="A35">
        <v>1988.08</v>
      </c>
      <c r="B35">
        <v>1165.3599999999999</v>
      </c>
      <c r="C35" s="57">
        <f t="shared" si="0"/>
        <v>-1.3940952130456097</v>
      </c>
      <c r="D35" s="52"/>
    </row>
    <row r="36" spans="1:4">
      <c r="A36">
        <v>1988.09</v>
      </c>
      <c r="B36">
        <v>1252.69</v>
      </c>
      <c r="C36" s="57">
        <f t="shared" si="0"/>
        <v>7.2263186920348055</v>
      </c>
      <c r="D36" s="52"/>
    </row>
    <row r="37" spans="1:4">
      <c r="A37">
        <v>1988.1</v>
      </c>
      <c r="B37">
        <v>1300.79</v>
      </c>
      <c r="C37" s="57">
        <f t="shared" ref="C37:C68" si="4">100*(LN(B37)-LN(B36))</f>
        <v>3.7678533126080715</v>
      </c>
      <c r="D37" s="52"/>
    </row>
    <row r="38" spans="1:4">
      <c r="A38">
        <v>1988.11</v>
      </c>
      <c r="B38">
        <v>1275.99</v>
      </c>
      <c r="C38" s="57">
        <f t="shared" si="4"/>
        <v>-1.9249424303690255</v>
      </c>
      <c r="D38" s="52"/>
    </row>
    <row r="39" spans="1:4">
      <c r="A39">
        <v>1988.12</v>
      </c>
      <c r="B39">
        <v>1327.87</v>
      </c>
      <c r="C39" s="57">
        <f t="shared" si="4"/>
        <v>3.985380679499162</v>
      </c>
      <c r="D39" s="52"/>
    </row>
    <row r="40" spans="1:4">
      <c r="A40">
        <v>1989.01</v>
      </c>
      <c r="B40">
        <v>1312.73</v>
      </c>
      <c r="C40" s="57">
        <f t="shared" si="4"/>
        <v>-1.1467216469806196</v>
      </c>
      <c r="D40" s="52"/>
    </row>
    <row r="41" spans="1:4">
      <c r="A41">
        <v>1989.02</v>
      </c>
      <c r="B41">
        <v>1288.6600000000001</v>
      </c>
      <c r="C41" s="57">
        <f t="shared" si="4"/>
        <v>-1.8506019427572795</v>
      </c>
      <c r="D41" s="52"/>
    </row>
    <row r="42" spans="1:4">
      <c r="A42">
        <v>1989.03</v>
      </c>
      <c r="B42">
        <v>1322.66</v>
      </c>
      <c r="C42" s="57">
        <f t="shared" si="4"/>
        <v>2.6041941620327691</v>
      </c>
      <c r="D42" s="52"/>
    </row>
    <row r="43" spans="1:4">
      <c r="A43">
        <v>1989.04</v>
      </c>
      <c r="B43">
        <v>1370.9</v>
      </c>
      <c r="C43" s="57">
        <f t="shared" si="4"/>
        <v>3.5822598040484266</v>
      </c>
      <c r="D43" s="52"/>
    </row>
    <row r="44" spans="1:4">
      <c r="A44">
        <v>1989.05</v>
      </c>
      <c r="B44">
        <v>1407.29</v>
      </c>
      <c r="C44" s="57">
        <f t="shared" si="4"/>
        <v>2.6198410729977972</v>
      </c>
      <c r="D44" s="52"/>
    </row>
    <row r="45" spans="1:4">
      <c r="A45">
        <v>1989.06</v>
      </c>
      <c r="B45">
        <v>1473.72</v>
      </c>
      <c r="C45" s="57">
        <f t="shared" si="4"/>
        <v>4.6123947238459806</v>
      </c>
      <c r="D45" s="52"/>
    </row>
    <row r="46" spans="1:4">
      <c r="A46">
        <v>1989.07</v>
      </c>
      <c r="B46">
        <v>1554.16</v>
      </c>
      <c r="C46" s="57">
        <f t="shared" si="4"/>
        <v>5.3145390320232799</v>
      </c>
      <c r="D46" s="52"/>
    </row>
    <row r="47" spans="1:4">
      <c r="A47">
        <v>1989.08</v>
      </c>
      <c r="B47">
        <v>1597.85</v>
      </c>
      <c r="C47" s="57">
        <f t="shared" si="4"/>
        <v>2.7723768855712372</v>
      </c>
      <c r="D47" s="52"/>
    </row>
    <row r="48" spans="1:4">
      <c r="A48">
        <v>1989.09</v>
      </c>
      <c r="B48">
        <v>1574.37</v>
      </c>
      <c r="C48" s="57">
        <f t="shared" si="4"/>
        <v>-1.4803783347844046</v>
      </c>
      <c r="D48" s="52"/>
    </row>
    <row r="49" spans="1:4">
      <c r="A49">
        <v>1989.1</v>
      </c>
      <c r="B49">
        <v>1472.76</v>
      </c>
      <c r="C49" s="57">
        <f t="shared" si="4"/>
        <v>-6.6717000840976759</v>
      </c>
      <c r="D49" s="52"/>
    </row>
    <row r="50" spans="1:4">
      <c r="A50">
        <v>1989.11</v>
      </c>
      <c r="B50">
        <v>1577.43</v>
      </c>
      <c r="C50" s="57">
        <f t="shared" si="4"/>
        <v>6.8658749023886578</v>
      </c>
      <c r="D50" s="52"/>
    </row>
    <row r="51" spans="1:4">
      <c r="A51">
        <v>1989.12</v>
      </c>
      <c r="B51">
        <v>1790.37</v>
      </c>
      <c r="C51" s="57">
        <f t="shared" si="4"/>
        <v>12.662536196380181</v>
      </c>
      <c r="D51" s="52"/>
    </row>
    <row r="52" spans="1:4">
      <c r="A52">
        <v>1990.01</v>
      </c>
      <c r="B52">
        <v>1823.44</v>
      </c>
      <c r="C52" s="57">
        <f t="shared" si="4"/>
        <v>1.8302524565776856</v>
      </c>
      <c r="D52" s="52"/>
    </row>
    <row r="53" spans="1:4">
      <c r="A53">
        <v>1990.02</v>
      </c>
      <c r="B53">
        <v>1809.92</v>
      </c>
      <c r="C53" s="57">
        <f t="shared" si="4"/>
        <v>-0.74421815628387122</v>
      </c>
      <c r="D53" s="52"/>
    </row>
    <row r="54" spans="1:4">
      <c r="A54">
        <v>1990.03</v>
      </c>
      <c r="B54">
        <v>1968.55</v>
      </c>
      <c r="C54" s="57">
        <f t="shared" si="4"/>
        <v>8.4014585723973134</v>
      </c>
      <c r="D54" s="52"/>
    </row>
    <row r="55" spans="1:4">
      <c r="A55">
        <v>1990.04</v>
      </c>
      <c r="B55">
        <v>1813.25</v>
      </c>
      <c r="C55" s="57">
        <f t="shared" si="4"/>
        <v>-8.2176415868494779</v>
      </c>
      <c r="D55" s="52"/>
    </row>
    <row r="56" spans="1:4">
      <c r="A56">
        <v>1990.05</v>
      </c>
      <c r="B56">
        <v>1844.81</v>
      </c>
      <c r="C56" s="57">
        <f t="shared" si="4"/>
        <v>1.7255475898385164</v>
      </c>
      <c r="D56" s="52"/>
    </row>
    <row r="57" spans="1:4">
      <c r="A57">
        <v>1990.06</v>
      </c>
      <c r="B57">
        <v>1879.9</v>
      </c>
      <c r="C57" s="57">
        <f t="shared" si="4"/>
        <v>1.8842292778008307</v>
      </c>
      <c r="D57" s="52"/>
    </row>
    <row r="58" spans="1:4">
      <c r="A58">
        <v>1990.07</v>
      </c>
      <c r="B58">
        <v>1919.2</v>
      </c>
      <c r="C58" s="57">
        <f t="shared" si="4"/>
        <v>2.0689848605569772</v>
      </c>
      <c r="D58" s="52"/>
    </row>
    <row r="59" spans="1:4">
      <c r="A59">
        <v>1990.08</v>
      </c>
      <c r="B59">
        <v>1629.51</v>
      </c>
      <c r="C59" s="57">
        <f t="shared" si="4"/>
        <v>-16.362907641490398</v>
      </c>
      <c r="D59" s="52"/>
    </row>
    <row r="60" spans="1:4">
      <c r="A60">
        <v>1990.09</v>
      </c>
      <c r="B60">
        <v>1334.89</v>
      </c>
      <c r="C60" s="57">
        <f t="shared" si="4"/>
        <v>-19.943046467479597</v>
      </c>
      <c r="D60" s="52"/>
    </row>
    <row r="61" spans="1:4">
      <c r="A61">
        <v>1990.1</v>
      </c>
      <c r="B61">
        <v>1433.82</v>
      </c>
      <c r="C61" s="57">
        <f t="shared" si="4"/>
        <v>7.1493319832555358</v>
      </c>
      <c r="D61" s="52"/>
    </row>
    <row r="62" spans="1:4">
      <c r="A62">
        <v>1990.11</v>
      </c>
      <c r="B62">
        <v>1441.23</v>
      </c>
      <c r="C62" s="57">
        <f t="shared" si="4"/>
        <v>0.51547043756254851</v>
      </c>
      <c r="D62" s="52"/>
    </row>
    <row r="63" spans="1:4">
      <c r="A63">
        <v>1990.12</v>
      </c>
      <c r="B63">
        <v>1398.23</v>
      </c>
      <c r="C63" s="57">
        <f t="shared" si="4"/>
        <v>-3.028976463834443</v>
      </c>
      <c r="D63" s="52"/>
    </row>
    <row r="64" spans="1:4">
      <c r="A64">
        <v>1991.01</v>
      </c>
      <c r="B64">
        <v>1420.08</v>
      </c>
      <c r="C64" s="57">
        <f t="shared" si="4"/>
        <v>1.550605703092689</v>
      </c>
      <c r="D64" s="52"/>
    </row>
    <row r="65" spans="1:4">
      <c r="A65">
        <v>1991.02</v>
      </c>
      <c r="B65">
        <v>1542.09</v>
      </c>
      <c r="C65" s="57">
        <f t="shared" si="4"/>
        <v>8.2425431142266525</v>
      </c>
      <c r="D65" s="52"/>
    </row>
    <row r="66" spans="1:4">
      <c r="A66">
        <v>1991.03</v>
      </c>
      <c r="B66">
        <v>1522.8</v>
      </c>
      <c r="C66" s="57">
        <f t="shared" si="4"/>
        <v>-1.2587893670472639</v>
      </c>
      <c r="D66" s="52"/>
    </row>
    <row r="67" spans="1:4">
      <c r="A67">
        <v>1991.04</v>
      </c>
      <c r="B67">
        <v>1605.79</v>
      </c>
      <c r="C67" s="57">
        <f t="shared" si="4"/>
        <v>5.3065101797268532</v>
      </c>
      <c r="D67" s="52"/>
    </row>
    <row r="68" spans="1:4">
      <c r="A68">
        <v>1991.05</v>
      </c>
      <c r="B68">
        <v>1704.11</v>
      </c>
      <c r="C68" s="57">
        <f t="shared" si="4"/>
        <v>5.9427132990741427</v>
      </c>
      <c r="D68" s="52"/>
    </row>
    <row r="69" spans="1:4">
      <c r="A69">
        <v>1991.06</v>
      </c>
      <c r="B69">
        <v>1622.18</v>
      </c>
      <c r="C69" s="57">
        <f t="shared" ref="C69:C100" si="5">100*(LN(B69)-LN(B68))</f>
        <v>-4.9272056672123199</v>
      </c>
      <c r="D69" s="52"/>
    </row>
    <row r="70" spans="1:4">
      <c r="A70">
        <v>1991.07</v>
      </c>
      <c r="B70">
        <v>1622.31</v>
      </c>
      <c r="C70" s="57">
        <f t="shared" si="5"/>
        <v>8.0135861149521759E-3</v>
      </c>
      <c r="D70" s="52"/>
    </row>
    <row r="71" spans="1:4">
      <c r="A71">
        <v>1991.08</v>
      </c>
      <c r="B71">
        <v>1650.5</v>
      </c>
      <c r="C71" s="57">
        <f t="shared" si="5"/>
        <v>1.7227212807869208</v>
      </c>
      <c r="D71" s="52"/>
    </row>
    <row r="72" spans="1:4">
      <c r="A72">
        <v>1991.09</v>
      </c>
      <c r="B72">
        <v>1607.03</v>
      </c>
      <c r="C72" s="57">
        <f t="shared" si="5"/>
        <v>-2.6690517403912928</v>
      </c>
      <c r="D72" s="52"/>
    </row>
    <row r="73" spans="1:4">
      <c r="A73">
        <v>1991.1</v>
      </c>
      <c r="B73">
        <v>1582.06</v>
      </c>
      <c r="C73" s="57">
        <f t="shared" si="5"/>
        <v>-1.5659959605839546</v>
      </c>
      <c r="D73" s="52"/>
    </row>
    <row r="74" spans="1:4">
      <c r="A74">
        <v>1991.11</v>
      </c>
      <c r="B74">
        <v>1566.57</v>
      </c>
      <c r="C74" s="57">
        <f t="shared" si="5"/>
        <v>-0.98392792847690203</v>
      </c>
      <c r="D74" s="52"/>
    </row>
    <row r="75" spans="1:4">
      <c r="A75">
        <v>1991.12</v>
      </c>
      <c r="B75">
        <v>1577.98</v>
      </c>
      <c r="C75" s="57">
        <f t="shared" si="5"/>
        <v>0.72570320555440659</v>
      </c>
      <c r="D75" s="52"/>
    </row>
    <row r="76" spans="1:4">
      <c r="A76">
        <v>1992.01</v>
      </c>
      <c r="B76">
        <v>1687.49</v>
      </c>
      <c r="C76" s="57">
        <f t="shared" si="5"/>
        <v>6.709666974893036</v>
      </c>
      <c r="D76" s="52"/>
    </row>
    <row r="77" spans="1:4">
      <c r="A77">
        <v>1992.02</v>
      </c>
      <c r="B77">
        <v>1745.13</v>
      </c>
      <c r="C77" s="57">
        <f t="shared" si="5"/>
        <v>3.3586833625781409</v>
      </c>
      <c r="D77" s="52"/>
    </row>
    <row r="78" spans="1:4">
      <c r="A78">
        <v>1992.03</v>
      </c>
      <c r="B78">
        <v>1717.86</v>
      </c>
      <c r="C78" s="57">
        <f t="shared" si="5"/>
        <v>-1.5749721310053921</v>
      </c>
      <c r="D78" s="52"/>
    </row>
    <row r="79" spans="1:4">
      <c r="A79">
        <v>1992.04</v>
      </c>
      <c r="B79">
        <v>1734.03</v>
      </c>
      <c r="C79" s="57">
        <f t="shared" si="5"/>
        <v>0.93688491099594984</v>
      </c>
      <c r="D79" s="52"/>
    </row>
    <row r="80" spans="1:4">
      <c r="A80">
        <v>1992.05</v>
      </c>
      <c r="B80">
        <v>1803.22</v>
      </c>
      <c r="C80" s="57">
        <f t="shared" si="5"/>
        <v>3.9125776388194033</v>
      </c>
      <c r="D80" s="52"/>
    </row>
    <row r="81" spans="1:4">
      <c r="A81">
        <v>1992.06</v>
      </c>
      <c r="B81">
        <v>1752.63</v>
      </c>
      <c r="C81" s="57">
        <f t="shared" si="5"/>
        <v>-2.8456438716293775</v>
      </c>
      <c r="D81" s="52"/>
    </row>
    <row r="82" spans="1:4">
      <c r="A82">
        <v>1992.07</v>
      </c>
      <c r="B82">
        <v>1615.42</v>
      </c>
      <c r="C82" s="57">
        <f t="shared" si="5"/>
        <v>-8.1522532134766124</v>
      </c>
      <c r="D82" s="52"/>
    </row>
    <row r="83" spans="1:4">
      <c r="A83">
        <v>1992.08</v>
      </c>
      <c r="B83">
        <v>1541.25</v>
      </c>
      <c r="C83" s="57">
        <f t="shared" si="5"/>
        <v>-4.7001209287468093</v>
      </c>
      <c r="D83" s="52"/>
    </row>
    <row r="84" spans="1:4">
      <c r="A84">
        <v>1992.09</v>
      </c>
      <c r="B84">
        <v>1466.36</v>
      </c>
      <c r="C84" s="57">
        <f t="shared" si="5"/>
        <v>-4.9810636011954124</v>
      </c>
      <c r="D84" s="52"/>
    </row>
    <row r="85" spans="1:4">
      <c r="A85">
        <v>1992.1</v>
      </c>
      <c r="B85">
        <v>1492.32</v>
      </c>
      <c r="C85" s="57">
        <f t="shared" si="5"/>
        <v>1.7548816511953724</v>
      </c>
      <c r="D85" s="52"/>
    </row>
    <row r="86" spans="1:4">
      <c r="A86">
        <v>1992.11</v>
      </c>
      <c r="B86">
        <v>1544.34</v>
      </c>
      <c r="C86" s="57">
        <f t="shared" si="5"/>
        <v>3.4264678617994981</v>
      </c>
      <c r="D86" s="52"/>
    </row>
    <row r="87" spans="1:4">
      <c r="A87">
        <v>1992.12</v>
      </c>
      <c r="B87">
        <v>1545.05</v>
      </c>
      <c r="C87" s="57">
        <f t="shared" si="5"/>
        <v>4.5963767119072685E-2</v>
      </c>
      <c r="D87" s="52"/>
    </row>
    <row r="88" spans="1:4">
      <c r="A88">
        <v>1993.01</v>
      </c>
      <c r="B88">
        <v>1571.85</v>
      </c>
      <c r="C88" s="57">
        <f t="shared" si="5"/>
        <v>1.719699732132085</v>
      </c>
      <c r="D88" s="52"/>
    </row>
    <row r="89" spans="1:4">
      <c r="A89">
        <v>1993.02</v>
      </c>
      <c r="B89">
        <v>1684.35</v>
      </c>
      <c r="C89" s="57">
        <f t="shared" si="5"/>
        <v>6.9126463097597401</v>
      </c>
      <c r="D89" s="52"/>
    </row>
    <row r="90" spans="1:4">
      <c r="A90">
        <v>1993.03</v>
      </c>
      <c r="B90">
        <v>1684.21</v>
      </c>
      <c r="C90" s="57">
        <f t="shared" si="5"/>
        <v>-8.3121571282873674E-3</v>
      </c>
      <c r="D90" s="52"/>
    </row>
    <row r="91" spans="1:4">
      <c r="A91">
        <v>1993.04</v>
      </c>
      <c r="B91">
        <v>1627.19</v>
      </c>
      <c r="C91" s="57">
        <f t="shared" si="5"/>
        <v>-3.4442010366020348</v>
      </c>
      <c r="D91" s="52"/>
    </row>
    <row r="92" spans="1:4">
      <c r="A92">
        <v>1993.05</v>
      </c>
      <c r="B92">
        <v>1631.85</v>
      </c>
      <c r="C92" s="57">
        <f t="shared" si="5"/>
        <v>0.28597397858467488</v>
      </c>
      <c r="D92" s="52"/>
    </row>
    <row r="93" spans="1:4">
      <c r="A93">
        <v>1993.06</v>
      </c>
      <c r="B93">
        <v>1697.63</v>
      </c>
      <c r="C93" s="57">
        <f t="shared" si="5"/>
        <v>3.9518820175909575</v>
      </c>
      <c r="D93" s="52"/>
    </row>
    <row r="94" spans="1:4">
      <c r="A94">
        <v>1993.07</v>
      </c>
      <c r="B94">
        <v>1803.23</v>
      </c>
      <c r="C94" s="57">
        <f t="shared" si="5"/>
        <v>6.0346340525624598</v>
      </c>
      <c r="D94" s="52"/>
    </row>
    <row r="95" spans="1:4">
      <c r="A95">
        <v>1993.08</v>
      </c>
      <c r="B95">
        <v>1944.89</v>
      </c>
      <c r="C95" s="57">
        <f t="shared" si="5"/>
        <v>7.5625918946578885</v>
      </c>
      <c r="D95" s="52"/>
    </row>
    <row r="96" spans="1:4">
      <c r="A96">
        <v>1993.09</v>
      </c>
      <c r="B96">
        <v>1915.71</v>
      </c>
      <c r="C96" s="57">
        <f t="shared" si="5"/>
        <v>-1.5117109101870696</v>
      </c>
      <c r="D96" s="52"/>
    </row>
    <row r="97" spans="1:4">
      <c r="A97">
        <v>1993.1</v>
      </c>
      <c r="B97">
        <v>2069</v>
      </c>
      <c r="C97" s="57">
        <f t="shared" si="5"/>
        <v>7.6977087664099386</v>
      </c>
      <c r="D97" s="52"/>
    </row>
    <row r="98" spans="1:4">
      <c r="A98">
        <v>1993.11</v>
      </c>
      <c r="B98">
        <v>2057.77</v>
      </c>
      <c r="C98" s="57">
        <f t="shared" si="5"/>
        <v>-0.5442526586358909</v>
      </c>
      <c r="D98" s="52"/>
    </row>
    <row r="99" spans="1:4">
      <c r="A99">
        <v>1993.12</v>
      </c>
      <c r="B99">
        <v>2266.6799999999998</v>
      </c>
      <c r="C99" s="57">
        <f t="shared" si="5"/>
        <v>9.6693333672544846</v>
      </c>
      <c r="D99" s="52"/>
    </row>
    <row r="100" spans="1:4">
      <c r="A100">
        <v>1994.01</v>
      </c>
      <c r="B100">
        <v>2177.4499999999998</v>
      </c>
      <c r="C100" s="57">
        <f t="shared" si="5"/>
        <v>-4.0161738481218734</v>
      </c>
      <c r="D100" s="52"/>
    </row>
    <row r="101" spans="1:4">
      <c r="A101">
        <v>1994.02</v>
      </c>
      <c r="B101">
        <v>2091.5700000000002</v>
      </c>
      <c r="C101" s="57">
        <f t="shared" ref="C101:C132" si="6">100*(LN(B101)-LN(B100))</f>
        <v>-4.023948722602988</v>
      </c>
      <c r="D101" s="52"/>
    </row>
    <row r="102" spans="1:4">
      <c r="A102">
        <v>1994.03</v>
      </c>
      <c r="B102">
        <v>2133.11</v>
      </c>
      <c r="C102" s="57">
        <f t="shared" si="6"/>
        <v>1.9666028575055172</v>
      </c>
      <c r="D102" s="52"/>
    </row>
    <row r="103" spans="1:4">
      <c r="A103">
        <v>1994.04</v>
      </c>
      <c r="B103">
        <v>2245.98</v>
      </c>
      <c r="C103" s="57">
        <f t="shared" si="6"/>
        <v>5.156094283970436</v>
      </c>
      <c r="D103" s="52"/>
    </row>
    <row r="104" spans="1:4">
      <c r="A104">
        <v>1994.05</v>
      </c>
      <c r="B104">
        <v>2127.6999999999998</v>
      </c>
      <c r="C104" s="57">
        <f t="shared" si="6"/>
        <v>-5.41003674595677</v>
      </c>
      <c r="D104" s="52"/>
    </row>
    <row r="105" spans="1:4">
      <c r="A105">
        <v>1994.06</v>
      </c>
      <c r="B105">
        <v>2025.34</v>
      </c>
      <c r="C105" s="57">
        <f t="shared" si="6"/>
        <v>-4.9303996398299077</v>
      </c>
      <c r="D105" s="52"/>
    </row>
    <row r="106" spans="1:4">
      <c r="A106">
        <v>1994.07</v>
      </c>
      <c r="B106">
        <v>2146.64</v>
      </c>
      <c r="C106" s="57">
        <f t="shared" si="6"/>
        <v>5.8166241311510269</v>
      </c>
      <c r="D106" s="52"/>
    </row>
    <row r="107" spans="1:4">
      <c r="A107">
        <v>1994.08</v>
      </c>
      <c r="B107">
        <v>2212.85</v>
      </c>
      <c r="C107" s="57">
        <f t="shared" si="6"/>
        <v>3.0377448468547286</v>
      </c>
      <c r="D107" s="52"/>
    </row>
    <row r="108" spans="1:4">
      <c r="A108">
        <v>1994.09</v>
      </c>
      <c r="B108">
        <v>2011.75</v>
      </c>
      <c r="C108" s="57">
        <f t="shared" si="6"/>
        <v>-9.527628743518779</v>
      </c>
      <c r="D108" s="52"/>
    </row>
    <row r="109" spans="1:4">
      <c r="A109">
        <v>1994.1</v>
      </c>
      <c r="B109">
        <v>2071.63</v>
      </c>
      <c r="C109" s="57">
        <f t="shared" si="6"/>
        <v>2.9330746978783573</v>
      </c>
      <c r="D109" s="52"/>
    </row>
    <row r="110" spans="1:4">
      <c r="A110">
        <v>1994.11</v>
      </c>
      <c r="B110">
        <v>2048.2600000000002</v>
      </c>
      <c r="C110" s="57">
        <f t="shared" si="6"/>
        <v>-1.1345084778493941</v>
      </c>
      <c r="D110" s="52"/>
    </row>
    <row r="111" spans="1:4">
      <c r="A111">
        <v>1994.12</v>
      </c>
      <c r="B111">
        <v>2106.58</v>
      </c>
      <c r="C111" s="57">
        <f t="shared" si="6"/>
        <v>2.8075127159513436</v>
      </c>
      <c r="D111" s="52"/>
    </row>
    <row r="112" spans="1:4">
      <c r="A112">
        <v>1995.01</v>
      </c>
      <c r="B112">
        <v>2021.27</v>
      </c>
      <c r="C112" s="57">
        <f t="shared" si="6"/>
        <v>-4.1339752676645247</v>
      </c>
      <c r="D112" s="52"/>
    </row>
    <row r="113" spans="1:4">
      <c r="A113">
        <v>1995.02</v>
      </c>
      <c r="B113">
        <v>2102.1799999999998</v>
      </c>
      <c r="C113" s="57">
        <f t="shared" si="6"/>
        <v>3.9248874791955934</v>
      </c>
      <c r="D113" s="52"/>
    </row>
    <row r="114" spans="1:4">
      <c r="A114">
        <v>1995.03</v>
      </c>
      <c r="B114">
        <v>1922.59</v>
      </c>
      <c r="C114" s="57">
        <f t="shared" si="6"/>
        <v>-8.9301666173087213</v>
      </c>
      <c r="D114" s="52"/>
    </row>
    <row r="115" spans="1:4">
      <c r="A115">
        <v>1995.04</v>
      </c>
      <c r="B115">
        <v>2015.94</v>
      </c>
      <c r="C115" s="57">
        <f t="shared" si="6"/>
        <v>4.7412352515333822</v>
      </c>
      <c r="D115" s="52"/>
    </row>
    <row r="116" spans="1:4">
      <c r="A116">
        <v>1995.05</v>
      </c>
      <c r="B116">
        <v>2092.17</v>
      </c>
      <c r="C116" s="57">
        <f t="shared" si="6"/>
        <v>3.7116216989923956</v>
      </c>
      <c r="D116" s="52"/>
    </row>
    <row r="117" spans="1:4">
      <c r="A117">
        <v>1995.06</v>
      </c>
      <c r="B117">
        <v>2083.9299999999998</v>
      </c>
      <c r="C117" s="57">
        <f t="shared" si="6"/>
        <v>-0.39462707758408655</v>
      </c>
      <c r="D117" s="52"/>
    </row>
    <row r="118" spans="1:4">
      <c r="A118">
        <v>1995.07</v>
      </c>
      <c r="B118">
        <v>2218.7399999999998</v>
      </c>
      <c r="C118" s="57">
        <f t="shared" si="6"/>
        <v>6.2683933113629742</v>
      </c>
      <c r="D118" s="52"/>
    </row>
    <row r="119" spans="1:4">
      <c r="A119">
        <v>1995.08</v>
      </c>
      <c r="B119">
        <v>2238.31</v>
      </c>
      <c r="C119" s="57">
        <f t="shared" si="6"/>
        <v>0.87816496406443179</v>
      </c>
      <c r="D119" s="52"/>
    </row>
    <row r="120" spans="1:4">
      <c r="A120">
        <v>1995.09</v>
      </c>
      <c r="B120">
        <v>2187.04</v>
      </c>
      <c r="C120" s="57">
        <f t="shared" si="6"/>
        <v>-2.3172085407617615</v>
      </c>
      <c r="D120" s="52"/>
    </row>
    <row r="121" spans="1:4">
      <c r="A121">
        <v>1995.1</v>
      </c>
      <c r="B121">
        <v>2167.91</v>
      </c>
      <c r="C121" s="57">
        <f t="shared" si="6"/>
        <v>-0.87854616216196391</v>
      </c>
      <c r="D121" s="52"/>
    </row>
    <row r="122" spans="1:4">
      <c r="A122">
        <v>1995.11</v>
      </c>
      <c r="B122">
        <v>2242.83</v>
      </c>
      <c r="C122" s="57">
        <f t="shared" si="6"/>
        <v>3.3974891514306549</v>
      </c>
      <c r="D122" s="52"/>
    </row>
    <row r="123" spans="1:4">
      <c r="A123">
        <v>1995.12</v>
      </c>
      <c r="B123">
        <v>2253.88</v>
      </c>
      <c r="C123" s="57">
        <f t="shared" si="6"/>
        <v>0.49147141986836118</v>
      </c>
      <c r="D123" s="52"/>
    </row>
    <row r="124" spans="1:4">
      <c r="A124">
        <v>1996.01</v>
      </c>
      <c r="B124">
        <v>2435.79</v>
      </c>
      <c r="C124" s="57">
        <f t="shared" si="6"/>
        <v>7.7617963721494654</v>
      </c>
      <c r="D124" s="52"/>
    </row>
    <row r="125" spans="1:4">
      <c r="A125">
        <v>1996.02</v>
      </c>
      <c r="B125">
        <v>2473.5500000000002</v>
      </c>
      <c r="C125" s="57">
        <f t="shared" si="6"/>
        <v>1.538322651752555</v>
      </c>
      <c r="D125" s="52"/>
    </row>
    <row r="126" spans="1:4">
      <c r="A126">
        <v>1996.03</v>
      </c>
      <c r="B126">
        <v>2485.87</v>
      </c>
      <c r="C126" s="57">
        <f t="shared" si="6"/>
        <v>0.49683331287013743</v>
      </c>
      <c r="D126" s="52"/>
    </row>
    <row r="127" spans="1:4">
      <c r="A127">
        <v>1996.04</v>
      </c>
      <c r="B127">
        <v>2505.25</v>
      </c>
      <c r="C127" s="57">
        <f t="shared" si="6"/>
        <v>0.77658310750035042</v>
      </c>
      <c r="D127" s="52"/>
    </row>
    <row r="128" spans="1:4">
      <c r="A128">
        <v>1996.05</v>
      </c>
      <c r="B128">
        <v>2542.8000000000002</v>
      </c>
      <c r="C128" s="57">
        <f t="shared" si="6"/>
        <v>1.4877306123815437</v>
      </c>
      <c r="D128" s="52"/>
    </row>
    <row r="129" spans="1:4">
      <c r="A129">
        <v>1996.06</v>
      </c>
      <c r="B129">
        <v>2561.39</v>
      </c>
      <c r="C129" s="57">
        <f t="shared" si="6"/>
        <v>0.72842438071596405</v>
      </c>
      <c r="D129" s="52"/>
    </row>
    <row r="130" spans="1:4">
      <c r="A130">
        <v>1996.07</v>
      </c>
      <c r="B130">
        <v>2473.35</v>
      </c>
      <c r="C130" s="57">
        <f t="shared" si="6"/>
        <v>-3.4976572854326093</v>
      </c>
      <c r="D130" s="52"/>
    </row>
    <row r="131" spans="1:4">
      <c r="A131">
        <v>1996.08</v>
      </c>
      <c r="B131">
        <v>2543.83</v>
      </c>
      <c r="C131" s="57">
        <f t="shared" si="6"/>
        <v>2.8097312312738154</v>
      </c>
      <c r="D131" s="52"/>
    </row>
    <row r="132" spans="1:4">
      <c r="A132">
        <v>1996.09</v>
      </c>
      <c r="B132">
        <v>2651.85</v>
      </c>
      <c r="C132" s="57">
        <f t="shared" si="6"/>
        <v>4.158669029231632</v>
      </c>
      <c r="D132" s="52"/>
    </row>
    <row r="133" spans="1:4">
      <c r="A133">
        <v>1996.1</v>
      </c>
      <c r="B133">
        <v>2659.25</v>
      </c>
      <c r="C133" s="57">
        <f>100*(LN(B133)-LN(B132))</f>
        <v>0.27866185116325326</v>
      </c>
      <c r="D133" s="52"/>
    </row>
    <row r="134" spans="1:4">
      <c r="A134">
        <v>1996.11</v>
      </c>
      <c r="B134">
        <v>2845.52</v>
      </c>
      <c r="C134" s="57">
        <f>100*(LN(B134)-LN(B133))</f>
        <v>6.7701699528418757</v>
      </c>
      <c r="D134" s="52"/>
    </row>
    <row r="135" spans="1:4">
      <c r="A135">
        <v>1996.12</v>
      </c>
      <c r="B135">
        <v>2888.69</v>
      </c>
      <c r="C135" s="57">
        <f>100*(LN(B135)-LN(B134))</f>
        <v>1.5057284483355637</v>
      </c>
      <c r="D135" s="52"/>
    </row>
  </sheetData>
  <phoneticPr fontId="0" type="noConversion"/>
  <printOptions gridLines="1"/>
  <pageMargins left="0.78740157499999996" right="0.78740157499999996" top="0.984251969" bottom="0.984251969" header="0.5" footer="0.5"/>
  <pageSetup paperSize="9"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dimension ref="A1:I303"/>
  <sheetViews>
    <sheetView workbookViewId="0"/>
  </sheetViews>
  <sheetFormatPr defaultColWidth="9.140625" defaultRowHeight="12.75"/>
  <cols>
    <col min="1" max="1" width="13" customWidth="1"/>
    <col min="2" max="2" width="5.42578125" customWidth="1"/>
    <col min="3" max="3" width="10" customWidth="1"/>
    <col min="6" max="6" width="4.140625" customWidth="1"/>
    <col min="8" max="8" width="7.42578125" customWidth="1"/>
    <col min="9" max="9" width="4.42578125" customWidth="1"/>
  </cols>
  <sheetData>
    <row r="1" spans="1:9">
      <c r="A1" s="1" t="s">
        <v>7</v>
      </c>
    </row>
    <row r="2" spans="1:9" ht="13.5" thickBot="1">
      <c r="E2" s="27"/>
    </row>
    <row r="3" spans="1:9" ht="28.5" customHeight="1">
      <c r="A3" s="10" t="s">
        <v>72</v>
      </c>
      <c r="C3" s="23" t="s">
        <v>27</v>
      </c>
      <c r="D3" s="23" t="s">
        <v>24</v>
      </c>
      <c r="E3" s="24" t="s">
        <v>25</v>
      </c>
      <c r="F3" s="5"/>
      <c r="I3" s="21"/>
    </row>
    <row r="4" spans="1:9" ht="12.75" customHeight="1">
      <c r="A4">
        <v>1.3</v>
      </c>
      <c r="C4" s="22">
        <v>2</v>
      </c>
      <c r="D4" s="16">
        <v>117</v>
      </c>
      <c r="E4" s="29">
        <f>D4/COUNT($A$4:$A$303)</f>
        <v>0.39</v>
      </c>
      <c r="F4" s="50"/>
    </row>
    <row r="5" spans="1:9">
      <c r="A5" s="5">
        <v>1.4</v>
      </c>
      <c r="C5" s="22">
        <v>4</v>
      </c>
      <c r="D5" s="16">
        <v>74</v>
      </c>
      <c r="E5" s="29">
        <f t="shared" ref="E5:E17" si="0">D5/COUNT($A$4:$A$303)</f>
        <v>0.24666666666666667</v>
      </c>
      <c r="F5" s="29"/>
    </row>
    <row r="6" spans="1:9">
      <c r="A6" s="5">
        <v>2.6</v>
      </c>
      <c r="C6" s="22">
        <v>6</v>
      </c>
      <c r="D6" s="16">
        <v>38</v>
      </c>
      <c r="E6" s="29">
        <f t="shared" si="0"/>
        <v>0.12666666666666668</v>
      </c>
      <c r="F6" s="29"/>
      <c r="G6" s="1" t="s">
        <v>70</v>
      </c>
    </row>
    <row r="7" spans="1:9">
      <c r="A7" s="5">
        <v>1.4</v>
      </c>
      <c r="C7" s="22">
        <v>8</v>
      </c>
      <c r="D7" s="16">
        <v>28</v>
      </c>
      <c r="E7" s="29">
        <f t="shared" si="0"/>
        <v>9.3333333333333338E-2</v>
      </c>
      <c r="F7" s="29"/>
      <c r="G7" t="s">
        <v>28</v>
      </c>
      <c r="I7" s="21">
        <f>AVERAGE($A$4:$A$303)</f>
        <v>4.1630000000000003</v>
      </c>
    </row>
    <row r="8" spans="1:9">
      <c r="A8" s="5">
        <v>0.3</v>
      </c>
      <c r="C8" s="22">
        <v>10</v>
      </c>
      <c r="D8" s="16">
        <v>18</v>
      </c>
      <c r="E8" s="29">
        <f t="shared" si="0"/>
        <v>0.06</v>
      </c>
      <c r="F8" s="29"/>
      <c r="G8" t="s">
        <v>29</v>
      </c>
      <c r="I8" s="21">
        <f>MEDIAN($A$4:$A$303)</f>
        <v>2.8</v>
      </c>
    </row>
    <row r="9" spans="1:9">
      <c r="A9" s="5">
        <v>2.2000000000000002</v>
      </c>
      <c r="C9" s="22">
        <v>12</v>
      </c>
      <c r="D9" s="16">
        <v>6</v>
      </c>
      <c r="E9" s="29">
        <f t="shared" si="0"/>
        <v>0.02</v>
      </c>
      <c r="F9" s="29"/>
      <c r="G9" t="s">
        <v>33</v>
      </c>
      <c r="I9" s="21">
        <f>STDEV($A$4:$A$303)</f>
        <v>4.3922397742056081</v>
      </c>
    </row>
    <row r="10" spans="1:9">
      <c r="A10" s="5">
        <v>0.7</v>
      </c>
      <c r="C10" s="22">
        <v>14</v>
      </c>
      <c r="D10" s="16">
        <v>7</v>
      </c>
      <c r="E10" s="29">
        <f t="shared" si="0"/>
        <v>2.3333333333333334E-2</v>
      </c>
      <c r="F10" s="29"/>
      <c r="G10" t="s">
        <v>31</v>
      </c>
      <c r="I10" s="21">
        <f>SKEW($A$4:$A$303)</f>
        <v>2.2416881230862606</v>
      </c>
    </row>
    <row r="11" spans="1:9">
      <c r="A11" s="5">
        <v>0.6</v>
      </c>
      <c r="C11" s="22">
        <v>16</v>
      </c>
      <c r="D11" s="16">
        <v>5</v>
      </c>
      <c r="E11" s="29">
        <f t="shared" si="0"/>
        <v>1.6666666666666666E-2</v>
      </c>
      <c r="F11" s="29"/>
    </row>
    <row r="12" spans="1:9">
      <c r="A12" s="5">
        <v>1.5</v>
      </c>
      <c r="C12" s="22">
        <v>18</v>
      </c>
      <c r="D12" s="16">
        <v>1</v>
      </c>
      <c r="E12" s="29">
        <f t="shared" si="0"/>
        <v>3.3333333333333335E-3</v>
      </c>
      <c r="F12" s="29"/>
    </row>
    <row r="13" spans="1:9">
      <c r="A13" s="5">
        <v>4.5999999999999996</v>
      </c>
      <c r="C13" s="22">
        <v>20</v>
      </c>
      <c r="D13" s="16">
        <v>2</v>
      </c>
      <c r="E13" s="29">
        <f t="shared" si="0"/>
        <v>6.6666666666666671E-3</v>
      </c>
      <c r="F13" s="29"/>
    </row>
    <row r="14" spans="1:9">
      <c r="A14" s="5">
        <v>0.2</v>
      </c>
      <c r="C14" s="22">
        <v>22</v>
      </c>
      <c r="D14" s="16">
        <v>2</v>
      </c>
      <c r="E14" s="29">
        <f t="shared" si="0"/>
        <v>6.6666666666666671E-3</v>
      </c>
      <c r="F14" s="29"/>
    </row>
    <row r="15" spans="1:9">
      <c r="A15" s="5">
        <v>5.2</v>
      </c>
      <c r="C15" s="22">
        <v>24</v>
      </c>
      <c r="D15" s="16">
        <v>0</v>
      </c>
      <c r="E15" s="29">
        <f t="shared" si="0"/>
        <v>0</v>
      </c>
      <c r="F15" s="29"/>
    </row>
    <row r="16" spans="1:9">
      <c r="A16" s="5">
        <v>18.7</v>
      </c>
      <c r="C16" s="22">
        <v>26</v>
      </c>
      <c r="D16" s="16">
        <v>0</v>
      </c>
      <c r="E16" s="29">
        <f t="shared" si="0"/>
        <v>0</v>
      </c>
      <c r="F16" s="29"/>
    </row>
    <row r="17" spans="1:6" ht="13.5" thickBot="1">
      <c r="A17" s="5">
        <v>1.5</v>
      </c>
      <c r="C17" s="17" t="s">
        <v>48</v>
      </c>
      <c r="D17" s="17">
        <v>2</v>
      </c>
      <c r="E17" s="31">
        <f t="shared" si="0"/>
        <v>6.6666666666666671E-3</v>
      </c>
      <c r="F17" s="29"/>
    </row>
    <row r="18" spans="1:6">
      <c r="A18" s="5">
        <v>1.7</v>
      </c>
      <c r="F18" s="29"/>
    </row>
    <row r="19" spans="1:6">
      <c r="A19" s="5">
        <v>4.4000000000000004</v>
      </c>
      <c r="F19" s="37"/>
    </row>
    <row r="20" spans="1:6">
      <c r="A20" s="5">
        <v>8.3000000000000007</v>
      </c>
    </row>
    <row r="21" spans="1:6">
      <c r="A21" s="5">
        <v>4.9000000000000004</v>
      </c>
    </row>
    <row r="22" spans="1:6">
      <c r="A22" s="5">
        <v>2.9</v>
      </c>
    </row>
    <row r="23" spans="1:6">
      <c r="A23" s="5">
        <v>1.9</v>
      </c>
    </row>
    <row r="24" spans="1:6">
      <c r="A24" s="5">
        <v>9</v>
      </c>
    </row>
    <row r="25" spans="1:6">
      <c r="A25" s="5">
        <v>1.4</v>
      </c>
    </row>
    <row r="26" spans="1:6">
      <c r="A26" s="5">
        <v>4.5999999999999996</v>
      </c>
    </row>
    <row r="27" spans="1:6">
      <c r="A27" s="5">
        <v>8.4</v>
      </c>
    </row>
    <row r="28" spans="1:6">
      <c r="A28" s="5">
        <v>2.2000000000000002</v>
      </c>
    </row>
    <row r="29" spans="1:6">
      <c r="A29" s="5">
        <v>21.6</v>
      </c>
    </row>
    <row r="30" spans="1:6">
      <c r="A30" s="5">
        <v>2.4</v>
      </c>
    </row>
    <row r="31" spans="1:6">
      <c r="A31" s="5">
        <v>6.4</v>
      </c>
    </row>
    <row r="32" spans="1:6">
      <c r="A32" s="5">
        <v>1.7</v>
      </c>
    </row>
    <row r="33" spans="1:1">
      <c r="A33" s="5">
        <v>7.1</v>
      </c>
    </row>
    <row r="34" spans="1:1">
      <c r="A34" s="5">
        <v>12.2</v>
      </c>
    </row>
    <row r="35" spans="1:1">
      <c r="A35" s="5">
        <v>3.5</v>
      </c>
    </row>
    <row r="36" spans="1:1">
      <c r="A36" s="5">
        <v>1</v>
      </c>
    </row>
    <row r="37" spans="1:1">
      <c r="A37" s="5">
        <v>1</v>
      </c>
    </row>
    <row r="38" spans="1:1">
      <c r="A38" s="5">
        <v>4.0999999999999996</v>
      </c>
    </row>
    <row r="39" spans="1:1">
      <c r="A39" s="5">
        <v>1.8</v>
      </c>
    </row>
    <row r="40" spans="1:1">
      <c r="A40" s="5">
        <v>4.8</v>
      </c>
    </row>
    <row r="41" spans="1:1">
      <c r="A41" s="5">
        <v>0.4</v>
      </c>
    </row>
    <row r="42" spans="1:1">
      <c r="A42" s="5">
        <v>2.2000000000000002</v>
      </c>
    </row>
    <row r="43" spans="1:1">
      <c r="A43" s="5">
        <v>7.3</v>
      </c>
    </row>
    <row r="44" spans="1:1">
      <c r="A44" s="5">
        <v>12.4</v>
      </c>
    </row>
    <row r="45" spans="1:1">
      <c r="A45" s="5">
        <v>1.5</v>
      </c>
    </row>
    <row r="46" spans="1:1">
      <c r="A46" s="5">
        <v>2.6</v>
      </c>
    </row>
    <row r="47" spans="1:1">
      <c r="A47" s="5">
        <v>3.1</v>
      </c>
    </row>
    <row r="48" spans="1:1">
      <c r="A48" s="5">
        <v>3.9</v>
      </c>
    </row>
    <row r="49" spans="1:1">
      <c r="A49" s="5">
        <v>3.3</v>
      </c>
    </row>
    <row r="50" spans="1:1">
      <c r="A50" s="5">
        <v>0.4</v>
      </c>
    </row>
    <row r="51" spans="1:1">
      <c r="A51" s="5">
        <v>5</v>
      </c>
    </row>
    <row r="52" spans="1:1">
      <c r="A52" s="5">
        <v>2.9</v>
      </c>
    </row>
    <row r="53" spans="1:1">
      <c r="A53" s="5">
        <v>26.3</v>
      </c>
    </row>
    <row r="54" spans="1:1">
      <c r="A54" s="5">
        <v>0.2</v>
      </c>
    </row>
    <row r="55" spans="1:1">
      <c r="A55" s="5">
        <v>5.6</v>
      </c>
    </row>
    <row r="56" spans="1:1">
      <c r="A56" s="5">
        <v>8.1999999999999993</v>
      </c>
    </row>
    <row r="57" spans="1:1">
      <c r="A57" s="5">
        <v>7.6</v>
      </c>
    </row>
    <row r="58" spans="1:1">
      <c r="A58" s="5">
        <v>2.9</v>
      </c>
    </row>
    <row r="59" spans="1:1">
      <c r="A59" s="5">
        <v>4.0999999999999996</v>
      </c>
    </row>
    <row r="60" spans="1:1">
      <c r="A60" s="5">
        <v>7</v>
      </c>
    </row>
    <row r="61" spans="1:1">
      <c r="A61" s="5">
        <v>7.3</v>
      </c>
    </row>
    <row r="62" spans="1:1">
      <c r="A62" s="5">
        <v>5.7</v>
      </c>
    </row>
    <row r="63" spans="1:1">
      <c r="A63" s="5">
        <v>1.9</v>
      </c>
    </row>
    <row r="64" spans="1:1">
      <c r="A64" s="5">
        <v>2.8</v>
      </c>
    </row>
    <row r="65" spans="1:1">
      <c r="A65" s="5">
        <v>3.5</v>
      </c>
    </row>
    <row r="66" spans="1:1">
      <c r="A66" s="5">
        <v>0.1</v>
      </c>
    </row>
    <row r="67" spans="1:1">
      <c r="A67" s="5">
        <v>2.2999999999999998</v>
      </c>
    </row>
    <row r="68" spans="1:1">
      <c r="A68" s="5">
        <v>3.1</v>
      </c>
    </row>
    <row r="69" spans="1:1">
      <c r="A69" s="5">
        <v>0.4</v>
      </c>
    </row>
    <row r="70" spans="1:1">
      <c r="A70" s="5">
        <v>3.2</v>
      </c>
    </row>
    <row r="71" spans="1:1">
      <c r="A71" s="5">
        <v>2.8</v>
      </c>
    </row>
    <row r="72" spans="1:1">
      <c r="A72" s="5">
        <v>5.5</v>
      </c>
    </row>
    <row r="73" spans="1:1">
      <c r="A73" s="5">
        <v>0.6</v>
      </c>
    </row>
    <row r="74" spans="1:1">
      <c r="A74" s="5">
        <v>0.3</v>
      </c>
    </row>
    <row r="75" spans="1:1">
      <c r="A75" s="5">
        <v>3.4</v>
      </c>
    </row>
    <row r="76" spans="1:1">
      <c r="A76" s="5">
        <v>14.1</v>
      </c>
    </row>
    <row r="77" spans="1:1">
      <c r="A77" s="5">
        <v>1.6</v>
      </c>
    </row>
    <row r="78" spans="1:1">
      <c r="A78" s="5">
        <v>3.1</v>
      </c>
    </row>
    <row r="79" spans="1:1">
      <c r="A79" s="5">
        <v>5.7</v>
      </c>
    </row>
    <row r="80" spans="1:1">
      <c r="A80" s="5">
        <v>2.7</v>
      </c>
    </row>
    <row r="81" spans="1:1">
      <c r="A81" s="5">
        <v>0.8</v>
      </c>
    </row>
    <row r="82" spans="1:1">
      <c r="A82" s="5">
        <v>19.8</v>
      </c>
    </row>
    <row r="83" spans="1:1">
      <c r="A83" s="5">
        <v>1.7</v>
      </c>
    </row>
    <row r="84" spans="1:1">
      <c r="A84" s="5">
        <v>1.8</v>
      </c>
    </row>
    <row r="85" spans="1:1">
      <c r="A85" s="5">
        <v>0.6</v>
      </c>
    </row>
    <row r="86" spans="1:1">
      <c r="A86" s="5">
        <v>5.2</v>
      </c>
    </row>
    <row r="87" spans="1:1">
      <c r="A87" s="5">
        <v>2.1</v>
      </c>
    </row>
    <row r="88" spans="1:1">
      <c r="A88" s="5">
        <v>2.9</v>
      </c>
    </row>
    <row r="89" spans="1:1">
      <c r="A89" s="5">
        <v>1.4</v>
      </c>
    </row>
    <row r="90" spans="1:1">
      <c r="A90" s="5">
        <v>3.1</v>
      </c>
    </row>
    <row r="91" spans="1:1">
      <c r="A91" s="5">
        <v>5.5</v>
      </c>
    </row>
    <row r="92" spans="1:1">
      <c r="A92" s="5">
        <v>11.2</v>
      </c>
    </row>
    <row r="93" spans="1:1">
      <c r="A93" s="5">
        <v>11.2</v>
      </c>
    </row>
    <row r="94" spans="1:1">
      <c r="A94" s="5">
        <v>0.9</v>
      </c>
    </row>
    <row r="95" spans="1:1">
      <c r="A95" s="5">
        <v>4.5</v>
      </c>
    </row>
    <row r="96" spans="1:1">
      <c r="A96" s="5">
        <v>9.1</v>
      </c>
    </row>
    <row r="97" spans="1:1">
      <c r="A97" s="5">
        <v>3.3</v>
      </c>
    </row>
    <row r="98" spans="1:1">
      <c r="A98" s="5">
        <v>3.2</v>
      </c>
    </row>
    <row r="99" spans="1:1">
      <c r="A99" s="5">
        <v>1.1000000000000001</v>
      </c>
    </row>
    <row r="100" spans="1:1">
      <c r="A100" s="5">
        <v>6.6</v>
      </c>
    </row>
    <row r="101" spans="1:1">
      <c r="A101" s="5">
        <v>9.6</v>
      </c>
    </row>
    <row r="102" spans="1:1">
      <c r="A102" s="5">
        <v>1.1000000000000001</v>
      </c>
    </row>
    <row r="103" spans="1:1">
      <c r="A103" s="5">
        <v>0.7</v>
      </c>
    </row>
    <row r="104" spans="1:1">
      <c r="A104" s="5">
        <v>2.6</v>
      </c>
    </row>
    <row r="105" spans="1:1">
      <c r="A105" s="5">
        <v>0.9</v>
      </c>
    </row>
    <row r="106" spans="1:1">
      <c r="A106" s="5">
        <v>4.3</v>
      </c>
    </row>
    <row r="107" spans="1:1">
      <c r="A107" s="5">
        <v>3.1</v>
      </c>
    </row>
    <row r="108" spans="1:1">
      <c r="A108" s="5">
        <v>14.9</v>
      </c>
    </row>
    <row r="109" spans="1:1">
      <c r="A109" s="5">
        <v>0.7</v>
      </c>
    </row>
    <row r="110" spans="1:1">
      <c r="A110" s="5">
        <v>10.5</v>
      </c>
    </row>
    <row r="111" spans="1:1">
      <c r="A111" s="5">
        <v>1.3</v>
      </c>
    </row>
    <row r="112" spans="1:1">
      <c r="A112" s="5">
        <v>2.9</v>
      </c>
    </row>
    <row r="113" spans="1:1">
      <c r="A113" s="5">
        <v>9.4</v>
      </c>
    </row>
    <row r="114" spans="1:1">
      <c r="A114" s="5">
        <v>0.3</v>
      </c>
    </row>
    <row r="115" spans="1:1">
      <c r="A115" s="5">
        <v>13.6</v>
      </c>
    </row>
    <row r="116" spans="1:1">
      <c r="A116" s="5">
        <v>4.4000000000000004</v>
      </c>
    </row>
    <row r="117" spans="1:1">
      <c r="A117" s="5">
        <v>1.3</v>
      </c>
    </row>
    <row r="118" spans="1:1">
      <c r="A118" s="5">
        <v>11.6</v>
      </c>
    </row>
    <row r="119" spans="1:1">
      <c r="A119" s="5">
        <v>3.4</v>
      </c>
    </row>
    <row r="120" spans="1:1">
      <c r="A120" s="5">
        <v>0.7</v>
      </c>
    </row>
    <row r="121" spans="1:1">
      <c r="A121" s="5">
        <v>6.1</v>
      </c>
    </row>
    <row r="122" spans="1:1">
      <c r="A122" s="5">
        <v>5.0999999999999996</v>
      </c>
    </row>
    <row r="123" spans="1:1">
      <c r="A123" s="5">
        <v>0.2</v>
      </c>
    </row>
    <row r="124" spans="1:1">
      <c r="A124" s="5">
        <v>1.9</v>
      </c>
    </row>
    <row r="125" spans="1:1">
      <c r="A125" s="5">
        <v>0.2</v>
      </c>
    </row>
    <row r="126" spans="1:1">
      <c r="A126" s="5">
        <v>1.4</v>
      </c>
    </row>
    <row r="127" spans="1:1">
      <c r="A127" s="5">
        <v>2.7</v>
      </c>
    </row>
    <row r="128" spans="1:1">
      <c r="A128" s="5">
        <v>0.1</v>
      </c>
    </row>
    <row r="129" spans="1:1">
      <c r="A129" s="5">
        <v>2.6</v>
      </c>
    </row>
    <row r="130" spans="1:1">
      <c r="A130" s="5">
        <v>0.3</v>
      </c>
    </row>
    <row r="131" spans="1:1">
      <c r="A131" s="5">
        <v>3.8</v>
      </c>
    </row>
    <row r="132" spans="1:1">
      <c r="A132" s="5">
        <v>4.0999999999999996</v>
      </c>
    </row>
    <row r="133" spans="1:1">
      <c r="A133" s="5">
        <v>1.7</v>
      </c>
    </row>
    <row r="134" spans="1:1">
      <c r="A134" s="5">
        <v>8.5</v>
      </c>
    </row>
    <row r="135" spans="1:1">
      <c r="A135" s="5">
        <v>2.4</v>
      </c>
    </row>
    <row r="136" spans="1:1">
      <c r="A136" s="5">
        <v>5.0999999999999996</v>
      </c>
    </row>
    <row r="137" spans="1:1">
      <c r="A137" s="5">
        <v>5.3</v>
      </c>
    </row>
    <row r="138" spans="1:1">
      <c r="A138" s="5">
        <v>4.9000000000000004</v>
      </c>
    </row>
    <row r="139" spans="1:1">
      <c r="A139" s="5">
        <v>2.8</v>
      </c>
    </row>
    <row r="140" spans="1:1">
      <c r="A140" s="5">
        <v>13.6</v>
      </c>
    </row>
    <row r="141" spans="1:1">
      <c r="A141" s="5">
        <v>1.8</v>
      </c>
    </row>
    <row r="142" spans="1:1">
      <c r="A142" s="5">
        <v>3.6</v>
      </c>
    </row>
    <row r="143" spans="1:1">
      <c r="A143" s="5">
        <v>0</v>
      </c>
    </row>
    <row r="144" spans="1:1">
      <c r="A144" s="5">
        <v>6.2</v>
      </c>
    </row>
    <row r="145" spans="1:1">
      <c r="A145" s="5">
        <v>5.6</v>
      </c>
    </row>
    <row r="146" spans="1:1">
      <c r="A146" s="5">
        <v>3.4</v>
      </c>
    </row>
    <row r="147" spans="1:1">
      <c r="A147" s="5">
        <v>2.2000000000000002</v>
      </c>
    </row>
    <row r="148" spans="1:1">
      <c r="A148" s="5">
        <v>0.6</v>
      </c>
    </row>
    <row r="149" spans="1:1">
      <c r="A149" s="5">
        <v>2.7</v>
      </c>
    </row>
    <row r="150" spans="1:1">
      <c r="A150" s="5">
        <v>2.2000000000000002</v>
      </c>
    </row>
    <row r="151" spans="1:1">
      <c r="A151" s="5">
        <v>1.6</v>
      </c>
    </row>
    <row r="152" spans="1:1">
      <c r="A152" s="5">
        <v>4.8</v>
      </c>
    </row>
    <row r="153" spans="1:1">
      <c r="A153" s="5">
        <v>1.6</v>
      </c>
    </row>
    <row r="154" spans="1:1">
      <c r="A154" s="5">
        <v>6.3</v>
      </c>
    </row>
    <row r="155" spans="1:1">
      <c r="A155" s="5">
        <v>0.9</v>
      </c>
    </row>
    <row r="156" spans="1:1">
      <c r="A156" s="5">
        <v>2.8</v>
      </c>
    </row>
    <row r="157" spans="1:1">
      <c r="A157" s="5">
        <v>3.3</v>
      </c>
    </row>
    <row r="158" spans="1:1">
      <c r="A158" s="5">
        <v>0.7</v>
      </c>
    </row>
    <row r="159" spans="1:1">
      <c r="A159" s="5">
        <v>0.9</v>
      </c>
    </row>
    <row r="160" spans="1:1">
      <c r="A160" s="5">
        <v>0.4</v>
      </c>
    </row>
    <row r="161" spans="1:1">
      <c r="A161" s="5">
        <v>2.6</v>
      </c>
    </row>
    <row r="162" spans="1:1">
      <c r="A162" s="5">
        <v>3.4</v>
      </c>
    </row>
    <row r="163" spans="1:1">
      <c r="A163" s="5">
        <v>1.2</v>
      </c>
    </row>
    <row r="164" spans="1:1">
      <c r="A164" s="5">
        <v>2.4</v>
      </c>
    </row>
    <row r="165" spans="1:1">
      <c r="A165" s="5">
        <v>14.9</v>
      </c>
    </row>
    <row r="166" spans="1:1">
      <c r="A166" s="5">
        <v>1.3</v>
      </c>
    </row>
    <row r="167" spans="1:1">
      <c r="A167" s="5">
        <v>13.6</v>
      </c>
    </row>
    <row r="168" spans="1:1">
      <c r="A168" s="5">
        <v>3.4</v>
      </c>
    </row>
    <row r="169" spans="1:1">
      <c r="A169" s="5">
        <v>1.8</v>
      </c>
    </row>
    <row r="170" spans="1:1">
      <c r="A170" s="5">
        <v>7.3</v>
      </c>
    </row>
    <row r="171" spans="1:1">
      <c r="A171" s="5">
        <v>1.1000000000000001</v>
      </c>
    </row>
    <row r="172" spans="1:1">
      <c r="A172" s="5">
        <v>6</v>
      </c>
    </row>
    <row r="173" spans="1:1">
      <c r="A173" s="5">
        <v>0.8</v>
      </c>
    </row>
    <row r="174" spans="1:1">
      <c r="A174" s="5">
        <v>3</v>
      </c>
    </row>
    <row r="175" spans="1:1">
      <c r="A175" s="5">
        <v>8</v>
      </c>
    </row>
    <row r="176" spans="1:1">
      <c r="A176" s="5">
        <v>1.3</v>
      </c>
    </row>
    <row r="177" spans="1:1">
      <c r="A177" s="5">
        <v>7.6</v>
      </c>
    </row>
    <row r="178" spans="1:1">
      <c r="A178" s="5">
        <v>8.8000000000000007</v>
      </c>
    </row>
    <row r="179" spans="1:1">
      <c r="A179" s="5">
        <v>5.4</v>
      </c>
    </row>
    <row r="180" spans="1:1">
      <c r="A180" s="5">
        <v>2.6</v>
      </c>
    </row>
    <row r="181" spans="1:1">
      <c r="A181" s="5">
        <v>21.9</v>
      </c>
    </row>
    <row r="182" spans="1:1">
      <c r="A182" s="5">
        <v>6</v>
      </c>
    </row>
    <row r="183" spans="1:1">
      <c r="A183" s="5">
        <v>1.5</v>
      </c>
    </row>
    <row r="184" spans="1:1">
      <c r="A184" s="5">
        <v>0.5</v>
      </c>
    </row>
    <row r="185" spans="1:1">
      <c r="A185" s="5">
        <v>0.6</v>
      </c>
    </row>
    <row r="186" spans="1:1">
      <c r="A186" s="5">
        <v>1</v>
      </c>
    </row>
    <row r="187" spans="1:1">
      <c r="A187" s="5">
        <v>0.8</v>
      </c>
    </row>
    <row r="188" spans="1:1">
      <c r="A188" s="5">
        <v>0.8</v>
      </c>
    </row>
    <row r="189" spans="1:1">
      <c r="A189" s="5">
        <v>0.8</v>
      </c>
    </row>
    <row r="190" spans="1:1">
      <c r="A190" s="5">
        <v>2.5</v>
      </c>
    </row>
    <row r="191" spans="1:1">
      <c r="A191" s="5">
        <v>2.2999999999999998</v>
      </c>
    </row>
    <row r="192" spans="1:1">
      <c r="A192" s="5">
        <v>5</v>
      </c>
    </row>
    <row r="193" spans="1:1">
      <c r="A193" s="5">
        <v>4.2</v>
      </c>
    </row>
    <row r="194" spans="1:1">
      <c r="A194" s="5">
        <v>6.3</v>
      </c>
    </row>
    <row r="195" spans="1:1">
      <c r="A195" s="5">
        <v>3.7</v>
      </c>
    </row>
    <row r="196" spans="1:1">
      <c r="A196" s="5">
        <v>2.5</v>
      </c>
    </row>
    <row r="197" spans="1:1">
      <c r="A197" s="5">
        <v>0.7</v>
      </c>
    </row>
    <row r="198" spans="1:1">
      <c r="A198" s="5">
        <v>2.5</v>
      </c>
    </row>
    <row r="199" spans="1:1">
      <c r="A199" s="5">
        <v>9.5</v>
      </c>
    </row>
    <row r="200" spans="1:1">
      <c r="A200" s="5">
        <v>2.2999999999999998</v>
      </c>
    </row>
    <row r="201" spans="1:1">
      <c r="A201" s="5">
        <v>1.7</v>
      </c>
    </row>
    <row r="202" spans="1:1">
      <c r="A202" s="5">
        <v>1.5</v>
      </c>
    </row>
    <row r="203" spans="1:1">
      <c r="A203" s="5">
        <v>10</v>
      </c>
    </row>
    <row r="204" spans="1:1">
      <c r="A204" s="5">
        <v>5.3</v>
      </c>
    </row>
    <row r="205" spans="1:1">
      <c r="A205" s="5">
        <v>2.5</v>
      </c>
    </row>
    <row r="206" spans="1:1">
      <c r="A206" s="5">
        <v>2.9</v>
      </c>
    </row>
    <row r="207" spans="1:1">
      <c r="A207" s="5">
        <v>3.6</v>
      </c>
    </row>
    <row r="208" spans="1:1">
      <c r="A208" s="5">
        <v>4.3</v>
      </c>
    </row>
    <row r="209" spans="1:1">
      <c r="A209" s="5">
        <v>1.2</v>
      </c>
    </row>
    <row r="210" spans="1:1">
      <c r="A210" s="5">
        <v>3.7</v>
      </c>
    </row>
    <row r="211" spans="1:1">
      <c r="A211" s="5">
        <v>0.5</v>
      </c>
    </row>
    <row r="212" spans="1:1">
      <c r="A212" s="5">
        <v>1.5</v>
      </c>
    </row>
    <row r="213" spans="1:1">
      <c r="A213" s="5">
        <v>0.3</v>
      </c>
    </row>
    <row r="214" spans="1:1">
      <c r="A214" s="5">
        <v>16.2</v>
      </c>
    </row>
    <row r="215" spans="1:1">
      <c r="A215" s="5">
        <v>2.7</v>
      </c>
    </row>
    <row r="216" spans="1:1">
      <c r="A216" s="5">
        <v>3.9</v>
      </c>
    </row>
    <row r="217" spans="1:1">
      <c r="A217" s="5">
        <v>0.4</v>
      </c>
    </row>
    <row r="218" spans="1:1">
      <c r="A218" s="5">
        <v>0.7</v>
      </c>
    </row>
    <row r="219" spans="1:1">
      <c r="A219" s="5">
        <v>8.8000000000000007</v>
      </c>
    </row>
    <row r="220" spans="1:1">
      <c r="A220" s="5">
        <v>2.9</v>
      </c>
    </row>
    <row r="221" spans="1:1">
      <c r="A221" s="5">
        <v>9.1999999999999993</v>
      </c>
    </row>
    <row r="222" spans="1:1">
      <c r="A222" s="5">
        <v>1.2</v>
      </c>
    </row>
    <row r="223" spans="1:1">
      <c r="A223" s="5">
        <v>1.1000000000000001</v>
      </c>
    </row>
    <row r="224" spans="1:1">
      <c r="A224" s="5">
        <v>1.7</v>
      </c>
    </row>
    <row r="225" spans="1:1">
      <c r="A225" s="5">
        <v>8.1</v>
      </c>
    </row>
    <row r="226" spans="1:1">
      <c r="A226" s="5">
        <v>0.9</v>
      </c>
    </row>
    <row r="227" spans="1:1">
      <c r="A227" s="5">
        <v>1.5</v>
      </c>
    </row>
    <row r="228" spans="1:1">
      <c r="A228" s="5">
        <v>0.7</v>
      </c>
    </row>
    <row r="229" spans="1:1">
      <c r="A229" s="5">
        <v>9.8000000000000007</v>
      </c>
    </row>
    <row r="230" spans="1:1">
      <c r="A230" s="5">
        <v>0.7</v>
      </c>
    </row>
    <row r="231" spans="1:1">
      <c r="A231" s="5">
        <v>6.6</v>
      </c>
    </row>
    <row r="232" spans="1:1">
      <c r="A232" s="5">
        <v>6.2</v>
      </c>
    </row>
    <row r="233" spans="1:1">
      <c r="A233" s="5">
        <v>5.2</v>
      </c>
    </row>
    <row r="234" spans="1:1">
      <c r="A234" s="5">
        <v>0.8</v>
      </c>
    </row>
    <row r="235" spans="1:1">
      <c r="A235" s="5">
        <v>1.8</v>
      </c>
    </row>
    <row r="236" spans="1:1">
      <c r="A236" s="5">
        <v>1.1000000000000001</v>
      </c>
    </row>
    <row r="237" spans="1:1">
      <c r="A237" s="5">
        <v>9.9</v>
      </c>
    </row>
    <row r="238" spans="1:1">
      <c r="A238" s="5">
        <v>1.2</v>
      </c>
    </row>
    <row r="239" spans="1:1">
      <c r="A239" s="5">
        <v>1.2</v>
      </c>
    </row>
    <row r="240" spans="1:1">
      <c r="A240" s="5">
        <v>14.3</v>
      </c>
    </row>
    <row r="241" spans="1:1">
      <c r="A241" s="5">
        <v>0.3</v>
      </c>
    </row>
    <row r="242" spans="1:1">
      <c r="A242" s="5">
        <v>3.2</v>
      </c>
    </row>
    <row r="243" spans="1:1">
      <c r="A243" s="5">
        <v>0</v>
      </c>
    </row>
    <row r="244" spans="1:1">
      <c r="A244" s="5">
        <v>1.2</v>
      </c>
    </row>
    <row r="245" spans="1:1">
      <c r="A245" s="5">
        <v>7.6</v>
      </c>
    </row>
    <row r="246" spans="1:1">
      <c r="A246" s="5">
        <v>2.8</v>
      </c>
    </row>
    <row r="247" spans="1:1">
      <c r="A247" s="5">
        <v>1.9</v>
      </c>
    </row>
    <row r="248" spans="1:1">
      <c r="A248" s="5">
        <v>6.4</v>
      </c>
    </row>
    <row r="249" spans="1:1">
      <c r="A249" s="5">
        <v>8.5</v>
      </c>
    </row>
    <row r="250" spans="1:1">
      <c r="A250" s="5">
        <v>2.2000000000000002</v>
      </c>
    </row>
    <row r="251" spans="1:1">
      <c r="A251" s="5">
        <v>6.6</v>
      </c>
    </row>
    <row r="252" spans="1:1">
      <c r="A252" s="5">
        <v>2.8</v>
      </c>
    </row>
    <row r="253" spans="1:1">
      <c r="A253" s="5">
        <v>0.6</v>
      </c>
    </row>
    <row r="254" spans="1:1">
      <c r="A254" s="5">
        <v>2.2999999999999998</v>
      </c>
    </row>
    <row r="255" spans="1:1">
      <c r="A255" s="5">
        <v>10.1</v>
      </c>
    </row>
    <row r="256" spans="1:1">
      <c r="A256" s="5">
        <v>6.4</v>
      </c>
    </row>
    <row r="257" spans="1:1">
      <c r="A257" s="5">
        <v>4.4000000000000004</v>
      </c>
    </row>
    <row r="258" spans="1:1">
      <c r="A258" s="5">
        <v>0.1</v>
      </c>
    </row>
    <row r="259" spans="1:1">
      <c r="A259" s="5">
        <v>6.6</v>
      </c>
    </row>
    <row r="260" spans="1:1">
      <c r="A260" s="5">
        <v>0</v>
      </c>
    </row>
    <row r="261" spans="1:1">
      <c r="A261" s="5">
        <v>0</v>
      </c>
    </row>
    <row r="262" spans="1:1">
      <c r="A262" s="5">
        <v>0.5</v>
      </c>
    </row>
    <row r="263" spans="1:1">
      <c r="A263" s="5">
        <v>5.4</v>
      </c>
    </row>
    <row r="264" spans="1:1">
      <c r="A264" s="5">
        <v>0.5</v>
      </c>
    </row>
    <row r="265" spans="1:1">
      <c r="A265" s="5">
        <v>2.1</v>
      </c>
    </row>
    <row r="266" spans="1:1">
      <c r="A266" s="5">
        <v>3.1</v>
      </c>
    </row>
    <row r="267" spans="1:1">
      <c r="A267" s="5">
        <v>1.7</v>
      </c>
    </row>
    <row r="268" spans="1:1">
      <c r="A268" s="5">
        <v>7.6</v>
      </c>
    </row>
    <row r="269" spans="1:1">
      <c r="A269" s="5">
        <v>1.5</v>
      </c>
    </row>
    <row r="270" spans="1:1">
      <c r="A270" s="5">
        <v>0.9</v>
      </c>
    </row>
    <row r="271" spans="1:1">
      <c r="A271" s="5">
        <v>6.9</v>
      </c>
    </row>
    <row r="272" spans="1:1">
      <c r="A272" s="5">
        <v>2.5</v>
      </c>
    </row>
    <row r="273" spans="1:1">
      <c r="A273" s="5">
        <v>0.6</v>
      </c>
    </row>
    <row r="274" spans="1:1">
      <c r="A274" s="5">
        <v>0</v>
      </c>
    </row>
    <row r="275" spans="1:1">
      <c r="A275" s="5">
        <v>0.6</v>
      </c>
    </row>
    <row r="276" spans="1:1">
      <c r="A276" s="5">
        <v>3.9</v>
      </c>
    </row>
    <row r="277" spans="1:1">
      <c r="A277" s="5">
        <v>7.7</v>
      </c>
    </row>
    <row r="278" spans="1:1">
      <c r="A278" s="5">
        <v>5.5</v>
      </c>
    </row>
    <row r="279" spans="1:1">
      <c r="A279" s="5">
        <v>4.8</v>
      </c>
    </row>
    <row r="280" spans="1:1">
      <c r="A280" s="5">
        <v>2.2000000000000002</v>
      </c>
    </row>
    <row r="281" spans="1:1">
      <c r="A281" s="5">
        <v>5.7</v>
      </c>
    </row>
    <row r="282" spans="1:1">
      <c r="A282" s="5">
        <v>0.4</v>
      </c>
    </row>
    <row r="283" spans="1:1">
      <c r="A283" s="5">
        <v>8.5</v>
      </c>
    </row>
    <row r="284" spans="1:1">
      <c r="A284" s="5">
        <v>0.8</v>
      </c>
    </row>
    <row r="285" spans="1:1">
      <c r="A285" s="5">
        <v>7.2</v>
      </c>
    </row>
    <row r="286" spans="1:1">
      <c r="A286" s="5">
        <v>3.4</v>
      </c>
    </row>
    <row r="287" spans="1:1">
      <c r="A287" s="5">
        <v>0.3</v>
      </c>
    </row>
    <row r="288" spans="1:1">
      <c r="A288" s="5">
        <v>13.7</v>
      </c>
    </row>
    <row r="289" spans="1:1">
      <c r="A289" s="5">
        <v>12.1</v>
      </c>
    </row>
    <row r="290" spans="1:1">
      <c r="A290" s="5">
        <v>5</v>
      </c>
    </row>
    <row r="291" spans="1:1">
      <c r="A291" s="5">
        <v>10.199999999999999</v>
      </c>
    </row>
    <row r="292" spans="1:1">
      <c r="A292" s="5">
        <v>0.2</v>
      </c>
    </row>
    <row r="293" spans="1:1">
      <c r="A293" s="5">
        <v>0.6</v>
      </c>
    </row>
    <row r="294" spans="1:1">
      <c r="A294" s="5">
        <v>29</v>
      </c>
    </row>
    <row r="295" spans="1:1">
      <c r="A295" s="5">
        <v>6.8</v>
      </c>
    </row>
    <row r="296" spans="1:1">
      <c r="A296" s="5">
        <v>1</v>
      </c>
    </row>
    <row r="297" spans="1:1">
      <c r="A297" s="5">
        <v>0.8</v>
      </c>
    </row>
    <row r="298" spans="1:1">
      <c r="A298" s="5">
        <v>7.4</v>
      </c>
    </row>
    <row r="299" spans="1:1">
      <c r="A299" s="5">
        <v>0.1</v>
      </c>
    </row>
    <row r="300" spans="1:1">
      <c r="A300" s="5">
        <v>0.7</v>
      </c>
    </row>
    <row r="301" spans="1:1">
      <c r="A301" s="5">
        <v>0.5</v>
      </c>
    </row>
    <row r="302" spans="1:1">
      <c r="A302" s="5">
        <v>14.8</v>
      </c>
    </row>
    <row r="303" spans="1:1">
      <c r="A303" s="5">
        <v>3.8</v>
      </c>
    </row>
  </sheetData>
  <phoneticPr fontId="0" type="noConversion"/>
  <printOptions headings="1" gridLines="1"/>
  <pageMargins left="0.78740157480314965" right="0.78740157480314965" top="0.98425196850393704" bottom="0.98425196850393704" header="0.51181102362204722" footer="0.51181102362204722"/>
  <pageSetup paperSize="9" orientation="portrait" blackAndWhite="1" horizontalDpi="300" verticalDpi="300" r:id="rId1"/>
  <headerFooter alignWithMargins="0"/>
</worksheet>
</file>

<file path=xl/worksheets/sheet10.xml><?xml version="1.0" encoding="utf-8"?>
<worksheet xmlns="http://schemas.openxmlformats.org/spreadsheetml/2006/main" xmlns:r="http://schemas.openxmlformats.org/officeDocument/2006/relationships">
  <dimension ref="A1:W1164"/>
  <sheetViews>
    <sheetView zoomScaleNormal="100" workbookViewId="0"/>
  </sheetViews>
  <sheetFormatPr defaultRowHeight="12.75"/>
  <cols>
    <col min="1" max="1" width="13.7109375" style="193" customWidth="1"/>
    <col min="2" max="2" width="7.140625" style="193" bestFit="1" customWidth="1"/>
    <col min="3" max="3" width="11.28515625" style="193" customWidth="1"/>
    <col min="4" max="4" width="11.5703125" style="193" bestFit="1" customWidth="1"/>
    <col min="5" max="6" width="9.85546875" style="191" customWidth="1"/>
    <col min="7" max="7" width="9.140625" style="193"/>
    <col min="8" max="8" width="11.42578125" style="193" customWidth="1"/>
    <col min="9" max="15" width="9.140625" style="193"/>
    <col min="16" max="16" width="11.42578125" style="193" customWidth="1"/>
    <col min="17" max="16384" width="9.140625" style="193"/>
  </cols>
  <sheetData>
    <row r="1" spans="1:20">
      <c r="A1" s="191" t="s">
        <v>527</v>
      </c>
      <c r="B1" s="192" t="s">
        <v>528</v>
      </c>
      <c r="E1" s="193"/>
      <c r="F1" s="193"/>
    </row>
    <row r="2" spans="1:20" ht="19.5" customHeight="1">
      <c r="A2" s="193" t="s">
        <v>529</v>
      </c>
      <c r="B2" s="193" t="s">
        <v>530</v>
      </c>
      <c r="C2" s="194" t="s">
        <v>531</v>
      </c>
      <c r="D2" s="195" t="s">
        <v>532</v>
      </c>
      <c r="E2" s="194" t="s">
        <v>533</v>
      </c>
      <c r="F2" s="194"/>
    </row>
    <row r="3" spans="1:20">
      <c r="A3" s="193" t="s">
        <v>534</v>
      </c>
      <c r="B3" s="193">
        <v>1951</v>
      </c>
      <c r="C3" s="196">
        <v>87.094479225953293</v>
      </c>
      <c r="D3" s="196">
        <v>4.2726115481280802</v>
      </c>
      <c r="E3" s="191" t="s">
        <v>538</v>
      </c>
      <c r="H3" s="200" t="s">
        <v>560</v>
      </c>
      <c r="I3" s="191" t="s">
        <v>536</v>
      </c>
      <c r="J3" s="191" t="s">
        <v>537</v>
      </c>
      <c r="K3" s="191" t="s">
        <v>538</v>
      </c>
      <c r="L3" s="191" t="s">
        <v>535</v>
      </c>
      <c r="P3" s="191" t="s">
        <v>388</v>
      </c>
      <c r="Q3" s="191" t="s">
        <v>536</v>
      </c>
      <c r="R3" s="191" t="s">
        <v>537</v>
      </c>
      <c r="S3" s="191" t="s">
        <v>538</v>
      </c>
      <c r="T3" s="191" t="s">
        <v>535</v>
      </c>
    </row>
    <row r="4" spans="1:20">
      <c r="A4" s="193" t="s">
        <v>534</v>
      </c>
      <c r="B4" s="193">
        <v>1952</v>
      </c>
      <c r="C4" s="196">
        <v>86.066438175586597</v>
      </c>
      <c r="D4" s="196">
        <v>0.90465159957429098</v>
      </c>
      <c r="E4" s="191" t="s">
        <v>538</v>
      </c>
      <c r="H4" s="193" t="s">
        <v>534</v>
      </c>
      <c r="I4" s="197">
        <f t="array" ref="I4">AVERAGE(IF(($A$3:$A$1159=$H4)*($E$3:$E$1159=I$3),$D$3:$D$1159,""))</f>
        <v>3.2058846458380259</v>
      </c>
      <c r="J4" s="197">
        <f t="array" ref="J4">AVERAGE(IF(($A$3:$A$1159=$H4)*($E$3:$E$1159=J$3),$D$3:$D$1159,""))</f>
        <v>4.9472053033908452</v>
      </c>
      <c r="K4" s="197">
        <f t="array" ref="K4">AVERAGE(IF(($A$3:$A$1159=$H4)*($E$3:$E$1159=K$3),$D$3:$D$1159,""))</f>
        <v>4.0421747307288376</v>
      </c>
      <c r="L4" s="197"/>
      <c r="P4" s="193" t="s">
        <v>534</v>
      </c>
      <c r="Q4" s="199">
        <f t="array" ref="Q4">COUNT(IF(($A$3:$A$1173=$P4)*($E$3:$E$1173=Q$3),$D$3:$D$1173,""))</f>
        <v>37</v>
      </c>
      <c r="R4" s="199">
        <f t="array" ref="R4">COUNT(IF(($A$3:$A$1173=$P4)*($E$3:$E$1173=R$3),$D$3:$D$1173,""))</f>
        <v>13</v>
      </c>
      <c r="S4" s="199">
        <f t="array" ref="S4">COUNT(IF(($A$3:$A$1173=$P4)*($E$3:$E$1173=S$3),$D$3:$D$1173,""))</f>
        <v>9</v>
      </c>
      <c r="T4" s="199">
        <f t="array" ref="T4">COUNT(IF(($A$3:$A$1173=$P4)*($E$3:$E$1173=T$3),$D$3:$D$1173,""))</f>
        <v>0</v>
      </c>
    </row>
    <row r="5" spans="1:20">
      <c r="A5" s="193" t="s">
        <v>534</v>
      </c>
      <c r="B5" s="193">
        <v>1953</v>
      </c>
      <c r="C5" s="196">
        <v>79.865022108447803</v>
      </c>
      <c r="D5" s="196">
        <v>3.11928028540407</v>
      </c>
      <c r="E5" s="191" t="s">
        <v>538</v>
      </c>
      <c r="H5" s="193" t="s">
        <v>539</v>
      </c>
      <c r="I5" s="197">
        <f t="array" ref="I5">AVERAGE(IF(($A$3:$A$1159=$H5)*($E$3:$E$1159=I$3),$D$3:$D$1159,""))</f>
        <v>5.2074872846779776</v>
      </c>
      <c r="J5" s="197">
        <f t="array" ref="J5">AVERAGE(IF(($A$3:$A$1159=$H5)*($E$3:$E$1159=J$3),$D$3:$D$1159,""))</f>
        <v>3.3915686932987832</v>
      </c>
      <c r="K5" s="197"/>
      <c r="L5" s="197"/>
      <c r="P5" s="193" t="s">
        <v>539</v>
      </c>
      <c r="Q5" s="199">
        <f t="array" ref="Q5">COUNT(IF(($A$3:$A$1173=$P5)*($E$3:$E$1173=Q$3),$D$3:$D$1173,""))</f>
        <v>34</v>
      </c>
      <c r="R5" s="199">
        <f t="array" ref="R5">COUNT(IF(($A$3:$A$1173=$P5)*($E$3:$E$1173=R$3),$D$3:$D$1173,""))</f>
        <v>25</v>
      </c>
      <c r="S5" s="199">
        <f t="array" ref="S5">COUNT(IF(($A$3:$A$1173=$P5)*($E$3:$E$1173=S$3),$D$3:$D$1173,""))</f>
        <v>0</v>
      </c>
      <c r="T5" s="199">
        <f t="array" ref="T5">COUNT(IF(($A$3:$A$1173=$P5)*($E$3:$E$1173=T$3),$D$3:$D$1173,""))</f>
        <v>0</v>
      </c>
    </row>
    <row r="6" spans="1:20">
      <c r="A6" s="193" t="s">
        <v>534</v>
      </c>
      <c r="B6" s="193">
        <v>1954</v>
      </c>
      <c r="C6" s="196">
        <v>76.8467028869713</v>
      </c>
      <c r="D6" s="196">
        <v>6.2168138265068302</v>
      </c>
      <c r="E6" s="191" t="s">
        <v>538</v>
      </c>
      <c r="H6" s="193" t="s">
        <v>540</v>
      </c>
      <c r="I6" s="197"/>
      <c r="J6" s="197">
        <f t="array" ref="J6">AVERAGE(IF(($A$3:$A$1159=$H6)*($E$3:$E$1159=J$3),$D$3:$D$1159,""))</f>
        <v>4.1916545553209863</v>
      </c>
      <c r="K6" s="197">
        <f t="array" ref="K6">AVERAGE(IF(($A$3:$A$1159=$H6)*($E$3:$E$1159=K$3),$D$3:$D$1159,""))</f>
        <v>3.0798680950533051</v>
      </c>
      <c r="L6" s="197">
        <f t="array" ref="L6">AVERAGE(IF(($A$3:$A$1159=$H6)*($E$3:$E$1159=L$3),$D$3:$D$1159,""))</f>
        <v>2.5668283138819659</v>
      </c>
      <c r="P6" s="193" t="s">
        <v>540</v>
      </c>
      <c r="Q6" s="199">
        <f t="array" ref="Q6">COUNT(IF(($A$3:$A$1173=$P6)*($E$3:$E$1173=Q$3),$D$3:$D$1173,""))</f>
        <v>0</v>
      </c>
      <c r="R6" s="199">
        <f t="array" ref="R6">COUNT(IF(($A$3:$A$1173=$P6)*($E$3:$E$1173=R$3),$D$3:$D$1173,""))</f>
        <v>17</v>
      </c>
      <c r="S6" s="199">
        <f t="array" ref="S6">COUNT(IF(($A$3:$A$1173=$P6)*($E$3:$E$1173=S$3),$D$3:$D$1173,""))</f>
        <v>21</v>
      </c>
      <c r="T6" s="199">
        <f t="array" ref="T6">COUNT(IF(($A$3:$A$1173=$P6)*($E$3:$E$1173=T$3),$D$3:$D$1173,""))</f>
        <v>25</v>
      </c>
    </row>
    <row r="7" spans="1:20">
      <c r="A7" s="193" t="s">
        <v>534</v>
      </c>
      <c r="B7" s="193">
        <v>1955</v>
      </c>
      <c r="C7" s="196">
        <v>74.980501949805003</v>
      </c>
      <c r="D7" s="196">
        <v>5.4620896706035502</v>
      </c>
      <c r="E7" s="191" t="s">
        <v>538</v>
      </c>
      <c r="H7" s="193" t="s">
        <v>541</v>
      </c>
      <c r="I7" s="197">
        <f t="array" ref="I7">AVERAGE(IF(($A$3:$A$1159=$H7)*($E$3:$E$1159=I$3),$D$3:$D$1159,""))</f>
        <v>2.5157035420588438</v>
      </c>
      <c r="J7" s="197">
        <f t="array" ref="J7">AVERAGE(IF(($A$3:$A$1159=$H7)*($E$3:$E$1159=J$3),$D$3:$D$1159,""))</f>
        <v>3.5254457621572448</v>
      </c>
      <c r="K7" s="197">
        <f t="array" ref="K7">AVERAGE(IF(($A$3:$A$1159=$H7)*($E$3:$E$1159=K$3),$D$3:$D$1159,""))</f>
        <v>4.5235744792155383</v>
      </c>
      <c r="L7" s="197"/>
      <c r="P7" s="193" t="s">
        <v>541</v>
      </c>
      <c r="Q7" s="199">
        <f t="array" ref="Q7">COUNT(IF(($A$3:$A$1173=$P7)*($E$3:$E$1173=Q$3),$D$3:$D$1173,""))</f>
        <v>3</v>
      </c>
      <c r="R7" s="199">
        <f t="array" ref="R7">COUNT(IF(($A$3:$A$1173=$P7)*($E$3:$E$1173=R$3),$D$3:$D$1173,""))</f>
        <v>42</v>
      </c>
      <c r="S7" s="199">
        <f t="array" ref="S7">COUNT(IF(($A$3:$A$1173=$P7)*($E$3:$E$1173=S$3),$D$3:$D$1173,""))</f>
        <v>14</v>
      </c>
      <c r="T7" s="199">
        <f t="array" ref="T7">COUNT(IF(($A$3:$A$1173=$P7)*($E$3:$E$1173=T$3),$D$3:$D$1173,""))</f>
        <v>0</v>
      </c>
    </row>
    <row r="8" spans="1:20">
      <c r="A8" s="193" t="s">
        <v>534</v>
      </c>
      <c r="B8" s="193">
        <v>1956</v>
      </c>
      <c r="C8" s="196">
        <v>71.818265767845602</v>
      </c>
      <c r="D8" s="196">
        <v>3.4416081427669698</v>
      </c>
      <c r="E8" s="191" t="s">
        <v>538</v>
      </c>
      <c r="H8" s="193" t="s">
        <v>542</v>
      </c>
      <c r="I8" s="197">
        <f t="array" ref="I8">AVERAGE(IF(($A$3:$A$1159=$H8)*($E$3:$E$1159=I$3),$D$3:$D$1159,""))</f>
        <v>3.5185838884698568</v>
      </c>
      <c r="J8" s="197">
        <f t="array" ref="J8">AVERAGE(IF(($A$3:$A$1159=$H8)*($E$3:$E$1159=J$3),$D$3:$D$1159,""))</f>
        <v>1.700033673398099</v>
      </c>
      <c r="K8" s="197">
        <f t="array" ref="K8">AVERAGE(IF(($A$3:$A$1159=$H8)*($E$3:$E$1159=K$3),$D$3:$D$1159,""))</f>
        <v>2.3911471659625025</v>
      </c>
      <c r="L8" s="197"/>
      <c r="P8" s="193" t="s">
        <v>542</v>
      </c>
      <c r="Q8" s="199">
        <f t="array" ref="Q8">COUNT(IF(($A$3:$A$1173=$P8)*($E$3:$E$1173=Q$3),$D$3:$D$1173,""))</f>
        <v>23</v>
      </c>
      <c r="R8" s="199">
        <f t="array" ref="R8">COUNT(IF(($A$3:$A$1173=$P8)*($E$3:$E$1173=R$3),$D$3:$D$1173,""))</f>
        <v>16</v>
      </c>
      <c r="S8" s="199">
        <f t="array" ref="S8">COUNT(IF(($A$3:$A$1173=$P8)*($E$3:$E$1173=S$3),$D$3:$D$1173,""))</f>
        <v>17</v>
      </c>
      <c r="T8" s="199">
        <f t="array" ref="T8">COUNT(IF(($A$3:$A$1173=$P8)*($E$3:$E$1173=T$3),$D$3:$D$1173,""))</f>
        <v>0</v>
      </c>
    </row>
    <row r="9" spans="1:20">
      <c r="A9" s="193" t="s">
        <v>534</v>
      </c>
      <c r="B9" s="193">
        <v>1957</v>
      </c>
      <c r="C9" s="196">
        <v>67.723763468227702</v>
      </c>
      <c r="D9" s="196">
        <v>2.0030116571903198</v>
      </c>
      <c r="E9" s="191" t="s">
        <v>538</v>
      </c>
      <c r="H9" s="193" t="s">
        <v>543</v>
      </c>
      <c r="I9" s="197">
        <f t="array" ref="I9">AVERAGE(IF(($A$3:$A$1159=$H9)*($E$3:$E$1159=I$3),$D$3:$D$1159,""))</f>
        <v>3.8170292608859002</v>
      </c>
      <c r="J9" s="197">
        <f t="array" ref="J9">AVERAGE(IF(($A$3:$A$1159=$H9)*($E$3:$E$1159=J$3),$D$3:$D$1159,""))</f>
        <v>2.418534643990379</v>
      </c>
      <c r="K9" s="197">
        <f t="array" ref="K9">AVERAGE(IF(($A$3:$A$1159=$H9)*($E$3:$E$1159=K$3),$D$3:$D$1159,""))</f>
        <v>5.4888873495957595</v>
      </c>
      <c r="L9" s="197"/>
      <c r="P9" s="193" t="s">
        <v>543</v>
      </c>
      <c r="Q9" s="199">
        <f t="array" ref="Q9">COUNT(IF(($A$3:$A$1173=$P9)*($E$3:$E$1173=Q$3),$D$3:$D$1173,""))</f>
        <v>44</v>
      </c>
      <c r="R9" s="199">
        <f t="array" ref="R9">COUNT(IF(($A$3:$A$1173=$P9)*($E$3:$E$1173=R$3),$D$3:$D$1173,""))</f>
        <v>16</v>
      </c>
      <c r="S9" s="199">
        <f t="array" ref="S9">COUNT(IF(($A$3:$A$1173=$P9)*($E$3:$E$1173=S$3),$D$3:$D$1173,""))</f>
        <v>4</v>
      </c>
      <c r="T9" s="199">
        <f t="array" ref="T9">COUNT(IF(($A$3:$A$1173=$P9)*($E$3:$E$1173=T$3),$D$3:$D$1173,""))</f>
        <v>0</v>
      </c>
    </row>
    <row r="10" spans="1:20">
      <c r="A10" s="193" t="s">
        <v>534</v>
      </c>
      <c r="B10" s="193">
        <v>1958</v>
      </c>
      <c r="C10" s="196">
        <v>66.049751243781103</v>
      </c>
      <c r="D10" s="196">
        <v>4.8029321557198701</v>
      </c>
      <c r="E10" s="191" t="s">
        <v>538</v>
      </c>
      <c r="H10" s="193" t="s">
        <v>544</v>
      </c>
      <c r="I10" s="197">
        <f t="array" ref="I10">AVERAGE(IF(($A$3:$A$1159=$H10)*($E$3:$E$1159=I$3),$D$3:$D$1159,""))</f>
        <v>5.0584756365634975</v>
      </c>
      <c r="J10" s="197">
        <f t="array" ref="J10">AVERAGE(IF(($A$3:$A$1159=$H10)*($E$3:$E$1159=J$3),$D$3:$D$1159,""))</f>
        <v>2.6161590432546395</v>
      </c>
      <c r="K10" s="197">
        <f t="array" ref="K10">AVERAGE(IF(($A$3:$A$1159=$H10)*($E$3:$E$1159=K$3),$D$3:$D$1159,""))</f>
        <v>3.0196305564817143</v>
      </c>
      <c r="L10" s="197"/>
      <c r="P10" s="193" t="s">
        <v>544</v>
      </c>
      <c r="Q10" s="199">
        <f t="array" ref="Q10">COUNT(IF(($A$3:$A$1173=$P10)*($E$3:$E$1173=Q$3),$D$3:$D$1173,""))</f>
        <v>24</v>
      </c>
      <c r="R10" s="199">
        <f t="array" ref="R10">COUNT(IF(($A$3:$A$1173=$P10)*($E$3:$E$1173=R$3),$D$3:$D$1173,""))</f>
        <v>20</v>
      </c>
      <c r="S10" s="199">
        <f t="array" ref="S10">COUNT(IF(($A$3:$A$1173=$P10)*($E$3:$E$1173=S$3),$D$3:$D$1173,""))</f>
        <v>10</v>
      </c>
      <c r="T10" s="199">
        <f t="array" ref="T10">COUNT(IF(($A$3:$A$1173=$P10)*($E$3:$E$1173=T$3),$D$3:$D$1173,""))</f>
        <v>0</v>
      </c>
    </row>
    <row r="11" spans="1:20">
      <c r="A11" s="193" t="s">
        <v>534</v>
      </c>
      <c r="B11" s="193">
        <v>1959</v>
      </c>
      <c r="C11" s="196">
        <v>62.3884514435696</v>
      </c>
      <c r="D11" s="196">
        <v>6.1565736906655602</v>
      </c>
      <c r="E11" s="191" t="s">
        <v>538</v>
      </c>
      <c r="H11" s="193" t="s">
        <v>545</v>
      </c>
      <c r="I11" s="197">
        <f t="array" ref="I11">AVERAGE(IF(($A$3:$A$1159=$H11)*($E$3:$E$1159=I$3),$D$3:$D$1159,""))</f>
        <v>3.8737590917555766</v>
      </c>
      <c r="J11" s="197">
        <f t="array" ref="J11">AVERAGE(IF(($A$3:$A$1159=$H11)*($E$3:$E$1159=J$3),$D$3:$D$1159,""))</f>
        <v>0.87580337752503246</v>
      </c>
      <c r="K11" s="197"/>
      <c r="L11" s="197"/>
      <c r="P11" s="193" t="s">
        <v>545</v>
      </c>
      <c r="Q11" s="199">
        <f t="array" ref="Q11">COUNT(IF(($A$3:$A$1173=$P11)*($E$3:$E$1173=Q$3),$D$3:$D$1173,""))</f>
        <v>48</v>
      </c>
      <c r="R11" s="199">
        <f t="array" ref="R11">COUNT(IF(($A$3:$A$1173=$P11)*($E$3:$E$1173=R$3),$D$3:$D$1173,""))</f>
        <v>11</v>
      </c>
      <c r="S11" s="199">
        <f t="array" ref="S11">COUNT(IF(($A$3:$A$1173=$P11)*($E$3:$E$1173=S$3),$D$3:$D$1173,""))</f>
        <v>0</v>
      </c>
      <c r="T11" s="199">
        <f t="array" ref="T11">COUNT(IF(($A$3:$A$1173=$P11)*($E$3:$E$1173=T$3),$D$3:$D$1173,""))</f>
        <v>0</v>
      </c>
    </row>
    <row r="12" spans="1:20">
      <c r="A12" s="193" t="s">
        <v>534</v>
      </c>
      <c r="B12" s="193">
        <v>1960</v>
      </c>
      <c r="C12" s="196">
        <v>48.336380255941499</v>
      </c>
      <c r="D12" s="196">
        <v>4.1912126376957497</v>
      </c>
      <c r="E12" s="191" t="s">
        <v>537</v>
      </c>
      <c r="H12" s="193" t="s">
        <v>546</v>
      </c>
      <c r="I12" s="197">
        <f t="array" ref="I12">AVERAGE(IF(($A$3:$A$1159=$H12)*($E$3:$E$1159=I$3),$D$3:$D$1159,""))</f>
        <v>4.0012815476872898</v>
      </c>
      <c r="J12" s="197">
        <f t="array" ref="J12">AVERAGE(IF(($A$3:$A$1159=$H12)*($E$3:$E$1159=J$3),$D$3:$D$1159,""))</f>
        <v>0.3402</v>
      </c>
      <c r="K12" s="197">
        <f t="array" ref="K12">AVERAGE(IF(($A$3:$A$1159=$H12)*($E$3:$E$1159=K$3),$D$3:$D$1159,""))</f>
        <v>2.6960000000000002</v>
      </c>
      <c r="L12" s="197">
        <f t="array" ref="L12">AVERAGE(IF(($A$3:$A$1159=$H12)*($E$3:$E$1159=L$3),$D$3:$D$1159,""))</f>
        <v>2.9106315789473687</v>
      </c>
      <c r="P12" s="193" t="s">
        <v>546</v>
      </c>
      <c r="Q12" s="199">
        <f t="array" ref="Q12">COUNT(IF(($A$3:$A$1173=$P12)*($E$3:$E$1173=Q$3),$D$3:$D$1173,""))</f>
        <v>13</v>
      </c>
      <c r="R12" s="199">
        <f t="array" ref="R12">COUNT(IF(($A$3:$A$1173=$P12)*($E$3:$E$1173=R$3),$D$3:$D$1173,""))</f>
        <v>5</v>
      </c>
      <c r="S12" s="199">
        <f t="array" ref="S12">COUNT(IF(($A$3:$A$1173=$P12)*($E$3:$E$1173=S$3),$D$3:$D$1173,""))</f>
        <v>3</v>
      </c>
      <c r="T12" s="199">
        <f t="array" ref="T12">COUNT(IF(($A$3:$A$1173=$P12)*($E$3:$E$1173=T$3),$D$3:$D$1173,""))</f>
        <v>19</v>
      </c>
    </row>
    <row r="13" spans="1:20">
      <c r="A13" s="193" t="s">
        <v>534</v>
      </c>
      <c r="B13" s="193">
        <v>1961</v>
      </c>
      <c r="C13" s="196">
        <v>49.378113826856598</v>
      </c>
      <c r="D13" s="196">
        <v>0.68946588351539395</v>
      </c>
      <c r="E13" s="191" t="s">
        <v>537</v>
      </c>
      <c r="H13" s="193" t="s">
        <v>547</v>
      </c>
      <c r="I13" s="197">
        <f t="array" ref="I13">AVERAGE(IF(($A$3:$A$1159=$H13)*($E$3:$E$1159=I$3),$D$3:$D$1159,""))</f>
        <v>4.2092505341969737</v>
      </c>
      <c r="J13" s="197">
        <f t="array" ref="J13">AVERAGE(IF(($A$3:$A$1159=$H13)*($E$3:$E$1159=J$3),$D$3:$D$1159,""))</f>
        <v>4.4521668732135407</v>
      </c>
      <c r="K13" s="197">
        <f t="array" ref="K13">AVERAGE(IF(($A$3:$A$1159=$H13)*($E$3:$E$1159=K$3),$D$3:$D$1159,""))</f>
        <v>3.9501388892382265</v>
      </c>
      <c r="L13" s="197">
        <f t="array" ref="L13">AVERAGE(IF(($A$3:$A$1159=$H13)*($E$3:$E$1159=L$3),$D$3:$D$1159,""))</f>
        <v>2.4285714285714284</v>
      </c>
      <c r="P13" s="193" t="s">
        <v>547</v>
      </c>
      <c r="Q13" s="199">
        <f t="array" ref="Q13">COUNT(IF(($A$3:$A$1173=$P13)*($E$3:$E$1173=Q$3),$D$3:$D$1173,""))</f>
        <v>10</v>
      </c>
      <c r="R13" s="199">
        <f t="array" ref="R13">COUNT(IF(($A$3:$A$1173=$P13)*($E$3:$E$1173=R$3),$D$3:$D$1173,""))</f>
        <v>14</v>
      </c>
      <c r="S13" s="199">
        <f t="array" ref="S13">COUNT(IF(($A$3:$A$1173=$P13)*($E$3:$E$1173=S$3),$D$3:$D$1173,""))</f>
        <v>32</v>
      </c>
      <c r="T13" s="199">
        <f t="array" ref="T13">COUNT(IF(($A$3:$A$1173=$P13)*($E$3:$E$1173=T$3),$D$3:$D$1173,""))</f>
        <v>7</v>
      </c>
    </row>
    <row r="14" spans="1:20">
      <c r="A14" s="193" t="s">
        <v>534</v>
      </c>
      <c r="B14" s="193">
        <v>1962</v>
      </c>
      <c r="C14" s="196">
        <v>50.330760749724398</v>
      </c>
      <c r="D14" s="196">
        <v>6.24884149466269</v>
      </c>
      <c r="E14" s="191" t="s">
        <v>537</v>
      </c>
      <c r="H14" s="193" t="s">
        <v>548</v>
      </c>
      <c r="I14" s="197">
        <f t="array" ref="I14">AVERAGE(IF(($A$3:$A$1159=$H14)*($E$3:$E$1159=I$3),$D$3:$D$1159,""))</f>
        <v>5.3526316533834448</v>
      </c>
      <c r="J14" s="197">
        <f t="array" ref="J14">AVERAGE(IF(($A$3:$A$1159=$H14)*($E$3:$E$1159=J$3),$D$3:$D$1159,""))</f>
        <v>2.0542842210328485</v>
      </c>
      <c r="K14" s="197">
        <f t="array" ref="K14">AVERAGE(IF(($A$3:$A$1159=$H14)*($E$3:$E$1159=K$3),$D$3:$D$1159,""))</f>
        <v>1.7715294117647058</v>
      </c>
      <c r="L14" s="197">
        <f t="array" ref="L14">AVERAGE(IF(($A$3:$A$1159=$H14)*($E$3:$E$1159=L$3),$D$3:$D$1159,""))</f>
        <v>1.0288999999999999</v>
      </c>
      <c r="P14" s="193" t="s">
        <v>548</v>
      </c>
      <c r="Q14" s="199">
        <f t="array" ref="Q14">COUNT(IF(($A$3:$A$1173=$P14)*($E$3:$E$1173=Q$3),$D$3:$D$1173,""))</f>
        <v>26</v>
      </c>
      <c r="R14" s="199">
        <f t="array" ref="R14">COUNT(IF(($A$3:$A$1173=$P14)*($E$3:$E$1173=R$3),$D$3:$D$1173,""))</f>
        <v>6</v>
      </c>
      <c r="S14" s="199">
        <f t="array" ref="S14">COUNT(IF(($A$3:$A$1173=$P14)*($E$3:$E$1173=S$3),$D$3:$D$1173,""))</f>
        <v>17</v>
      </c>
      <c r="T14" s="199">
        <f t="array" ref="T14">COUNT(IF(($A$3:$A$1173=$P14)*($E$3:$E$1173=T$3),$D$3:$D$1173,""))</f>
        <v>10</v>
      </c>
    </row>
    <row r="15" spans="1:20">
      <c r="A15" s="193" t="s">
        <v>534</v>
      </c>
      <c r="B15" s="193">
        <v>1963</v>
      </c>
      <c r="C15" s="196">
        <v>47.587530945283703</v>
      </c>
      <c r="D15" s="196">
        <v>6.1255695578999099</v>
      </c>
      <c r="E15" s="191" t="s">
        <v>537</v>
      </c>
      <c r="H15" s="193" t="s">
        <v>549</v>
      </c>
      <c r="I15" s="197">
        <f t="array" ref="I15">AVERAGE(IF(($A$3:$A$1159=$H15)*($E$3:$E$1159=I$3),$D$3:$D$1159,""))</f>
        <v>7.331000974134124</v>
      </c>
      <c r="J15" s="197">
        <f t="array" ref="J15">AVERAGE(IF(($A$3:$A$1159=$H15)*($E$3:$E$1159=J$3),$D$3:$D$1159,""))</f>
        <v>3.9571430664109926</v>
      </c>
      <c r="K15" s="197">
        <f t="array" ref="K15">AVERAGE(IF(($A$3:$A$1159=$H15)*($E$3:$E$1159=K$3),$D$3:$D$1159,""))</f>
        <v>1.0084105338068099</v>
      </c>
      <c r="L15" s="197">
        <f t="array" ref="L15">AVERAGE(IF(($A$3:$A$1159=$H15)*($E$3:$E$1159=L$3),$D$3:$D$1159,""))</f>
        <v>0.68725836094954895</v>
      </c>
      <c r="P15" s="193" t="s">
        <v>549</v>
      </c>
      <c r="Q15" s="199">
        <f t="array" ref="Q15">COUNT(IF(($A$3:$A$1173=$P15)*($E$3:$E$1173=Q$3),$D$3:$D$1173,""))</f>
        <v>22</v>
      </c>
      <c r="R15" s="199">
        <f t="array" ref="R15">COUNT(IF(($A$3:$A$1173=$P15)*($E$3:$E$1173=R$3),$D$3:$D$1173,""))</f>
        <v>17</v>
      </c>
      <c r="S15" s="199">
        <f t="array" ref="S15">COUNT(IF(($A$3:$A$1173=$P15)*($E$3:$E$1173=S$3),$D$3:$D$1173,""))</f>
        <v>4</v>
      </c>
      <c r="T15" s="199">
        <f t="array" ref="T15">COUNT(IF(($A$3:$A$1173=$P15)*($E$3:$E$1173=T$3),$D$3:$D$1173,""))</f>
        <v>11</v>
      </c>
    </row>
    <row r="16" spans="1:20">
      <c r="A16" s="193" t="s">
        <v>534</v>
      </c>
      <c r="B16" s="193">
        <v>1964</v>
      </c>
      <c r="C16" s="196">
        <v>45.0115260488705</v>
      </c>
      <c r="D16" s="196">
        <v>6.84149961803642</v>
      </c>
      <c r="E16" s="191" t="s">
        <v>537</v>
      </c>
      <c r="H16" s="193" t="s">
        <v>550</v>
      </c>
      <c r="I16" s="197">
        <f t="array" ref="I16">AVERAGE(IF(($A$3:$A$1159=$H16)*($E$3:$E$1159=I$3),$D$3:$D$1159,""))</f>
        <v>4.0826135854501926</v>
      </c>
      <c r="J16" s="197">
        <f t="array" ref="J16">AVERAGE(IF(($A$3:$A$1159=$H16)*($E$3:$E$1159=J$3),$D$3:$D$1159,""))</f>
        <v>2.6207718194023975</v>
      </c>
      <c r="K16" s="197">
        <f t="array" ref="K16">AVERAGE(IF(($A$3:$A$1159=$H16)*($E$3:$E$1159=K$3),$D$3:$D$1159,""))</f>
        <v>1.07043646158601</v>
      </c>
      <c r="L16" s="197"/>
      <c r="P16" s="193" t="s">
        <v>550</v>
      </c>
      <c r="Q16" s="199">
        <f t="array" ref="Q16">COUNT(IF(($A$3:$A$1173=$P16)*($E$3:$E$1173=Q$3),$D$3:$D$1173,""))</f>
        <v>17</v>
      </c>
      <c r="R16" s="199">
        <f t="array" ref="R16">COUNT(IF(($A$3:$A$1173=$P16)*($E$3:$E$1173=R$3),$D$3:$D$1173,""))</f>
        <v>34</v>
      </c>
      <c r="S16" s="199">
        <f t="array" ref="S16">COUNT(IF(($A$3:$A$1173=$P16)*($E$3:$E$1173=S$3),$D$3:$D$1173,""))</f>
        <v>2</v>
      </c>
      <c r="T16" s="199">
        <f t="array" ref="T16">COUNT(IF(($A$3:$A$1173=$P16)*($E$3:$E$1173=T$3),$D$3:$D$1173,""))</f>
        <v>0</v>
      </c>
    </row>
    <row r="17" spans="1:21">
      <c r="A17" s="193" t="s">
        <v>534</v>
      </c>
      <c r="B17" s="193">
        <v>1965</v>
      </c>
      <c r="C17" s="196">
        <v>43.739037433155097</v>
      </c>
      <c r="D17" s="196">
        <v>5.1073419737890102</v>
      </c>
      <c r="E17" s="191" t="s">
        <v>537</v>
      </c>
      <c r="H17" s="193" t="s">
        <v>551</v>
      </c>
      <c r="I17" s="197">
        <f t="array" ref="I17">AVERAGE(IF(($A$3:$A$1159=$H17)*($E$3:$E$1159=I$3),$D$3:$D$1159,""))</f>
        <v>2.4655555555555555</v>
      </c>
      <c r="J17" s="197">
        <f t="array" ref="J17">AVERAGE(IF(($A$3:$A$1159=$H17)*($E$3:$E$1159=J$3),$D$3:$D$1159,""))</f>
        <v>2.8895716508300104</v>
      </c>
      <c r="K17" s="197">
        <f t="array" ref="K17">AVERAGE(IF(($A$3:$A$1159=$H17)*($E$3:$E$1159=K$3),$D$3:$D$1159,""))</f>
        <v>3.8836833687040042</v>
      </c>
      <c r="L17" s="197">
        <f t="array" ref="L17">AVERAGE(IF(($A$3:$A$1159=$H17)*($E$3:$E$1159=L$3),$D$3:$D$1159,""))</f>
        <v>-7.6351016360932098</v>
      </c>
      <c r="P17" s="193" t="s">
        <v>551</v>
      </c>
      <c r="Q17" s="199">
        <f t="array" ref="Q17">COUNT(IF(($A$3:$A$1173=$P17)*($E$3:$E$1173=Q$3),$D$3:$D$1173,""))</f>
        <v>9</v>
      </c>
      <c r="R17" s="199">
        <f t="array" ref="R17">COUNT(IF(($A$3:$A$1173=$P17)*($E$3:$E$1173=R$3),$D$3:$D$1173,""))</f>
        <v>33</v>
      </c>
      <c r="S17" s="199">
        <f t="array" ref="S17">COUNT(IF(($A$3:$A$1173=$P17)*($E$3:$E$1173=S$3),$D$3:$D$1173,""))</f>
        <v>17</v>
      </c>
      <c r="T17" s="199">
        <f t="array" ref="T17">COUNT(IF(($A$3:$A$1173=$P17)*($E$3:$E$1173=T$3),$D$3:$D$1173,""))</f>
        <v>1</v>
      </c>
    </row>
    <row r="18" spans="1:21">
      <c r="A18" s="193" t="s">
        <v>534</v>
      </c>
      <c r="B18" s="193">
        <v>1966</v>
      </c>
      <c r="C18" s="196">
        <v>42.481233029867397</v>
      </c>
      <c r="D18" s="196">
        <v>2.78306395363856</v>
      </c>
      <c r="E18" s="191" t="s">
        <v>537</v>
      </c>
      <c r="H18" s="193" t="s">
        <v>552</v>
      </c>
      <c r="I18" s="197">
        <f t="array" ref="I18">AVERAGE(IF(($A$3:$A$1159=$H18)*($E$3:$E$1159=I$3),$D$3:$D$1159,""))</f>
        <v>3.4001217818948275</v>
      </c>
      <c r="J18" s="197">
        <f t="array" ref="J18">AVERAGE(IF(($A$3:$A$1159=$H18)*($E$3:$E$1159=J$3),$D$3:$D$1159,""))</f>
        <v>5.1082894538621755</v>
      </c>
      <c r="K18" s="197">
        <f t="array" ref="K18">AVERAGE(IF(($A$3:$A$1159=$H18)*($E$3:$E$1159=K$3),$D$3:$D$1159,""))</f>
        <v>10.201270069762501</v>
      </c>
      <c r="L18" s="197"/>
      <c r="P18" s="193" t="s">
        <v>552</v>
      </c>
      <c r="Q18" s="199">
        <f t="array" ref="Q18">COUNT(IF(($A$3:$A$1173=$P18)*($E$3:$E$1173=Q$3),$D$3:$D$1173,""))</f>
        <v>51</v>
      </c>
      <c r="R18" s="199">
        <f t="array" ref="R18">COUNT(IF(($A$3:$A$1173=$P18)*($E$3:$E$1173=R$3),$D$3:$D$1173,""))</f>
        <v>12</v>
      </c>
      <c r="S18" s="199">
        <f t="array" ref="S18">COUNT(IF(($A$3:$A$1173=$P18)*($E$3:$E$1173=S$3),$D$3:$D$1173,""))</f>
        <v>1</v>
      </c>
      <c r="T18" s="199">
        <f t="array" ref="T18">COUNT(IF(($A$3:$A$1173=$P18)*($E$3:$E$1173=T$3),$D$3:$D$1173,""))</f>
        <v>0</v>
      </c>
    </row>
    <row r="19" spans="1:21">
      <c r="A19" s="193" t="s">
        <v>534</v>
      </c>
      <c r="B19" s="193">
        <v>1967</v>
      </c>
      <c r="C19" s="196">
        <v>40.534480888149602</v>
      </c>
      <c r="D19" s="196">
        <v>6.7516734666521501</v>
      </c>
      <c r="E19" s="191" t="s">
        <v>537</v>
      </c>
      <c r="H19" s="193" t="s">
        <v>553</v>
      </c>
      <c r="I19" s="197">
        <f t="array" ref="I19">AVERAGE(IF(($A$3:$A$1159=$H19)*($E$3:$E$1159=I$3),$D$3:$D$1159,""))</f>
        <v>4.4514190942620999</v>
      </c>
      <c r="J19" s="197">
        <f t="array" ref="J19">AVERAGE(IF(($A$3:$A$1159=$H19)*($E$3:$E$1159=J$3),$D$3:$D$1159,""))</f>
        <v>3.5494820476044922</v>
      </c>
      <c r="K19" s="197">
        <f t="array" ref="K19">AVERAGE(IF(($A$3:$A$1159=$H19)*($E$3:$E$1159=K$3),$D$3:$D$1159,""))</f>
        <v>1.8938989107963731</v>
      </c>
      <c r="L19" s="197"/>
      <c r="P19" s="193" t="s">
        <v>553</v>
      </c>
      <c r="Q19" s="199">
        <f t="array" ref="Q19">COUNT(IF(($A$3:$A$1173=$P19)*($E$3:$E$1173=Q$3),$D$3:$D$1173,""))</f>
        <v>42</v>
      </c>
      <c r="R19" s="199">
        <f t="array" ref="R19">COUNT(IF(($A$3:$A$1173=$P19)*($E$3:$E$1173=R$3),$D$3:$D$1173,""))</f>
        <v>9</v>
      </c>
      <c r="S19" s="199">
        <f t="array" ref="S19">COUNT(IF(($A$3:$A$1173=$P19)*($E$3:$E$1173=S$3),$D$3:$D$1173,""))</f>
        <v>7</v>
      </c>
      <c r="T19" s="199">
        <f t="array" ref="T19">COUNT(IF(($A$3:$A$1173=$P19)*($E$3:$E$1173=T$3),$D$3:$D$1173,""))</f>
        <v>0</v>
      </c>
    </row>
    <row r="20" spans="1:21">
      <c r="A20" s="193" t="s">
        <v>534</v>
      </c>
      <c r="B20" s="193">
        <v>1968</v>
      </c>
      <c r="C20" s="196">
        <v>39.494266587128003</v>
      </c>
      <c r="D20" s="196">
        <v>5.8788906154353198</v>
      </c>
      <c r="E20" s="191" t="s">
        <v>537</v>
      </c>
      <c r="H20" s="193" t="s">
        <v>554</v>
      </c>
      <c r="I20" s="197">
        <f t="array" ref="I20">AVERAGE(IF(($A$3:$A$1159=$H20)*($E$3:$E$1159=I$3),$D$3:$D$1159,""))</f>
        <v>1.5493324435460234</v>
      </c>
      <c r="J20" s="197">
        <f t="array" ref="J20">AVERAGE(IF(($A$3:$A$1159=$H20)*($E$3:$E$1159=J$3),$D$3:$D$1159,""))</f>
        <v>3.3986685030537371</v>
      </c>
      <c r="K20" s="197">
        <f t="array" ref="K20">AVERAGE(IF(($A$3:$A$1159=$H20)*($E$3:$E$1159=K$3),$D$3:$D$1159,""))</f>
        <v>4.1562496723491504</v>
      </c>
      <c r="L20" s="197"/>
      <c r="P20" s="193" t="s">
        <v>554</v>
      </c>
      <c r="Q20" s="199">
        <f t="array" ref="Q20">COUNT(IF(($A$3:$A$1173=$P20)*($E$3:$E$1173=Q$3),$D$3:$D$1173,""))</f>
        <v>5</v>
      </c>
      <c r="R20" s="199">
        <f t="array" ref="R20">COUNT(IF(($A$3:$A$1173=$P20)*($E$3:$E$1173=R$3),$D$3:$D$1173,""))</f>
        <v>36</v>
      </c>
      <c r="S20" s="199">
        <f t="array" ref="S20">COUNT(IF(($A$3:$A$1173=$P20)*($E$3:$E$1173=S$3),$D$3:$D$1173,""))</f>
        <v>1</v>
      </c>
      <c r="T20" s="199">
        <f t="array" ref="T20">COUNT(IF(($A$3:$A$1173=$P20)*($E$3:$E$1173=T$3),$D$3:$D$1173,""))</f>
        <v>0</v>
      </c>
    </row>
    <row r="21" spans="1:21">
      <c r="A21" s="193" t="s">
        <v>534</v>
      </c>
      <c r="B21" s="193">
        <v>1969</v>
      </c>
      <c r="C21" s="196">
        <v>36.800776424916201</v>
      </c>
      <c r="D21" s="196">
        <v>6.0816970936825996</v>
      </c>
      <c r="E21" s="191" t="s">
        <v>537</v>
      </c>
      <c r="H21" s="193" t="s">
        <v>555</v>
      </c>
      <c r="I21" s="197">
        <f t="array" ref="I21">AVERAGE(IF(($A$3:$A$1159=$H21)*($E$3:$E$1159=I$3),$D$3:$D$1159,""))</f>
        <v>3.5673850579357653</v>
      </c>
      <c r="J21" s="197">
        <f t="array" ref="J21">AVERAGE(IF(($A$3:$A$1159=$H21)*($E$3:$E$1159=J$3),$D$3:$D$1159,""))</f>
        <v>2.9322373307583205</v>
      </c>
      <c r="K21" s="197">
        <f t="array" ref="K21">AVERAGE(IF(($A$3:$A$1159=$H21)*($E$3:$E$1159=K$3),$D$3:$D$1159,""))</f>
        <v>2.6658238323873653</v>
      </c>
      <c r="L21" s="197"/>
      <c r="P21" s="193" t="s">
        <v>555</v>
      </c>
      <c r="Q21" s="199">
        <f t="array" ref="Q21">COUNT(IF(($A$3:$A$1173=$P21)*($E$3:$E$1173=Q$3),$D$3:$D$1173,""))</f>
        <v>18</v>
      </c>
      <c r="R21" s="199">
        <f t="array" ref="R21">COUNT(IF(($A$3:$A$1173=$P21)*($E$3:$E$1173=R$3),$D$3:$D$1173,""))</f>
        <v>35</v>
      </c>
      <c r="S21" s="199">
        <f t="array" ref="S21">COUNT(IF(($A$3:$A$1173=$P21)*($E$3:$E$1173=S$3),$D$3:$D$1173,""))</f>
        <v>11</v>
      </c>
      <c r="T21" s="199">
        <f t="array" ref="T21">COUNT(IF(($A$3:$A$1173=$P21)*($E$3:$E$1173=T$3),$D$3:$D$1173,""))</f>
        <v>0</v>
      </c>
    </row>
    <row r="22" spans="1:21">
      <c r="A22" s="193" t="s">
        <v>534</v>
      </c>
      <c r="B22" s="193">
        <v>1970</v>
      </c>
      <c r="C22" s="196">
        <v>34.963590626241199</v>
      </c>
      <c r="D22" s="196">
        <v>6.35978702888527</v>
      </c>
      <c r="E22" s="191" t="s">
        <v>537</v>
      </c>
      <c r="H22" s="193" t="s">
        <v>556</v>
      </c>
      <c r="I22" s="197"/>
      <c r="J22" s="197">
        <f t="array" ref="J22">AVERAGE(IF(($A$3:$A$1159=$H22)*($E$3:$E$1159=J$3),$D$3:$D$1159,""))</f>
        <v>2.405718465277257</v>
      </c>
      <c r="K22" s="197">
        <f t="array" ref="K22">AVERAGE(IF(($A$3:$A$1159=$H22)*($E$3:$E$1159=K$3),$D$3:$D$1159,""))</f>
        <v>2.5221331923818799</v>
      </c>
      <c r="L22" s="197">
        <f t="array" ref="L22">AVERAGE(IF(($A$3:$A$1159=$H22)*($E$3:$E$1159=L$3),$D$3:$D$1159,""))</f>
        <v>2.3990957872956171</v>
      </c>
      <c r="P22" s="193" t="s">
        <v>556</v>
      </c>
      <c r="Q22" s="199">
        <f t="array" ref="Q22">COUNT(IF(($A$3:$A$1173=$P22)*($E$3:$E$1173=Q$3),$D$3:$D$1173,""))</f>
        <v>0</v>
      </c>
      <c r="R22" s="199">
        <f t="array" ref="R22">COUNT(IF(($A$3:$A$1173=$P22)*($E$3:$E$1173=R$3),$D$3:$D$1173,""))</f>
        <v>38</v>
      </c>
      <c r="S22" s="199">
        <f t="array" ref="S22">COUNT(IF(($A$3:$A$1173=$P22)*($E$3:$E$1173=S$3),$D$3:$D$1173,""))</f>
        <v>6</v>
      </c>
      <c r="T22" s="199">
        <f t="array" ref="T22">COUNT(IF(($A$3:$A$1173=$P22)*($E$3:$E$1173=T$3),$D$3:$D$1173,""))</f>
        <v>19</v>
      </c>
    </row>
    <row r="23" spans="1:21">
      <c r="A23" s="193" t="s">
        <v>534</v>
      </c>
      <c r="B23" s="193">
        <v>1971</v>
      </c>
      <c r="C23" s="196">
        <v>32.289871721232998</v>
      </c>
      <c r="D23" s="196">
        <v>4.4488240704243998</v>
      </c>
      <c r="E23" s="191" t="s">
        <v>537</v>
      </c>
      <c r="H23" s="193" t="s">
        <v>557</v>
      </c>
      <c r="I23" s="197"/>
      <c r="J23" s="197">
        <f t="array" ref="J23">AVERAGE(IF(($A$3:$A$1159=$H23)*($E$3:$E$1159=J$3),$D$3:$D$1159,""))</f>
        <v>3.370207643969195</v>
      </c>
      <c r="K23" s="197">
        <f t="array" ref="K23">AVERAGE(IF(($A$3:$A$1159=$H23)*($E$3:$E$1159=K$3),$D$3:$D$1159,""))</f>
        <v>3.2640675604611711</v>
      </c>
      <c r="L23" s="197">
        <f t="array" ref="L23">AVERAGE(IF(($A$3:$A$1159=$H23)*($E$3:$E$1159=L$3),$D$3:$D$1159,""))</f>
        <v>-1.988892816820073</v>
      </c>
      <c r="P23" s="193" t="s">
        <v>557</v>
      </c>
      <c r="Q23" s="199">
        <f t="array" ref="Q23">COUNT(IF(($A$3:$A$1173=$P23)*($E$3:$E$1173=Q$3),$D$3:$D$1173,""))</f>
        <v>0</v>
      </c>
      <c r="R23" s="199">
        <f t="array" ref="R23">COUNT(IF(($A$3:$A$1173=$P23)*($E$3:$E$1173=R$3),$D$3:$D$1173,""))</f>
        <v>37</v>
      </c>
      <c r="S23" s="199">
        <f t="array" ref="S23">COUNT(IF(($A$3:$A$1173=$P23)*($E$3:$E$1173=S$3),$D$3:$D$1173,""))</f>
        <v>23</v>
      </c>
      <c r="T23" s="199">
        <f t="array" ref="T23">COUNT(IF(($A$3:$A$1173=$P23)*($E$3:$E$1173=T$3),$D$3:$D$1173,""))</f>
        <v>4</v>
      </c>
    </row>
    <row r="24" spans="1:21">
      <c r="A24" s="193" t="s">
        <v>534</v>
      </c>
      <c r="B24" s="193">
        <v>1972</v>
      </c>
      <c r="C24" s="196">
        <v>30.721744270046599</v>
      </c>
      <c r="D24" s="196">
        <v>2.80580154976351</v>
      </c>
      <c r="E24" s="191" t="s">
        <v>537</v>
      </c>
      <c r="H24" s="191" t="s">
        <v>558</v>
      </c>
      <c r="I24" s="197">
        <f>AVERAGE(I4:I23)</f>
        <v>3.9769126810762336</v>
      </c>
      <c r="J24" s="197">
        <f>AVERAGE(J4:J23)</f>
        <v>3.0372573063875494</v>
      </c>
      <c r="K24" s="197">
        <f>AVERAGE(K4:K23)</f>
        <v>3.4238291266819925</v>
      </c>
      <c r="L24" s="198">
        <f>AVERAGE(L4:L23)</f>
        <v>0.29966137709158081</v>
      </c>
      <c r="M24" s="198">
        <f>L24-L29</f>
        <v>-1.6202729653327688</v>
      </c>
      <c r="N24" s="193" t="s">
        <v>414</v>
      </c>
      <c r="P24" s="191" t="s">
        <v>56</v>
      </c>
      <c r="Q24" s="199">
        <f>SUM(Q4:Q23)</f>
        <v>426</v>
      </c>
      <c r="R24" s="199">
        <f>SUM(R4:R23)</f>
        <v>436</v>
      </c>
      <c r="S24" s="199">
        <f>SUM(S4:S23)</f>
        <v>199</v>
      </c>
      <c r="T24" s="199">
        <f>SUM(T4:T23)</f>
        <v>96</v>
      </c>
      <c r="U24" s="199">
        <f>SUM(Q24:T24)</f>
        <v>1157</v>
      </c>
    </row>
    <row r="25" spans="1:21">
      <c r="A25" s="193" t="s">
        <v>534</v>
      </c>
      <c r="B25" s="193">
        <v>1973</v>
      </c>
      <c r="C25" s="196">
        <v>27.361466800282098</v>
      </c>
      <c r="D25" s="196">
        <v>5.4211302331557096</v>
      </c>
      <c r="E25" s="191" t="s">
        <v>536</v>
      </c>
      <c r="H25" s="191" t="s">
        <v>29</v>
      </c>
      <c r="I25" s="197">
        <f>MEDIAN(I4:I23)</f>
        <v>3.8737590917555766</v>
      </c>
      <c r="J25" s="197">
        <f>MEDIAN(J4:J23)</f>
        <v>3.151222487363758</v>
      </c>
      <c r="K25" s="197">
        <f>MEDIAN(K4:K23)</f>
        <v>3.0497493257675097</v>
      </c>
      <c r="L25" s="197">
        <f>MEDIAN(L4:L23)</f>
        <v>1.7139978936478086</v>
      </c>
    </row>
    <row r="26" spans="1:21">
      <c r="A26" s="193" t="s">
        <v>534</v>
      </c>
      <c r="B26" s="193">
        <v>1974</v>
      </c>
      <c r="C26" s="196">
        <v>22.3663943990665</v>
      </c>
      <c r="D26" s="196">
        <v>2.4791949580417199</v>
      </c>
      <c r="E26" s="191" t="s">
        <v>536</v>
      </c>
      <c r="H26" s="191"/>
      <c r="I26" s="197"/>
      <c r="J26" s="197"/>
      <c r="K26" s="197"/>
      <c r="L26" s="197"/>
    </row>
    <row r="27" spans="1:21">
      <c r="A27" s="193" t="s">
        <v>534</v>
      </c>
      <c r="B27" s="193">
        <v>1975</v>
      </c>
      <c r="C27" s="196">
        <v>23.6368473561689</v>
      </c>
      <c r="D27" s="196">
        <v>2.70746265275843</v>
      </c>
      <c r="E27" s="191" t="s">
        <v>536</v>
      </c>
      <c r="H27" s="191"/>
      <c r="I27" s="197"/>
      <c r="J27" s="197"/>
      <c r="K27" s="197"/>
      <c r="L27" s="197"/>
    </row>
    <row r="28" spans="1:21">
      <c r="A28" s="193" t="s">
        <v>534</v>
      </c>
      <c r="B28" s="193">
        <v>1976</v>
      </c>
      <c r="C28" s="196">
        <v>22.982349085813699</v>
      </c>
      <c r="D28" s="196">
        <v>4.0310530581638204</v>
      </c>
      <c r="E28" s="191" t="s">
        <v>536</v>
      </c>
      <c r="H28" s="200" t="s">
        <v>559</v>
      </c>
      <c r="I28" s="191" t="s">
        <v>536</v>
      </c>
      <c r="J28" s="191" t="s">
        <v>537</v>
      </c>
      <c r="K28" s="191" t="s">
        <v>538</v>
      </c>
      <c r="L28" s="191" t="s">
        <v>535</v>
      </c>
    </row>
    <row r="29" spans="1:21">
      <c r="A29" s="193" t="s">
        <v>534</v>
      </c>
      <c r="B29" s="193">
        <v>1977</v>
      </c>
      <c r="C29" s="196">
        <v>23.638910316268099</v>
      </c>
      <c r="D29" s="196">
        <v>1.0467569085955899</v>
      </c>
      <c r="E29" s="191" t="s">
        <v>536</v>
      </c>
      <c r="H29" s="193" t="s">
        <v>28</v>
      </c>
      <c r="I29" s="197">
        <f t="array" ref="I29">AVERAGE(IF($E$3:$E$1159=I28,$D$3:$D$1159,""))</f>
        <v>4.1735197787007268</v>
      </c>
      <c r="J29" s="197">
        <f t="array" ref="J29">AVERAGE(IF($E$3:$E$1159=J28,$D$3:$D$1159,""))</f>
        <v>3.1163178805266027</v>
      </c>
      <c r="K29" s="197">
        <f t="array" ref="K29">AVERAGE(IF($E$3:$E$1159=K28,$D$3:$D$1159,""))</f>
        <v>3.2218040510909294</v>
      </c>
      <c r="L29" s="198">
        <f t="array" ref="L29">AVERAGE(IF($E$3:$E$1159=L28,$D$3:$D$1159,""))</f>
        <v>1.9199343424243496</v>
      </c>
      <c r="M29" s="197"/>
    </row>
    <row r="30" spans="1:21">
      <c r="A30" s="193" t="s">
        <v>534</v>
      </c>
      <c r="B30" s="193">
        <v>1978</v>
      </c>
      <c r="C30" s="196">
        <v>24.7328917511093</v>
      </c>
      <c r="D30" s="196">
        <v>2.9010820705680098</v>
      </c>
      <c r="E30" s="191" t="s">
        <v>536</v>
      </c>
      <c r="H30" s="193" t="s">
        <v>29</v>
      </c>
      <c r="I30" s="197">
        <f t="array" ref="I30">MEDIAN(IF($E$3:$E$1159=I28,$D$3:$D$1159,""))</f>
        <v>4.1453758189089598</v>
      </c>
      <c r="J30" s="197">
        <f t="array" ref="J30">MEDIAN(IF($E$3:$E$1159=J28,$D$3:$D$1159,""))</f>
        <v>3.1055152355672799</v>
      </c>
      <c r="K30" s="197">
        <f t="array" ref="K30">MEDIAN(IF($E$3:$E$1159=K28,$D$3:$D$1159,""))</f>
        <v>2.9</v>
      </c>
      <c r="L30" s="197">
        <f t="array" ref="L30">MEDIAN(IF($E$3:$E$1159=L28,$D$3:$D$1159,""))</f>
        <v>2.1611837912432601</v>
      </c>
    </row>
    <row r="31" spans="1:21">
      <c r="A31" s="193" t="s">
        <v>534</v>
      </c>
      <c r="B31" s="193">
        <v>1979</v>
      </c>
      <c r="C31" s="196">
        <v>20.872195114121499</v>
      </c>
      <c r="D31" s="196">
        <v>5.2659747991681298</v>
      </c>
      <c r="E31" s="191" t="s">
        <v>536</v>
      </c>
      <c r="H31" s="193" t="s">
        <v>108</v>
      </c>
      <c r="I31" s="197">
        <f t="array" ref="I31">STDEV(IF($E$3:$E$1159=I28,$D$3:$D$1159,""))</f>
        <v>2.858750360445915</v>
      </c>
      <c r="J31" s="197">
        <f t="array" ref="J31">STDEV(IF($E$3:$E$1159=J28,$D$3:$D$1159,""))</f>
        <v>2.8843214615240962</v>
      </c>
      <c r="K31" s="197">
        <f t="array" ref="K31">STDEV(IF($E$3:$E$1159=K28,$D$3:$D$1159,""))</f>
        <v>2.7548418590512549</v>
      </c>
      <c r="L31" s="197">
        <f t="array" ref="L31">STDEV(IF($E$3:$E$1159=L28,$D$3:$D$1159,""))</f>
        <v>2.9936116583336307</v>
      </c>
    </row>
    <row r="32" spans="1:21">
      <c r="A32" s="193" t="s">
        <v>534</v>
      </c>
      <c r="B32" s="193">
        <v>1980</v>
      </c>
      <c r="C32" s="196">
        <v>19.124087591240901</v>
      </c>
      <c r="D32" s="196">
        <v>1.99840205311963</v>
      </c>
      <c r="E32" s="191" t="s">
        <v>536</v>
      </c>
    </row>
    <row r="33" spans="1:5">
      <c r="A33" s="193" t="s">
        <v>534</v>
      </c>
      <c r="B33" s="193">
        <v>1981</v>
      </c>
      <c r="C33" s="196">
        <v>16.176844981216401</v>
      </c>
      <c r="D33" s="196">
        <v>4.1557516378179198</v>
      </c>
      <c r="E33" s="191" t="s">
        <v>536</v>
      </c>
    </row>
    <row r="34" spans="1:5">
      <c r="A34" s="193" t="s">
        <v>534</v>
      </c>
      <c r="B34" s="193">
        <v>1982</v>
      </c>
      <c r="C34" s="196">
        <v>15.043615122865001</v>
      </c>
      <c r="D34" s="196">
        <v>-9.7400067530673002E-3</v>
      </c>
      <c r="E34" s="191" t="s">
        <v>536</v>
      </c>
    </row>
    <row r="35" spans="1:5">
      <c r="A35" s="193" t="s">
        <v>534</v>
      </c>
      <c r="B35" s="193">
        <v>1983</v>
      </c>
      <c r="C35" s="196">
        <v>17.579695577254501</v>
      </c>
      <c r="D35" s="196">
        <v>-0.52601159823104604</v>
      </c>
      <c r="E35" s="191" t="s">
        <v>536</v>
      </c>
    </row>
    <row r="36" spans="1:5">
      <c r="A36" s="193" t="s">
        <v>534</v>
      </c>
      <c r="B36" s="193">
        <v>1984</v>
      </c>
      <c r="C36" s="196">
        <v>20.062923963846</v>
      </c>
      <c r="D36" s="196">
        <v>6.4144998117670697</v>
      </c>
      <c r="E36" s="191" t="s">
        <v>536</v>
      </c>
    </row>
    <row r="37" spans="1:5">
      <c r="A37" s="193" t="s">
        <v>534</v>
      </c>
      <c r="B37" s="193">
        <v>1985</v>
      </c>
      <c r="C37" s="196">
        <v>21.424017003188101</v>
      </c>
      <c r="D37" s="196">
        <v>5.7161962643196302</v>
      </c>
      <c r="E37" s="191" t="s">
        <v>536</v>
      </c>
    </row>
    <row r="38" spans="1:5">
      <c r="A38" s="193" t="s">
        <v>534</v>
      </c>
      <c r="B38" s="193">
        <v>1986</v>
      </c>
      <c r="C38" s="196">
        <v>21.4917077070434</v>
      </c>
      <c r="D38" s="196">
        <v>2.1105795921209798</v>
      </c>
      <c r="E38" s="191" t="s">
        <v>536</v>
      </c>
    </row>
    <row r="39" spans="1:5">
      <c r="A39" s="193" t="s">
        <v>534</v>
      </c>
      <c r="B39" s="193">
        <v>1987</v>
      </c>
      <c r="C39" s="196">
        <v>19.993912351237299</v>
      </c>
      <c r="D39" s="196">
        <v>4.3962809588579104</v>
      </c>
      <c r="E39" s="191" t="s">
        <v>536</v>
      </c>
    </row>
    <row r="40" spans="1:5">
      <c r="A40" s="193" t="s">
        <v>534</v>
      </c>
      <c r="B40" s="193">
        <v>1988</v>
      </c>
      <c r="C40" s="196">
        <v>16.293593411407699</v>
      </c>
      <c r="D40" s="196">
        <v>4.0304127312483597</v>
      </c>
      <c r="E40" s="191" t="s">
        <v>536</v>
      </c>
    </row>
    <row r="41" spans="1:5">
      <c r="A41" s="193" t="s">
        <v>534</v>
      </c>
      <c r="B41" s="193">
        <v>1989</v>
      </c>
      <c r="C41" s="196">
        <v>12.498329765800399</v>
      </c>
      <c r="D41" s="196">
        <v>4.5749490664508397</v>
      </c>
      <c r="E41" s="191" t="s">
        <v>536</v>
      </c>
    </row>
    <row r="42" spans="1:5">
      <c r="A42" s="193" t="s">
        <v>534</v>
      </c>
      <c r="B42" s="193">
        <v>1990</v>
      </c>
      <c r="C42" s="196">
        <v>10.3312013888377</v>
      </c>
      <c r="D42" s="196">
        <v>1.6044395220208101</v>
      </c>
      <c r="E42" s="191" t="s">
        <v>536</v>
      </c>
    </row>
    <row r="43" spans="1:5">
      <c r="A43" s="193" t="s">
        <v>534</v>
      </c>
      <c r="B43" s="193">
        <v>1991</v>
      </c>
      <c r="C43" s="196">
        <v>9.3083213927147597</v>
      </c>
      <c r="D43" s="196">
        <v>-1.2501169676085899</v>
      </c>
      <c r="E43" s="191" t="s">
        <v>536</v>
      </c>
    </row>
    <row r="44" spans="1:5">
      <c r="A44" s="193" t="s">
        <v>534</v>
      </c>
      <c r="B44" s="193">
        <v>1992</v>
      </c>
      <c r="C44" s="196">
        <v>10.8657169152173</v>
      </c>
      <c r="D44" s="196">
        <v>2.11228737481879</v>
      </c>
      <c r="E44" s="191" t="s">
        <v>536</v>
      </c>
    </row>
    <row r="45" spans="1:5">
      <c r="A45" s="193" t="s">
        <v>534</v>
      </c>
      <c r="B45" s="193">
        <v>1993</v>
      </c>
      <c r="C45" s="196">
        <v>13.8149624320372</v>
      </c>
      <c r="D45" s="196">
        <v>3.89721181178508</v>
      </c>
      <c r="E45" s="191" t="s">
        <v>536</v>
      </c>
    </row>
    <row r="46" spans="1:5">
      <c r="A46" s="193" t="s">
        <v>534</v>
      </c>
      <c r="B46" s="193">
        <v>1994</v>
      </c>
      <c r="C46" s="196">
        <v>15.9184748817064</v>
      </c>
      <c r="D46" s="196">
        <v>5.0135386698256799</v>
      </c>
      <c r="E46" s="191" t="s">
        <v>536</v>
      </c>
    </row>
    <row r="47" spans="1:5">
      <c r="A47" s="193" t="s">
        <v>534</v>
      </c>
      <c r="B47" s="193">
        <v>1995</v>
      </c>
      <c r="C47" s="196">
        <v>18.3834558684011</v>
      </c>
      <c r="D47" s="196">
        <v>3.4888318881711502</v>
      </c>
      <c r="E47" s="191" t="s">
        <v>536</v>
      </c>
    </row>
    <row r="48" spans="1:5">
      <c r="A48" s="193" t="s">
        <v>534</v>
      </c>
      <c r="B48" s="193">
        <v>1996</v>
      </c>
      <c r="C48" s="196">
        <v>17.775323368892</v>
      </c>
      <c r="D48" s="196">
        <v>4.28160704089695</v>
      </c>
      <c r="E48" s="191" t="s">
        <v>536</v>
      </c>
    </row>
    <row r="49" spans="1:5">
      <c r="A49" s="193" t="s">
        <v>534</v>
      </c>
      <c r="B49" s="193">
        <v>1997</v>
      </c>
      <c r="C49" s="196">
        <v>17.412324573503401</v>
      </c>
      <c r="D49" s="196">
        <v>3.99699685997652</v>
      </c>
      <c r="E49" s="191" t="s">
        <v>536</v>
      </c>
    </row>
    <row r="50" spans="1:5">
      <c r="A50" s="193" t="s">
        <v>534</v>
      </c>
      <c r="B50" s="193">
        <v>1998</v>
      </c>
      <c r="C50" s="196">
        <v>14.586137695048899</v>
      </c>
      <c r="D50" s="196">
        <v>5.0513793108032798</v>
      </c>
      <c r="E50" s="191" t="s">
        <v>536</v>
      </c>
    </row>
    <row r="51" spans="1:5">
      <c r="A51" s="193" t="s">
        <v>534</v>
      </c>
      <c r="B51" s="193">
        <v>1999</v>
      </c>
      <c r="C51" s="196">
        <v>13.2160492638041</v>
      </c>
      <c r="D51" s="196">
        <v>4.4017237342513198</v>
      </c>
      <c r="E51" s="191" t="s">
        <v>536</v>
      </c>
    </row>
    <row r="52" spans="1:5">
      <c r="A52" s="193" t="s">
        <v>534</v>
      </c>
      <c r="B52" s="193">
        <v>2000</v>
      </c>
      <c r="C52" s="196">
        <v>11.1060178708496</v>
      </c>
      <c r="D52" s="196">
        <v>3.4261296481498298</v>
      </c>
      <c r="E52" s="191" t="s">
        <v>536</v>
      </c>
    </row>
    <row r="53" spans="1:5">
      <c r="A53" s="193" t="s">
        <v>534</v>
      </c>
      <c r="B53" s="193">
        <v>2001</v>
      </c>
      <c r="C53" s="196">
        <v>9.23978259677442</v>
      </c>
      <c r="D53" s="196">
        <v>2.0893402157554899</v>
      </c>
      <c r="E53" s="191" t="s">
        <v>536</v>
      </c>
    </row>
    <row r="54" spans="1:5">
      <c r="A54" s="193" t="s">
        <v>534</v>
      </c>
      <c r="B54" s="193">
        <v>2002</v>
      </c>
      <c r="C54" s="196">
        <v>8.2277779250169303</v>
      </c>
      <c r="D54" s="196">
        <v>4.2473484926763598</v>
      </c>
      <c r="E54" s="191" t="s">
        <v>536</v>
      </c>
    </row>
    <row r="55" spans="1:5">
      <c r="A55" s="193" t="s">
        <v>534</v>
      </c>
      <c r="B55" s="193">
        <v>2003</v>
      </c>
      <c r="C55" s="196">
        <v>7.0313350387232996</v>
      </c>
      <c r="D55" s="196">
        <v>2.9659397649142201</v>
      </c>
      <c r="E55" s="191" t="s">
        <v>536</v>
      </c>
    </row>
    <row r="56" spans="1:5">
      <c r="A56" s="193" t="s">
        <v>534</v>
      </c>
      <c r="B56" s="193">
        <v>2004</v>
      </c>
      <c r="C56" s="196">
        <v>6.2713509513717796</v>
      </c>
      <c r="D56" s="196">
        <v>3.8422786488972598</v>
      </c>
      <c r="E56" s="191" t="s">
        <v>536</v>
      </c>
    </row>
    <row r="57" spans="1:5">
      <c r="A57" s="193" t="s">
        <v>534</v>
      </c>
      <c r="B57" s="193">
        <v>2005</v>
      </c>
      <c r="C57" s="196">
        <v>5.89201334254395</v>
      </c>
      <c r="D57" s="196">
        <v>2.75919465465262</v>
      </c>
      <c r="E57" s="191" t="s">
        <v>536</v>
      </c>
    </row>
    <row r="58" spans="1:5">
      <c r="A58" s="193" t="s">
        <v>534</v>
      </c>
      <c r="B58" s="193">
        <v>2006</v>
      </c>
      <c r="C58" s="196">
        <v>5.3925663627476403</v>
      </c>
      <c r="D58" s="196">
        <v>2.8403720339076601</v>
      </c>
      <c r="E58" s="191" t="s">
        <v>536</v>
      </c>
    </row>
    <row r="59" spans="1:5">
      <c r="A59" s="193" t="s">
        <v>534</v>
      </c>
      <c r="B59" s="193">
        <v>2007</v>
      </c>
      <c r="C59" s="196">
        <v>4.9054301034460499</v>
      </c>
      <c r="D59" s="196">
        <v>4.0487802976253198</v>
      </c>
      <c r="E59" s="191" t="s">
        <v>536</v>
      </c>
    </row>
    <row r="60" spans="1:5">
      <c r="A60" s="193" t="s">
        <v>534</v>
      </c>
      <c r="B60" s="193">
        <v>2008</v>
      </c>
      <c r="C60" s="196">
        <v>4.6778870663392302</v>
      </c>
      <c r="D60" s="196">
        <v>2.3542239641489502</v>
      </c>
      <c r="E60" s="191" t="s">
        <v>536</v>
      </c>
    </row>
    <row r="61" spans="1:5">
      <c r="A61" s="193" t="s">
        <v>534</v>
      </c>
      <c r="B61" s="193">
        <v>2009</v>
      </c>
      <c r="C61" s="196">
        <v>8.41826984160015</v>
      </c>
      <c r="D61" s="196">
        <v>0.73224973916863301</v>
      </c>
      <c r="E61" s="191" t="s">
        <v>536</v>
      </c>
    </row>
    <row r="62" spans="1:5">
      <c r="A62" s="193" t="s">
        <v>539</v>
      </c>
      <c r="B62" s="193">
        <v>1948</v>
      </c>
      <c r="C62" s="196">
        <v>35.202283290183701</v>
      </c>
      <c r="D62" s="196">
        <v>27.329192546583901</v>
      </c>
      <c r="E62" s="191" t="s">
        <v>537</v>
      </c>
    </row>
    <row r="63" spans="1:5">
      <c r="A63" s="193" t="s">
        <v>539</v>
      </c>
      <c r="B63" s="193">
        <v>1949</v>
      </c>
      <c r="C63" s="196">
        <v>26.448141371340501</v>
      </c>
      <c r="D63" s="196">
        <v>18.902439024390201</v>
      </c>
      <c r="E63" s="191" t="s">
        <v>536</v>
      </c>
    </row>
    <row r="64" spans="1:5">
      <c r="A64" s="193" t="s">
        <v>539</v>
      </c>
      <c r="B64" s="193">
        <v>1950</v>
      </c>
      <c r="C64" s="196">
        <v>22.144398212359398</v>
      </c>
      <c r="D64" s="196">
        <v>12.4089618396898</v>
      </c>
      <c r="E64" s="191" t="s">
        <v>536</v>
      </c>
    </row>
    <row r="65" spans="1:5">
      <c r="A65" s="193" t="s">
        <v>539</v>
      </c>
      <c r="B65" s="193">
        <v>1951</v>
      </c>
      <c r="C65" s="196">
        <v>15.2643312101911</v>
      </c>
      <c r="D65" s="196">
        <v>6.8399346354369301</v>
      </c>
      <c r="E65" s="191" t="s">
        <v>536</v>
      </c>
    </row>
    <row r="66" spans="1:5">
      <c r="A66" s="193" t="s">
        <v>539</v>
      </c>
      <c r="B66" s="193">
        <v>1952</v>
      </c>
      <c r="C66" s="196">
        <v>13.580401224923399</v>
      </c>
      <c r="D66" s="196">
        <v>8.7399854333569699E-2</v>
      </c>
      <c r="E66" s="191" t="s">
        <v>536</v>
      </c>
    </row>
    <row r="67" spans="1:5">
      <c r="A67" s="193" t="s">
        <v>539</v>
      </c>
      <c r="B67" s="193">
        <v>1953</v>
      </c>
      <c r="C67" s="196">
        <v>16.565805896537899</v>
      </c>
      <c r="D67" s="196">
        <v>4.3516227623344497</v>
      </c>
      <c r="E67" s="191" t="s">
        <v>536</v>
      </c>
    </row>
    <row r="68" spans="1:5">
      <c r="A68" s="193" t="s">
        <v>539</v>
      </c>
      <c r="B68" s="193">
        <v>1954</v>
      </c>
      <c r="C68" s="196">
        <v>14.268099837593001</v>
      </c>
      <c r="D68" s="196">
        <v>10.2196652719665</v>
      </c>
      <c r="E68" s="191" t="s">
        <v>536</v>
      </c>
    </row>
    <row r="69" spans="1:5">
      <c r="A69" s="193" t="s">
        <v>539</v>
      </c>
      <c r="B69" s="193">
        <v>1955</v>
      </c>
      <c r="C69" s="196">
        <v>11.8947319303812</v>
      </c>
      <c r="D69" s="196">
        <v>11.053114422194801</v>
      </c>
      <c r="E69" s="191" t="s">
        <v>536</v>
      </c>
    </row>
    <row r="70" spans="1:5">
      <c r="A70" s="193" t="s">
        <v>539</v>
      </c>
      <c r="B70" s="193">
        <v>1956</v>
      </c>
      <c r="C70" s="196">
        <v>10.923819112341601</v>
      </c>
      <c r="D70" s="196">
        <v>6.8793619142572204</v>
      </c>
      <c r="E70" s="191" t="s">
        <v>536</v>
      </c>
    </row>
    <row r="71" spans="1:5">
      <c r="A71" s="193" t="s">
        <v>539</v>
      </c>
      <c r="B71" s="193">
        <v>1957</v>
      </c>
      <c r="C71" s="196">
        <v>8.3042690736572506</v>
      </c>
      <c r="D71" s="196">
        <v>6.1247334754797498</v>
      </c>
      <c r="E71" s="191" t="s">
        <v>536</v>
      </c>
    </row>
    <row r="72" spans="1:5">
      <c r="A72" s="193" t="s">
        <v>539</v>
      </c>
      <c r="B72" s="193">
        <v>1958</v>
      </c>
      <c r="C72" s="196">
        <v>11.5927580736709</v>
      </c>
      <c r="D72" s="196">
        <v>3.6516148475563801</v>
      </c>
      <c r="E72" s="191" t="s">
        <v>536</v>
      </c>
    </row>
    <row r="73" spans="1:5">
      <c r="A73" s="193" t="s">
        <v>539</v>
      </c>
      <c r="B73" s="193">
        <v>1959</v>
      </c>
      <c r="C73" s="196">
        <v>13.5199043225696</v>
      </c>
      <c r="D73" s="196">
        <v>2.8421205660011699</v>
      </c>
      <c r="E73" s="191" t="s">
        <v>536</v>
      </c>
    </row>
    <row r="74" spans="1:5">
      <c r="A74" s="193" t="s">
        <v>539</v>
      </c>
      <c r="B74" s="193">
        <v>1960</v>
      </c>
      <c r="C74" s="196">
        <v>13.568510226458301</v>
      </c>
      <c r="D74" s="196">
        <v>8.2318294263164198</v>
      </c>
      <c r="E74" s="191" t="s">
        <v>536</v>
      </c>
    </row>
    <row r="75" spans="1:5">
      <c r="A75" s="193" t="s">
        <v>539</v>
      </c>
      <c r="B75" s="193">
        <v>1961</v>
      </c>
      <c r="C75" s="196">
        <v>12.392053595631801</v>
      </c>
      <c r="D75" s="196">
        <v>5.3092143929994098</v>
      </c>
      <c r="E75" s="191" t="s">
        <v>536</v>
      </c>
    </row>
    <row r="76" spans="1:5">
      <c r="A76" s="193" t="s">
        <v>539</v>
      </c>
      <c r="B76" s="193">
        <v>1962</v>
      </c>
      <c r="C76" s="196">
        <v>11.9662696452802</v>
      </c>
      <c r="D76" s="196">
        <v>2.42258878002397</v>
      </c>
      <c r="E76" s="191" t="s">
        <v>536</v>
      </c>
    </row>
    <row r="77" spans="1:5">
      <c r="A77" s="193" t="s">
        <v>539</v>
      </c>
      <c r="B77" s="193">
        <v>1963</v>
      </c>
      <c r="C77" s="196">
        <v>12.088617058735601</v>
      </c>
      <c r="D77" s="196">
        <v>4.0706357214934403</v>
      </c>
      <c r="E77" s="191" t="s">
        <v>536</v>
      </c>
    </row>
    <row r="78" spans="1:5">
      <c r="A78" s="193" t="s">
        <v>539</v>
      </c>
      <c r="B78" s="193">
        <v>1964</v>
      </c>
      <c r="C78" s="196">
        <v>12.043660418963601</v>
      </c>
      <c r="D78" s="196">
        <v>6.0019004402040101</v>
      </c>
      <c r="E78" s="191" t="s">
        <v>536</v>
      </c>
    </row>
    <row r="79" spans="1:5">
      <c r="A79" s="193" t="s">
        <v>539</v>
      </c>
      <c r="B79" s="193">
        <v>1965</v>
      </c>
      <c r="C79" s="196">
        <v>11.4713995943205</v>
      </c>
      <c r="D79" s="196">
        <v>2.8758552559364801</v>
      </c>
      <c r="E79" s="191" t="s">
        <v>536</v>
      </c>
    </row>
    <row r="80" spans="1:5">
      <c r="A80" s="193" t="s">
        <v>539</v>
      </c>
      <c r="B80" s="193">
        <v>1966</v>
      </c>
      <c r="C80" s="196">
        <v>10.978289204185799</v>
      </c>
      <c r="D80" s="196">
        <v>5.6282675961162303</v>
      </c>
      <c r="E80" s="191" t="s">
        <v>536</v>
      </c>
    </row>
    <row r="81" spans="1:5">
      <c r="A81" s="193" t="s">
        <v>539</v>
      </c>
      <c r="B81" s="193">
        <v>1967</v>
      </c>
      <c r="C81" s="196">
        <v>12.1070690802143</v>
      </c>
      <c r="D81" s="196">
        <v>3.0404552265189699</v>
      </c>
      <c r="E81" s="191" t="s">
        <v>536</v>
      </c>
    </row>
    <row r="82" spans="1:5">
      <c r="A82" s="193" t="s">
        <v>539</v>
      </c>
      <c r="B82" s="193">
        <v>1968</v>
      </c>
      <c r="C82" s="196">
        <v>12.984291487420199</v>
      </c>
      <c r="D82" s="196">
        <v>4.4440813659014902</v>
      </c>
      <c r="E82" s="191" t="s">
        <v>536</v>
      </c>
    </row>
    <row r="83" spans="1:5">
      <c r="A83" s="193" t="s">
        <v>539</v>
      </c>
      <c r="B83" s="193">
        <v>1969</v>
      </c>
      <c r="C83" s="196">
        <v>13.016119402985099</v>
      </c>
      <c r="D83" s="196">
        <v>6.2886194759483898</v>
      </c>
      <c r="E83" s="191" t="s">
        <v>536</v>
      </c>
    </row>
    <row r="84" spans="1:5">
      <c r="A84" s="193" t="s">
        <v>539</v>
      </c>
      <c r="B84" s="193">
        <v>1970</v>
      </c>
      <c r="C84" s="196">
        <v>10.583438065339999</v>
      </c>
      <c r="D84" s="196">
        <v>7.1234086393406404</v>
      </c>
      <c r="E84" s="191" t="s">
        <v>536</v>
      </c>
    </row>
    <row r="85" spans="1:5">
      <c r="A85" s="193" t="s">
        <v>539</v>
      </c>
      <c r="B85" s="193">
        <v>1971</v>
      </c>
      <c r="C85" s="196">
        <v>9.2769384204756697</v>
      </c>
      <c r="D85" s="196">
        <v>5.1123170983032198</v>
      </c>
      <c r="E85" s="191" t="s">
        <v>536</v>
      </c>
    </row>
    <row r="86" spans="1:5">
      <c r="A86" s="193" t="s">
        <v>539</v>
      </c>
      <c r="B86" s="193">
        <v>1972</v>
      </c>
      <c r="C86" s="196">
        <v>8.9382410593264492</v>
      </c>
      <c r="D86" s="196">
        <v>6.2086633728073704</v>
      </c>
      <c r="E86" s="191" t="s">
        <v>536</v>
      </c>
    </row>
    <row r="87" spans="1:5">
      <c r="A87" s="193" t="s">
        <v>539</v>
      </c>
      <c r="B87" s="193">
        <v>1973</v>
      </c>
      <c r="C87" s="196">
        <v>9.1861933940564899</v>
      </c>
      <c r="D87" s="196">
        <v>4.8870237274785797</v>
      </c>
      <c r="E87" s="191" t="s">
        <v>536</v>
      </c>
    </row>
    <row r="88" spans="1:5">
      <c r="A88" s="193" t="s">
        <v>539</v>
      </c>
      <c r="B88" s="193">
        <v>1974</v>
      </c>
      <c r="C88" s="196">
        <v>8.8758906833503097</v>
      </c>
      <c r="D88" s="196">
        <v>3.9435859528083901</v>
      </c>
      <c r="E88" s="191" t="s">
        <v>536</v>
      </c>
    </row>
    <row r="89" spans="1:5">
      <c r="A89" s="193" t="s">
        <v>539</v>
      </c>
      <c r="B89" s="193">
        <v>1975</v>
      </c>
      <c r="C89" s="196">
        <v>12.7993524050479</v>
      </c>
      <c r="D89" s="196">
        <v>-0.36235156003070501</v>
      </c>
      <c r="E89" s="191" t="s">
        <v>536</v>
      </c>
    </row>
    <row r="90" spans="1:5">
      <c r="A90" s="193" t="s">
        <v>539</v>
      </c>
      <c r="B90" s="193">
        <v>1976</v>
      </c>
      <c r="C90" s="196">
        <v>15.181059141508999</v>
      </c>
      <c r="D90" s="196">
        <v>4.5770219900982196</v>
      </c>
      <c r="E90" s="191" t="s">
        <v>536</v>
      </c>
    </row>
    <row r="91" spans="1:5">
      <c r="A91" s="193" t="s">
        <v>539</v>
      </c>
      <c r="B91" s="193">
        <v>1977</v>
      </c>
      <c r="C91" s="196">
        <v>16.425514206175698</v>
      </c>
      <c r="D91" s="196">
        <v>4.6767850758880698</v>
      </c>
      <c r="E91" s="191" t="s">
        <v>536</v>
      </c>
    </row>
    <row r="92" spans="1:5">
      <c r="A92" s="193" t="s">
        <v>539</v>
      </c>
      <c r="B92" s="193">
        <v>1978</v>
      </c>
      <c r="C92" s="196">
        <v>18.8560477240556</v>
      </c>
      <c r="D92" s="196">
        <v>-0.36326378539492898</v>
      </c>
      <c r="E92" s="191" t="s">
        <v>536</v>
      </c>
    </row>
    <row r="93" spans="1:5">
      <c r="A93" s="193" t="s">
        <v>539</v>
      </c>
      <c r="B93" s="193">
        <v>1979</v>
      </c>
      <c r="C93" s="196">
        <v>23.588178013241802</v>
      </c>
      <c r="D93" s="196">
        <v>5.4553197677438003</v>
      </c>
      <c r="E93" s="191" t="s">
        <v>536</v>
      </c>
    </row>
    <row r="94" spans="1:5">
      <c r="A94" s="193" t="s">
        <v>539</v>
      </c>
      <c r="B94" s="193">
        <v>1980</v>
      </c>
      <c r="C94" s="196">
        <v>25.201147136142801</v>
      </c>
      <c r="D94" s="196">
        <v>2.3137158335385402</v>
      </c>
      <c r="E94" s="191" t="s">
        <v>536</v>
      </c>
    </row>
    <row r="95" spans="1:5">
      <c r="A95" s="193" t="s">
        <v>539</v>
      </c>
      <c r="B95" s="193">
        <v>1981</v>
      </c>
      <c r="C95" s="196">
        <v>26.762284859067101</v>
      </c>
      <c r="D95" s="196">
        <v>-9.9158595991300003E-2</v>
      </c>
      <c r="E95" s="191" t="s">
        <v>536</v>
      </c>
    </row>
    <row r="96" spans="1:5">
      <c r="A96" s="193" t="s">
        <v>539</v>
      </c>
      <c r="B96" s="193">
        <v>1982</v>
      </c>
      <c r="C96" s="196">
        <v>28.842310731049899</v>
      </c>
      <c r="D96" s="196">
        <v>1.90708386736178</v>
      </c>
      <c r="E96" s="191" t="s">
        <v>536</v>
      </c>
    </row>
    <row r="97" spans="1:5">
      <c r="A97" s="193" t="s">
        <v>539</v>
      </c>
      <c r="B97" s="193">
        <v>1983</v>
      </c>
      <c r="C97" s="196">
        <v>32.977528702421601</v>
      </c>
      <c r="D97" s="196">
        <v>2.8047281323876998</v>
      </c>
      <c r="E97" s="191" t="s">
        <v>537</v>
      </c>
    </row>
    <row r="98" spans="1:5">
      <c r="A98" s="193" t="s">
        <v>539</v>
      </c>
      <c r="B98" s="193">
        <v>1984</v>
      </c>
      <c r="C98" s="196">
        <v>35.458274913018599</v>
      </c>
      <c r="D98" s="196">
        <v>0.33205783877259298</v>
      </c>
      <c r="E98" s="191" t="s">
        <v>537</v>
      </c>
    </row>
    <row r="99" spans="1:5">
      <c r="A99" s="193" t="s">
        <v>539</v>
      </c>
      <c r="B99" s="193">
        <v>1985</v>
      </c>
      <c r="C99" s="196">
        <v>37.640914465904601</v>
      </c>
      <c r="D99" s="196">
        <v>2.2442861464836898</v>
      </c>
      <c r="E99" s="191" t="s">
        <v>537</v>
      </c>
    </row>
    <row r="100" spans="1:5">
      <c r="A100" s="193" t="s">
        <v>539</v>
      </c>
      <c r="B100" s="193">
        <v>1986</v>
      </c>
      <c r="C100" s="196">
        <v>42.027844185065398</v>
      </c>
      <c r="D100" s="196">
        <v>2.3402824478816502</v>
      </c>
      <c r="E100" s="191" t="s">
        <v>537</v>
      </c>
    </row>
    <row r="101" spans="1:5">
      <c r="A101" s="193" t="s">
        <v>539</v>
      </c>
      <c r="B101" s="193">
        <v>1987</v>
      </c>
      <c r="C101" s="196">
        <v>45.771894498270797</v>
      </c>
      <c r="D101" s="196">
        <v>1.6804661146887501</v>
      </c>
      <c r="E101" s="191" t="s">
        <v>537</v>
      </c>
    </row>
    <row r="102" spans="1:5">
      <c r="A102" s="193" t="s">
        <v>539</v>
      </c>
      <c r="B102" s="193">
        <v>1988</v>
      </c>
      <c r="C102" s="196">
        <v>45.759896105648401</v>
      </c>
      <c r="D102" s="196">
        <v>3.1683799643266402</v>
      </c>
      <c r="E102" s="191" t="s">
        <v>537</v>
      </c>
    </row>
    <row r="103" spans="1:5">
      <c r="A103" s="193" t="s">
        <v>539</v>
      </c>
      <c r="B103" s="193">
        <v>1989</v>
      </c>
      <c r="C103" s="196">
        <v>45.847393484499698</v>
      </c>
      <c r="D103" s="196">
        <v>4.2270107742420304</v>
      </c>
      <c r="E103" s="191" t="s">
        <v>537</v>
      </c>
    </row>
    <row r="104" spans="1:5">
      <c r="A104" s="193" t="s">
        <v>539</v>
      </c>
      <c r="B104" s="193">
        <v>1990</v>
      </c>
      <c r="C104" s="196">
        <v>45.969180621526597</v>
      </c>
      <c r="D104" s="196">
        <v>4.5556169916099796</v>
      </c>
      <c r="E104" s="191" t="s">
        <v>537</v>
      </c>
    </row>
    <row r="105" spans="1:5">
      <c r="A105" s="193" t="s">
        <v>539</v>
      </c>
      <c r="B105" s="193">
        <v>1991</v>
      </c>
      <c r="C105" s="196">
        <v>46.650876556478202</v>
      </c>
      <c r="D105" s="196">
        <v>3.5967549587663701</v>
      </c>
      <c r="E105" s="191" t="s">
        <v>537</v>
      </c>
    </row>
    <row r="106" spans="1:5">
      <c r="A106" s="193" t="s">
        <v>539</v>
      </c>
      <c r="B106" s="193">
        <v>1992</v>
      </c>
      <c r="C106" s="196">
        <v>46.749499049978297</v>
      </c>
      <c r="D106" s="196">
        <v>2.3614329574120698</v>
      </c>
      <c r="E106" s="191" t="s">
        <v>537</v>
      </c>
    </row>
    <row r="107" spans="1:5">
      <c r="A107" s="193" t="s">
        <v>539</v>
      </c>
      <c r="B107" s="193">
        <v>1993</v>
      </c>
      <c r="C107" s="196">
        <v>50.591228951997998</v>
      </c>
      <c r="D107" s="196">
        <v>0.33318173695480202</v>
      </c>
      <c r="E107" s="191" t="s">
        <v>537</v>
      </c>
    </row>
    <row r="108" spans="1:5">
      <c r="A108" s="193" t="s">
        <v>539</v>
      </c>
      <c r="B108" s="193">
        <v>1994</v>
      </c>
      <c r="C108" s="196">
        <v>53.330339500628703</v>
      </c>
      <c r="D108" s="196">
        <v>2.6609109815864702</v>
      </c>
      <c r="E108" s="191" t="s">
        <v>537</v>
      </c>
    </row>
    <row r="109" spans="1:5">
      <c r="A109" s="193" t="s">
        <v>539</v>
      </c>
      <c r="B109" s="193">
        <v>1995</v>
      </c>
      <c r="C109" s="196">
        <v>55.869837870032597</v>
      </c>
      <c r="D109" s="196">
        <v>1.9099047885538001</v>
      </c>
      <c r="E109" s="191" t="s">
        <v>537</v>
      </c>
    </row>
    <row r="110" spans="1:5">
      <c r="A110" s="193" t="s">
        <v>539</v>
      </c>
      <c r="B110" s="193">
        <v>1996</v>
      </c>
      <c r="C110" s="196">
        <v>56.349153483208397</v>
      </c>
      <c r="D110" s="196">
        <v>2.6191189340164298</v>
      </c>
      <c r="E110" s="191" t="s">
        <v>537</v>
      </c>
    </row>
    <row r="111" spans="1:5">
      <c r="A111" s="193" t="s">
        <v>539</v>
      </c>
      <c r="B111" s="193">
        <v>1997</v>
      </c>
      <c r="C111" s="196">
        <v>58.458687595378201</v>
      </c>
      <c r="D111" s="196">
        <v>1.8395011245349899</v>
      </c>
      <c r="E111" s="191" t="s">
        <v>537</v>
      </c>
    </row>
    <row r="112" spans="1:5">
      <c r="A112" s="193" t="s">
        <v>539</v>
      </c>
      <c r="B112" s="193">
        <v>1998</v>
      </c>
      <c r="C112" s="196">
        <v>58.476507851674903</v>
      </c>
      <c r="D112" s="196">
        <v>3.5904975192021502</v>
      </c>
      <c r="E112" s="191" t="s">
        <v>537</v>
      </c>
    </row>
    <row r="113" spans="1:5">
      <c r="A113" s="193" t="s">
        <v>539</v>
      </c>
      <c r="B113" s="193">
        <v>1999</v>
      </c>
      <c r="C113" s="196">
        <v>59.589148344016301</v>
      </c>
      <c r="D113" s="196">
        <v>3.29256580997628</v>
      </c>
      <c r="E113" s="191" t="s">
        <v>537</v>
      </c>
    </row>
    <row r="114" spans="1:5">
      <c r="A114" s="193" t="s">
        <v>539</v>
      </c>
      <c r="B114" s="193">
        <v>2000</v>
      </c>
      <c r="C114" s="196">
        <v>58.163437399110499</v>
      </c>
      <c r="D114" s="196">
        <v>3.3667877593744202</v>
      </c>
      <c r="E114" s="191" t="s">
        <v>537</v>
      </c>
    </row>
    <row r="115" spans="1:5">
      <c r="A115" s="193" t="s">
        <v>539</v>
      </c>
      <c r="B115" s="193">
        <v>2001</v>
      </c>
      <c r="C115" s="196">
        <v>57.135798286109598</v>
      </c>
      <c r="D115" s="196">
        <v>0.81368612921288697</v>
      </c>
      <c r="E115" s="191" t="s">
        <v>537</v>
      </c>
    </row>
    <row r="116" spans="1:5">
      <c r="A116" s="193" t="s">
        <v>539</v>
      </c>
      <c r="B116" s="193">
        <v>2002</v>
      </c>
      <c r="C116" s="196">
        <v>56.6388543646732</v>
      </c>
      <c r="D116" s="196">
        <v>0.89279383611826602</v>
      </c>
      <c r="E116" s="191" t="s">
        <v>537</v>
      </c>
    </row>
    <row r="117" spans="1:5">
      <c r="A117" s="193" t="s">
        <v>539</v>
      </c>
      <c r="B117" s="193">
        <v>2003</v>
      </c>
      <c r="C117" s="196">
        <v>56.8190163993157</v>
      </c>
      <c r="D117" s="196">
        <v>1.17595385201019</v>
      </c>
      <c r="E117" s="191" t="s">
        <v>537</v>
      </c>
    </row>
    <row r="118" spans="1:5">
      <c r="A118" s="193" t="s">
        <v>539</v>
      </c>
      <c r="B118" s="193">
        <v>2004</v>
      </c>
      <c r="C118" s="196">
        <v>58.230876957840401</v>
      </c>
      <c r="D118" s="196">
        <v>2.3338330545313402</v>
      </c>
      <c r="E118" s="191" t="s">
        <v>537</v>
      </c>
    </row>
    <row r="119" spans="1:5">
      <c r="A119" s="193" t="s">
        <v>539</v>
      </c>
      <c r="B119" s="193">
        <v>2005</v>
      </c>
      <c r="C119" s="196">
        <v>58.020403555227098</v>
      </c>
      <c r="D119" s="196">
        <v>2.07358805396081</v>
      </c>
      <c r="E119" s="191" t="s">
        <v>537</v>
      </c>
    </row>
    <row r="120" spans="1:5">
      <c r="A120" s="193" t="s">
        <v>539</v>
      </c>
      <c r="B120" s="193">
        <v>2006</v>
      </c>
      <c r="C120" s="196">
        <v>56.708254932425596</v>
      </c>
      <c r="D120" s="196">
        <v>3.24668487928139</v>
      </c>
      <c r="E120" s="191" t="s">
        <v>537</v>
      </c>
    </row>
    <row r="121" spans="1:5">
      <c r="A121" s="193" t="s">
        <v>540</v>
      </c>
      <c r="B121" s="193">
        <v>1947</v>
      </c>
      <c r="C121" s="196">
        <v>98.642059671516293</v>
      </c>
      <c r="D121" s="196">
        <v>15.216302109895899</v>
      </c>
      <c r="E121" s="191" t="s">
        <v>535</v>
      </c>
    </row>
    <row r="122" spans="1:5">
      <c r="A122" s="193" t="s">
        <v>540</v>
      </c>
      <c r="B122" s="193">
        <v>1948</v>
      </c>
      <c r="C122" s="196">
        <v>74.240510823068604</v>
      </c>
      <c r="D122" s="196">
        <v>11.4405542270448</v>
      </c>
      <c r="E122" s="191" t="s">
        <v>538</v>
      </c>
    </row>
    <row r="123" spans="1:5">
      <c r="A123" s="193" t="s">
        <v>540</v>
      </c>
      <c r="B123" s="193">
        <v>1949</v>
      </c>
      <c r="C123" s="196">
        <v>78.254068488458003</v>
      </c>
      <c r="D123" s="196">
        <v>-1.3066289150527099</v>
      </c>
      <c r="E123" s="191" t="s">
        <v>538</v>
      </c>
    </row>
    <row r="124" spans="1:5">
      <c r="A124" s="193" t="s">
        <v>540</v>
      </c>
      <c r="B124" s="193">
        <v>1950</v>
      </c>
      <c r="C124" s="196">
        <v>73.6828782387758</v>
      </c>
      <c r="D124" s="196">
        <v>5.6413171212609203</v>
      </c>
      <c r="E124" s="191" t="s">
        <v>538</v>
      </c>
    </row>
    <row r="125" spans="1:5">
      <c r="A125" s="193" t="s">
        <v>540</v>
      </c>
      <c r="B125" s="193">
        <v>1951</v>
      </c>
      <c r="C125" s="196">
        <v>64.471669015544705</v>
      </c>
      <c r="D125" s="196">
        <v>7.0330626053679799</v>
      </c>
      <c r="E125" s="191" t="s">
        <v>538</v>
      </c>
    </row>
    <row r="126" spans="1:5">
      <c r="A126" s="193" t="s">
        <v>540</v>
      </c>
      <c r="B126" s="193">
        <v>1952</v>
      </c>
      <c r="C126" s="196">
        <v>66.253863539503797</v>
      </c>
      <c r="D126" s="196">
        <v>-0.429523563443024</v>
      </c>
      <c r="E126" s="191" t="s">
        <v>538</v>
      </c>
    </row>
    <row r="127" spans="1:5">
      <c r="A127" s="193" t="s">
        <v>540</v>
      </c>
      <c r="B127" s="193">
        <v>1953</v>
      </c>
      <c r="C127" s="196">
        <v>68.460094601256102</v>
      </c>
      <c r="D127" s="196">
        <v>2.9310774977337402</v>
      </c>
      <c r="E127" s="191" t="s">
        <v>538</v>
      </c>
    </row>
    <row r="128" spans="1:5">
      <c r="A128" s="193" t="s">
        <v>540</v>
      </c>
      <c r="B128" s="193">
        <v>1954</v>
      </c>
      <c r="C128" s="196">
        <v>69.861413809550996</v>
      </c>
      <c r="D128" s="196">
        <v>-1.2687253497462101</v>
      </c>
      <c r="E128" s="191" t="s">
        <v>538</v>
      </c>
    </row>
    <row r="129" spans="1:5">
      <c r="A129" s="193" t="s">
        <v>540</v>
      </c>
      <c r="B129" s="193">
        <v>1955</v>
      </c>
      <c r="C129" s="196">
        <v>68.624334910860995</v>
      </c>
      <c r="D129" s="196">
        <v>5.1495118189969</v>
      </c>
      <c r="E129" s="191" t="s">
        <v>538</v>
      </c>
    </row>
    <row r="130" spans="1:5">
      <c r="A130" s="193" t="s">
        <v>540</v>
      </c>
      <c r="B130" s="193">
        <v>1956</v>
      </c>
      <c r="C130" s="196">
        <v>65.889976732087803</v>
      </c>
      <c r="D130" s="196">
        <v>2.4321598311860502</v>
      </c>
      <c r="E130" s="191" t="s">
        <v>538</v>
      </c>
    </row>
    <row r="131" spans="1:5">
      <c r="A131" s="193" t="s">
        <v>540</v>
      </c>
      <c r="B131" s="193">
        <v>1957</v>
      </c>
      <c r="C131" s="196">
        <v>62.838307313098397</v>
      </c>
      <c r="D131" s="196">
        <v>3.0461368771075499</v>
      </c>
      <c r="E131" s="191" t="s">
        <v>538</v>
      </c>
    </row>
    <row r="132" spans="1:5">
      <c r="A132" s="193" t="s">
        <v>540</v>
      </c>
      <c r="B132" s="193">
        <v>1958</v>
      </c>
      <c r="C132" s="196">
        <v>67.168595020982593</v>
      </c>
      <c r="D132" s="196">
        <v>-1.49460344449001</v>
      </c>
      <c r="E132" s="191" t="s">
        <v>538</v>
      </c>
    </row>
    <row r="133" spans="1:5">
      <c r="A133" s="193" t="s">
        <v>540</v>
      </c>
      <c r="B133" s="193">
        <v>1959</v>
      </c>
      <c r="C133" s="196">
        <v>70.280214598995499</v>
      </c>
      <c r="D133" s="196">
        <v>2.58742235278915</v>
      </c>
      <c r="E133" s="191" t="s">
        <v>538</v>
      </c>
    </row>
    <row r="134" spans="1:5">
      <c r="A134" s="193" t="s">
        <v>540</v>
      </c>
      <c r="B134" s="193">
        <v>1960</v>
      </c>
      <c r="C134" s="196">
        <v>69.669191599903499</v>
      </c>
      <c r="D134" s="196">
        <v>6.4281620748630504</v>
      </c>
      <c r="E134" s="191" t="s">
        <v>538</v>
      </c>
    </row>
    <row r="135" spans="1:5">
      <c r="A135" s="193" t="s">
        <v>540</v>
      </c>
      <c r="B135" s="193">
        <v>1961</v>
      </c>
      <c r="C135" s="196">
        <v>67.975231038114998</v>
      </c>
      <c r="D135" s="196">
        <v>4.9635867212578297</v>
      </c>
      <c r="E135" s="191" t="s">
        <v>538</v>
      </c>
    </row>
    <row r="136" spans="1:5">
      <c r="A136" s="193" t="s">
        <v>540</v>
      </c>
      <c r="B136" s="193">
        <v>1962</v>
      </c>
      <c r="C136" s="196">
        <v>65.6615735000196</v>
      </c>
      <c r="D136" s="196">
        <v>4.6009621371026999</v>
      </c>
      <c r="E136" s="191" t="s">
        <v>538</v>
      </c>
    </row>
    <row r="137" spans="1:5">
      <c r="A137" s="193" t="s">
        <v>540</v>
      </c>
      <c r="B137" s="193">
        <v>1963</v>
      </c>
      <c r="C137" s="196">
        <v>63.850104255489299</v>
      </c>
      <c r="D137" s="196">
        <v>6.1846252660934198</v>
      </c>
      <c r="E137" s="191" t="s">
        <v>538</v>
      </c>
    </row>
    <row r="138" spans="1:5">
      <c r="A138" s="193" t="s">
        <v>540</v>
      </c>
      <c r="B138" s="193">
        <v>1964</v>
      </c>
      <c r="C138" s="196">
        <v>59.3687226097245</v>
      </c>
      <c r="D138" s="196">
        <v>7.1510436596956604</v>
      </c>
      <c r="E138" s="191" t="s">
        <v>537</v>
      </c>
    </row>
    <row r="139" spans="1:5">
      <c r="A139" s="193" t="s">
        <v>540</v>
      </c>
      <c r="B139" s="193">
        <v>1965</v>
      </c>
      <c r="C139" s="196">
        <v>57.698704729492498</v>
      </c>
      <c r="D139" s="196">
        <v>3.4424740643145699</v>
      </c>
      <c r="E139" s="191" t="s">
        <v>537</v>
      </c>
    </row>
    <row r="140" spans="1:5">
      <c r="A140" s="193" t="s">
        <v>540</v>
      </c>
      <c r="B140" s="193">
        <v>1966</v>
      </c>
      <c r="C140" s="196">
        <v>55.332604898258097</v>
      </c>
      <c r="D140" s="196">
        <v>3.7586734638934201</v>
      </c>
      <c r="E140" s="191" t="s">
        <v>537</v>
      </c>
    </row>
    <row r="141" spans="1:5">
      <c r="A141" s="193" t="s">
        <v>540</v>
      </c>
      <c r="B141" s="193">
        <v>1967</v>
      </c>
      <c r="C141" s="196">
        <v>54.076771501309999</v>
      </c>
      <c r="D141" s="196">
        <v>3.3451107385932501</v>
      </c>
      <c r="E141" s="191" t="s">
        <v>537</v>
      </c>
    </row>
    <row r="142" spans="1:5">
      <c r="A142" s="193" t="s">
        <v>540</v>
      </c>
      <c r="B142" s="193">
        <v>1968</v>
      </c>
      <c r="C142" s="196">
        <v>54.794020619100102</v>
      </c>
      <c r="D142" s="196">
        <v>5.2039910147866797</v>
      </c>
      <c r="E142" s="191" t="s">
        <v>537</v>
      </c>
    </row>
    <row r="143" spans="1:5">
      <c r="A143" s="193" t="s">
        <v>540</v>
      </c>
      <c r="B143" s="193">
        <v>1969</v>
      </c>
      <c r="C143" s="196">
        <v>52.217864069399198</v>
      </c>
      <c r="D143" s="196">
        <v>7.5291207136430396</v>
      </c>
      <c r="E143" s="191" t="s">
        <v>537</v>
      </c>
    </row>
    <row r="144" spans="1:5">
      <c r="A144" s="193" t="s">
        <v>540</v>
      </c>
      <c r="B144" s="193">
        <v>1970</v>
      </c>
      <c r="C144" s="196">
        <v>48.327892238895998</v>
      </c>
      <c r="D144" s="196">
        <v>5.09117765248648</v>
      </c>
      <c r="E144" s="191" t="s">
        <v>537</v>
      </c>
    </row>
    <row r="145" spans="1:5">
      <c r="A145" s="193" t="s">
        <v>540</v>
      </c>
      <c r="B145" s="193">
        <v>1971</v>
      </c>
      <c r="C145" s="196">
        <v>45.483162802896899</v>
      </c>
      <c r="D145" s="196">
        <v>4.9097583669177203</v>
      </c>
      <c r="E145" s="191" t="s">
        <v>537</v>
      </c>
    </row>
    <row r="146" spans="1:5">
      <c r="A146" s="193" t="s">
        <v>540</v>
      </c>
      <c r="B146" s="193">
        <v>1972</v>
      </c>
      <c r="C146" s="196">
        <v>44.809805427224099</v>
      </c>
      <c r="D146" s="196">
        <v>6.3275475429018098</v>
      </c>
      <c r="E146" s="191" t="s">
        <v>537</v>
      </c>
    </row>
    <row r="147" spans="1:5">
      <c r="A147" s="193" t="s">
        <v>540</v>
      </c>
      <c r="B147" s="193">
        <v>1973</v>
      </c>
      <c r="C147" s="196">
        <v>42.1708778814453</v>
      </c>
      <c r="D147" s="196">
        <v>7.4020976038171797</v>
      </c>
      <c r="E147" s="191" t="s">
        <v>537</v>
      </c>
    </row>
    <row r="148" spans="1:5">
      <c r="A148" s="193" t="s">
        <v>540</v>
      </c>
      <c r="B148" s="193">
        <v>1974</v>
      </c>
      <c r="C148" s="196">
        <v>38.682665813751697</v>
      </c>
      <c r="D148" s="196">
        <v>3.1286926610649699</v>
      </c>
      <c r="E148" s="191" t="s">
        <v>537</v>
      </c>
    </row>
    <row r="149" spans="1:5">
      <c r="A149" s="193" t="s">
        <v>540</v>
      </c>
      <c r="B149" s="193">
        <v>1975</v>
      </c>
      <c r="C149" s="196">
        <v>39.633803165543497</v>
      </c>
      <c r="D149" s="196">
        <v>-2.89670245254842</v>
      </c>
      <c r="E149" s="191" t="s">
        <v>537</v>
      </c>
    </row>
    <row r="150" spans="1:5">
      <c r="A150" s="193" t="s">
        <v>540</v>
      </c>
      <c r="B150" s="193">
        <v>1976</v>
      </c>
      <c r="C150" s="196">
        <v>39.384231084809301</v>
      </c>
      <c r="D150" s="196">
        <v>5.71506251165117</v>
      </c>
      <c r="E150" s="191" t="s">
        <v>537</v>
      </c>
    </row>
    <row r="151" spans="1:5">
      <c r="A151" s="193" t="s">
        <v>540</v>
      </c>
      <c r="B151" s="193">
        <v>1977</v>
      </c>
      <c r="C151" s="196">
        <v>42.209039364269799</v>
      </c>
      <c r="D151" s="196">
        <v>1.11662664694456</v>
      </c>
      <c r="E151" s="191" t="s">
        <v>537</v>
      </c>
    </row>
    <row r="152" spans="1:5">
      <c r="A152" s="193" t="s">
        <v>540</v>
      </c>
      <c r="B152" s="193">
        <v>1978</v>
      </c>
      <c r="C152" s="196">
        <v>45.534303736471401</v>
      </c>
      <c r="D152" s="196">
        <v>3.0823595623346001</v>
      </c>
      <c r="E152" s="191" t="s">
        <v>537</v>
      </c>
    </row>
    <row r="153" spans="1:5">
      <c r="A153" s="193" t="s">
        <v>540</v>
      </c>
      <c r="B153" s="193">
        <v>1979</v>
      </c>
      <c r="C153" s="196">
        <v>49.233083362050998</v>
      </c>
      <c r="D153" s="196">
        <v>2.9432527621352298</v>
      </c>
      <c r="E153" s="191" t="s">
        <v>537</v>
      </c>
    </row>
    <row r="154" spans="1:5">
      <c r="A154" s="193" t="s">
        <v>540</v>
      </c>
      <c r="B154" s="193">
        <v>1980</v>
      </c>
      <c r="C154" s="196">
        <v>55.245145492853503</v>
      </c>
      <c r="D154" s="196">
        <v>4.0078409278248497</v>
      </c>
      <c r="E154" s="191" t="s">
        <v>537</v>
      </c>
    </row>
    <row r="155" spans="1:5">
      <c r="A155" s="193" t="s">
        <v>540</v>
      </c>
      <c r="B155" s="193">
        <v>1981</v>
      </c>
      <c r="C155" s="196">
        <v>65.401505646173106</v>
      </c>
      <c r="D155" s="196">
        <v>0.14606595689430299</v>
      </c>
      <c r="E155" s="191" t="s">
        <v>538</v>
      </c>
    </row>
    <row r="156" spans="1:5">
      <c r="A156" s="193" t="s">
        <v>540</v>
      </c>
      <c r="B156" s="193">
        <v>1982</v>
      </c>
      <c r="C156" s="196">
        <v>76.446714715555203</v>
      </c>
      <c r="D156" s="196">
        <v>0.58071068183536101</v>
      </c>
      <c r="E156" s="191" t="s">
        <v>538</v>
      </c>
    </row>
    <row r="157" spans="1:5">
      <c r="A157" s="193" t="s">
        <v>540</v>
      </c>
      <c r="B157" s="193">
        <v>1983</v>
      </c>
      <c r="C157" s="196">
        <v>86.851087099998097</v>
      </c>
      <c r="D157" s="196">
        <v>0.39743706798858203</v>
      </c>
      <c r="E157" s="191" t="s">
        <v>538</v>
      </c>
    </row>
    <row r="158" spans="1:5">
      <c r="A158" s="193" t="s">
        <v>540</v>
      </c>
      <c r="B158" s="193">
        <v>1984</v>
      </c>
      <c r="C158" s="196">
        <v>92.555985502425003</v>
      </c>
      <c r="D158" s="196">
        <v>2.10182257814298</v>
      </c>
      <c r="E158" s="191" t="s">
        <v>535</v>
      </c>
    </row>
    <row r="159" spans="1:5">
      <c r="A159" s="193" t="s">
        <v>540</v>
      </c>
      <c r="B159" s="193">
        <v>1985</v>
      </c>
      <c r="C159" s="196">
        <v>100.131504327314</v>
      </c>
      <c r="D159" s="196">
        <v>1.8474080749441899</v>
      </c>
      <c r="E159" s="191" t="s">
        <v>535</v>
      </c>
    </row>
    <row r="160" spans="1:5">
      <c r="A160" s="193" t="s">
        <v>540</v>
      </c>
      <c r="B160" s="193">
        <v>1986</v>
      </c>
      <c r="C160" s="196">
        <v>105.440985987361</v>
      </c>
      <c r="D160" s="196">
        <v>1.8535094758935799</v>
      </c>
      <c r="E160" s="191" t="s">
        <v>535</v>
      </c>
    </row>
    <row r="161" spans="1:23">
      <c r="A161" s="193" t="s">
        <v>540</v>
      </c>
      <c r="B161" s="193">
        <v>1987</v>
      </c>
      <c r="C161" s="196">
        <v>109.76429960942799</v>
      </c>
      <c r="D161" s="196">
        <v>2.3733402023324199</v>
      </c>
      <c r="E161" s="191" t="s">
        <v>535</v>
      </c>
    </row>
    <row r="162" spans="1:23">
      <c r="A162" s="193" t="s">
        <v>540</v>
      </c>
      <c r="B162" s="193">
        <v>1988</v>
      </c>
      <c r="C162" s="196">
        <v>111.297254193512</v>
      </c>
      <c r="D162" s="196">
        <v>4.5655927771473603</v>
      </c>
      <c r="E162" s="191" t="s">
        <v>535</v>
      </c>
    </row>
    <row r="163" spans="1:23">
      <c r="A163" s="193" t="s">
        <v>540</v>
      </c>
      <c r="B163" s="193">
        <v>1989</v>
      </c>
      <c r="C163" s="196">
        <v>109.34900707007699</v>
      </c>
      <c r="D163" s="196">
        <v>3.6179368134979102</v>
      </c>
      <c r="E163" s="191" t="s">
        <v>535</v>
      </c>
    </row>
    <row r="164" spans="1:23">
      <c r="A164" s="193" t="s">
        <v>540</v>
      </c>
      <c r="B164" s="193">
        <v>1990</v>
      </c>
      <c r="C164" s="196">
        <v>109.82982246343499</v>
      </c>
      <c r="D164" s="196">
        <v>3.0899950822359501</v>
      </c>
      <c r="E164" s="191" t="s">
        <v>535</v>
      </c>
    </row>
    <row r="165" spans="1:23">
      <c r="A165" s="193" t="s">
        <v>540</v>
      </c>
      <c r="B165" s="193">
        <v>1991</v>
      </c>
      <c r="C165" s="196">
        <v>112.519764350382</v>
      </c>
      <c r="D165" s="196">
        <v>1.8003692612125599</v>
      </c>
      <c r="E165" s="191" t="s">
        <v>535</v>
      </c>
    </row>
    <row r="166" spans="1:23">
      <c r="A166" s="193" t="s">
        <v>540</v>
      </c>
      <c r="B166" s="193">
        <v>1992</v>
      </c>
      <c r="C166" s="196">
        <v>114.815125252153</v>
      </c>
      <c r="D166" s="196">
        <v>1.3316035648272699</v>
      </c>
      <c r="E166" s="191" t="s">
        <v>535</v>
      </c>
    </row>
    <row r="167" spans="1:23">
      <c r="A167" s="193" t="s">
        <v>540</v>
      </c>
      <c r="B167" s="193">
        <v>1993</v>
      </c>
      <c r="C167" s="196">
        <v>121.692222787331</v>
      </c>
      <c r="D167" s="196">
        <v>-0.69237784904706601</v>
      </c>
      <c r="E167" s="191" t="s">
        <v>535</v>
      </c>
      <c r="W167" s="191"/>
    </row>
    <row r="168" spans="1:23">
      <c r="A168" s="193" t="s">
        <v>540</v>
      </c>
      <c r="B168" s="193">
        <v>1994</v>
      </c>
      <c r="C168" s="196">
        <v>118.74486905837</v>
      </c>
      <c r="D168" s="196">
        <v>3.2915671377939502</v>
      </c>
      <c r="E168" s="191" t="s">
        <v>535</v>
      </c>
      <c r="W168" s="191"/>
    </row>
    <row r="169" spans="1:23">
      <c r="A169" s="193" t="s">
        <v>540</v>
      </c>
      <c r="B169" s="193">
        <v>1995</v>
      </c>
      <c r="C169" s="196">
        <v>117.027231879678</v>
      </c>
      <c r="D169" s="196">
        <v>4.2774252796793997</v>
      </c>
      <c r="E169" s="191" t="s">
        <v>535</v>
      </c>
      <c r="W169" s="191"/>
    </row>
    <row r="170" spans="1:23">
      <c r="A170" s="193" t="s">
        <v>540</v>
      </c>
      <c r="B170" s="193">
        <v>1996</v>
      </c>
      <c r="C170" s="196">
        <v>112.84012396576701</v>
      </c>
      <c r="D170" s="196">
        <v>0.89028730179698801</v>
      </c>
      <c r="E170" s="191" t="s">
        <v>535</v>
      </c>
      <c r="W170" s="191"/>
    </row>
    <row r="171" spans="1:23">
      <c r="A171" s="193" t="s">
        <v>540</v>
      </c>
      <c r="B171" s="193">
        <v>1997</v>
      </c>
      <c r="C171" s="196">
        <v>109.890462606746</v>
      </c>
      <c r="D171" s="196">
        <v>3.6872448230574899</v>
      </c>
      <c r="E171" s="191" t="s">
        <v>535</v>
      </c>
      <c r="W171" s="191"/>
    </row>
    <row r="172" spans="1:23">
      <c r="A172" s="193" t="s">
        <v>540</v>
      </c>
      <c r="B172" s="193">
        <v>1998</v>
      </c>
      <c r="C172" s="196">
        <v>105.341932449616</v>
      </c>
      <c r="D172" s="196">
        <v>1.73003627680581</v>
      </c>
      <c r="E172" s="191" t="s">
        <v>535</v>
      </c>
      <c r="W172" s="191"/>
    </row>
    <row r="173" spans="1:23">
      <c r="A173" s="193" t="s">
        <v>540</v>
      </c>
      <c r="B173" s="193">
        <v>1999</v>
      </c>
      <c r="C173" s="196">
        <v>103.64025066361999</v>
      </c>
      <c r="D173" s="196">
        <v>3.3797889747785299</v>
      </c>
      <c r="E173" s="191" t="s">
        <v>535</v>
      </c>
      <c r="W173" s="191"/>
    </row>
    <row r="174" spans="1:23">
      <c r="A174" s="193" t="s">
        <v>540</v>
      </c>
      <c r="B174" s="193">
        <v>2000</v>
      </c>
      <c r="C174" s="196">
        <v>99.724731285302298</v>
      </c>
      <c r="D174" s="196">
        <v>3.7958010406432998</v>
      </c>
      <c r="E174" s="191" t="s">
        <v>535</v>
      </c>
      <c r="W174" s="191"/>
    </row>
    <row r="175" spans="1:23">
      <c r="A175" s="193" t="s">
        <v>540</v>
      </c>
      <c r="B175" s="193">
        <v>2001</v>
      </c>
      <c r="C175" s="196">
        <v>99.332156527986498</v>
      </c>
      <c r="D175" s="196">
        <v>0.76526140881014704</v>
      </c>
      <c r="E175" s="191" t="s">
        <v>535</v>
      </c>
      <c r="W175" s="191"/>
    </row>
    <row r="176" spans="1:23">
      <c r="A176" s="193" t="s">
        <v>540</v>
      </c>
      <c r="B176" s="193">
        <v>2002</v>
      </c>
      <c r="C176" s="196">
        <v>98.186513007929605</v>
      </c>
      <c r="D176" s="196">
        <v>1.49489467550314</v>
      </c>
      <c r="E176" s="191" t="s">
        <v>535</v>
      </c>
      <c r="W176" s="191"/>
    </row>
    <row r="177" spans="1:23">
      <c r="A177" s="193" t="s">
        <v>540</v>
      </c>
      <c r="B177" s="193">
        <v>2003</v>
      </c>
      <c r="C177" s="196">
        <v>95.734481578813302</v>
      </c>
      <c r="D177" s="196">
        <v>1.0132240129977901</v>
      </c>
      <c r="E177" s="191" t="s">
        <v>535</v>
      </c>
      <c r="W177" s="191"/>
    </row>
    <row r="178" spans="1:23">
      <c r="A178" s="193" t="s">
        <v>540</v>
      </c>
      <c r="B178" s="193">
        <v>2004</v>
      </c>
      <c r="C178" s="196">
        <v>93.349803978560502</v>
      </c>
      <c r="D178" s="196">
        <v>2.7825095521516898</v>
      </c>
      <c r="E178" s="191" t="s">
        <v>535</v>
      </c>
      <c r="W178" s="191"/>
    </row>
    <row r="179" spans="1:23">
      <c r="A179" s="193" t="s">
        <v>540</v>
      </c>
      <c r="B179" s="193">
        <v>2005</v>
      </c>
      <c r="C179" s="196">
        <v>91.841253056638706</v>
      </c>
      <c r="D179" s="196">
        <v>2.1703675824865201</v>
      </c>
      <c r="E179" s="191" t="s">
        <v>535</v>
      </c>
      <c r="W179" s="191"/>
    </row>
    <row r="180" spans="1:23">
      <c r="A180" s="193" t="s">
        <v>540</v>
      </c>
      <c r="B180" s="193">
        <v>2006</v>
      </c>
      <c r="C180" s="196">
        <v>87.389390940486805</v>
      </c>
      <c r="D180" s="196">
        <v>3.0151354565194999</v>
      </c>
      <c r="E180" s="191" t="s">
        <v>538</v>
      </c>
      <c r="W180" s="191"/>
    </row>
    <row r="181" spans="1:23">
      <c r="A181" s="193" t="s">
        <v>540</v>
      </c>
      <c r="B181" s="193">
        <v>2007</v>
      </c>
      <c r="C181" s="196">
        <v>85.341383449486699</v>
      </c>
      <c r="D181" s="196">
        <v>2.59878357480952</v>
      </c>
      <c r="E181" s="191" t="s">
        <v>538</v>
      </c>
      <c r="W181" s="191"/>
    </row>
    <row r="182" spans="1:23">
      <c r="A182" s="193" t="s">
        <v>540</v>
      </c>
      <c r="B182" s="193">
        <v>2008</v>
      </c>
      <c r="C182" s="196">
        <v>90.373058169860499</v>
      </c>
      <c r="D182" s="196">
        <v>0.96915814704299197</v>
      </c>
      <c r="E182" s="191" t="s">
        <v>535</v>
      </c>
      <c r="W182" s="191"/>
    </row>
    <row r="183" spans="1:23">
      <c r="A183" s="193" t="s">
        <v>540</v>
      </c>
      <c r="B183" s="193">
        <v>2009</v>
      </c>
      <c r="C183" s="196">
        <v>96.610996702655697</v>
      </c>
      <c r="D183" s="196">
        <v>-3.18236045758165</v>
      </c>
      <c r="E183" s="191" t="s">
        <v>535</v>
      </c>
      <c r="W183" s="191"/>
    </row>
    <row r="184" spans="1:23" s="191" customFormat="1">
      <c r="A184" s="193" t="s">
        <v>541</v>
      </c>
      <c r="B184" s="193">
        <v>1951</v>
      </c>
      <c r="C184" s="196">
        <v>89.091393551825206</v>
      </c>
      <c r="D184" s="196">
        <v>5.6732312752045804</v>
      </c>
      <c r="E184" s="191" t="s">
        <v>538</v>
      </c>
      <c r="G184" s="193"/>
      <c r="H184" s="193"/>
      <c r="I184" s="193"/>
      <c r="J184" s="193"/>
      <c r="K184" s="193"/>
      <c r="L184" s="193"/>
      <c r="M184" s="193"/>
      <c r="N184" s="193"/>
      <c r="O184" s="193"/>
      <c r="P184" s="193"/>
      <c r="Q184" s="193"/>
      <c r="R184" s="193"/>
      <c r="S184" s="193"/>
      <c r="T184" s="193"/>
      <c r="U184" s="193"/>
      <c r="V184" s="193"/>
    </row>
    <row r="185" spans="1:23" s="191" customFormat="1">
      <c r="A185" s="193" t="s">
        <v>541</v>
      </c>
      <c r="B185" s="193">
        <v>1952</v>
      </c>
      <c r="C185" s="196">
        <v>81.125795871117106</v>
      </c>
      <c r="D185" s="196">
        <v>7.27676917376807</v>
      </c>
      <c r="E185" s="191" t="s">
        <v>538</v>
      </c>
      <c r="G185" s="193"/>
      <c r="H185" s="193"/>
      <c r="I185" s="193"/>
      <c r="J185" s="193"/>
      <c r="K185" s="193"/>
      <c r="L185" s="193"/>
      <c r="M185" s="193"/>
      <c r="N185" s="193"/>
      <c r="O185" s="193"/>
      <c r="P185" s="193"/>
      <c r="Q185" s="193"/>
      <c r="R185" s="193"/>
      <c r="S185" s="193"/>
      <c r="T185" s="193"/>
      <c r="U185" s="193"/>
      <c r="V185" s="193"/>
    </row>
    <row r="186" spans="1:23" s="191" customFormat="1">
      <c r="A186" s="193" t="s">
        <v>541</v>
      </c>
      <c r="B186" s="193">
        <v>1953</v>
      </c>
      <c r="C186" s="196">
        <v>82.601246847189799</v>
      </c>
      <c r="D186" s="196">
        <v>4.6729294743386198</v>
      </c>
      <c r="E186" s="191" t="s">
        <v>538</v>
      </c>
      <c r="G186" s="193"/>
      <c r="H186" s="193"/>
      <c r="I186" s="193"/>
      <c r="J186" s="193"/>
      <c r="K186" s="193"/>
      <c r="L186" s="193"/>
      <c r="M186" s="193"/>
      <c r="N186" s="193"/>
      <c r="O186" s="193"/>
      <c r="P186" s="193"/>
      <c r="Q186" s="193"/>
      <c r="R186" s="193"/>
      <c r="S186" s="193"/>
      <c r="T186" s="193"/>
      <c r="U186" s="193"/>
      <c r="V186" s="193"/>
    </row>
    <row r="187" spans="1:23" s="191" customFormat="1">
      <c r="A187" s="193" t="s">
        <v>541</v>
      </c>
      <c r="B187" s="193">
        <v>1954</v>
      </c>
      <c r="C187" s="196">
        <v>77.012149655686699</v>
      </c>
      <c r="D187" s="196">
        <v>-0.69125944501270398</v>
      </c>
      <c r="E187" s="191" t="s">
        <v>538</v>
      </c>
      <c r="G187" s="193"/>
      <c r="H187" s="193"/>
      <c r="I187" s="193"/>
      <c r="J187" s="193"/>
      <c r="K187" s="193"/>
      <c r="L187" s="193"/>
      <c r="M187" s="193"/>
      <c r="N187" s="193"/>
      <c r="O187" s="193"/>
      <c r="P187" s="193"/>
      <c r="Q187" s="193"/>
      <c r="R187" s="193"/>
      <c r="S187" s="193"/>
      <c r="T187" s="193"/>
      <c r="U187" s="193"/>
      <c r="V187" s="193"/>
    </row>
    <row r="188" spans="1:23" s="191" customFormat="1">
      <c r="A188" s="193" t="s">
        <v>541</v>
      </c>
      <c r="B188" s="193">
        <v>1955</v>
      </c>
      <c r="C188" s="196">
        <v>72.332976357195804</v>
      </c>
      <c r="D188" s="196">
        <v>9.3388155162389008</v>
      </c>
      <c r="E188" s="191" t="s">
        <v>538</v>
      </c>
      <c r="G188" s="193"/>
      <c r="H188" s="193"/>
      <c r="I188" s="193"/>
      <c r="J188" s="193"/>
      <c r="K188" s="193"/>
      <c r="L188" s="193"/>
      <c r="M188" s="193"/>
      <c r="N188" s="193"/>
      <c r="O188" s="193"/>
      <c r="P188" s="193"/>
      <c r="Q188" s="193"/>
      <c r="R188" s="193"/>
      <c r="S188" s="193"/>
      <c r="T188" s="193"/>
      <c r="U188" s="193"/>
      <c r="V188" s="193"/>
    </row>
    <row r="189" spans="1:23" s="191" customFormat="1">
      <c r="A189" s="193" t="s">
        <v>541</v>
      </c>
      <c r="B189" s="193">
        <v>1956</v>
      </c>
      <c r="C189" s="196">
        <v>68.086810865923795</v>
      </c>
      <c r="D189" s="196">
        <v>8.0899166622351508</v>
      </c>
      <c r="E189" s="191" t="s">
        <v>538</v>
      </c>
      <c r="G189" s="193"/>
      <c r="H189" s="193"/>
      <c r="I189" s="193"/>
      <c r="J189" s="193"/>
      <c r="K189" s="193"/>
      <c r="L189" s="193"/>
      <c r="M189" s="193"/>
      <c r="N189" s="193"/>
      <c r="O189" s="193"/>
      <c r="P189" s="193"/>
      <c r="Q189" s="193"/>
      <c r="R189" s="193"/>
      <c r="S189" s="193"/>
      <c r="T189" s="193"/>
      <c r="U189" s="193"/>
      <c r="V189" s="193"/>
    </row>
    <row r="190" spans="1:23" s="191" customFormat="1">
      <c r="A190" s="193" t="s">
        <v>541</v>
      </c>
      <c r="B190" s="193">
        <v>1957</v>
      </c>
      <c r="C190" s="196">
        <v>61.412746170678297</v>
      </c>
      <c r="D190" s="196">
        <v>2.8956579187810099</v>
      </c>
      <c r="E190" s="191" t="s">
        <v>538</v>
      </c>
      <c r="G190" s="193"/>
      <c r="H190" s="193"/>
      <c r="I190" s="193"/>
      <c r="J190" s="193"/>
      <c r="K190" s="193"/>
      <c r="L190" s="193"/>
      <c r="M190" s="193"/>
      <c r="N190" s="193"/>
      <c r="O190" s="193"/>
      <c r="P190" s="193"/>
      <c r="Q190" s="193"/>
      <c r="R190" s="193"/>
      <c r="S190" s="193"/>
      <c r="T190" s="193"/>
      <c r="U190" s="193"/>
      <c r="V190" s="193"/>
    </row>
    <row r="191" spans="1:23" s="191" customFormat="1">
      <c r="A191" s="193" t="s">
        <v>541</v>
      </c>
      <c r="B191" s="193">
        <v>1958</v>
      </c>
      <c r="C191" s="196">
        <v>61.731776628890302</v>
      </c>
      <c r="D191" s="196">
        <v>1.78890998756847</v>
      </c>
      <c r="E191" s="191" t="s">
        <v>538</v>
      </c>
      <c r="G191" s="193"/>
      <c r="H191" s="193"/>
      <c r="I191" s="193"/>
      <c r="J191" s="193"/>
      <c r="K191" s="193"/>
      <c r="L191" s="193"/>
      <c r="M191" s="193"/>
      <c r="N191" s="193"/>
      <c r="O191" s="193"/>
      <c r="P191" s="193"/>
      <c r="Q191" s="193"/>
      <c r="R191" s="193"/>
      <c r="S191" s="193"/>
      <c r="T191" s="193"/>
      <c r="U191" s="193"/>
      <c r="V191" s="193"/>
    </row>
    <row r="192" spans="1:23" s="191" customFormat="1">
      <c r="A192" s="193" t="s">
        <v>541</v>
      </c>
      <c r="B192" s="193">
        <v>1959</v>
      </c>
      <c r="C192" s="196">
        <v>63.660443181083998</v>
      </c>
      <c r="D192" s="196">
        <v>4.0537910764254699</v>
      </c>
      <c r="E192" s="191" t="s">
        <v>538</v>
      </c>
      <c r="G192" s="193"/>
      <c r="H192" s="193"/>
      <c r="I192" s="193"/>
      <c r="J192" s="193"/>
      <c r="K192" s="193"/>
      <c r="L192" s="193"/>
      <c r="M192" s="193"/>
      <c r="N192" s="193"/>
      <c r="O192" s="193"/>
      <c r="P192" s="193"/>
      <c r="Q192" s="193"/>
      <c r="R192" s="193"/>
      <c r="S192" s="193"/>
      <c r="T192" s="193"/>
      <c r="U192" s="193"/>
      <c r="V192" s="193"/>
    </row>
    <row r="193" spans="1:22" s="191" customFormat="1">
      <c r="A193" s="193" t="s">
        <v>541</v>
      </c>
      <c r="B193" s="193">
        <v>1960</v>
      </c>
      <c r="C193" s="196">
        <v>61.706697319862101</v>
      </c>
      <c r="D193" s="196">
        <v>3.10714423907856</v>
      </c>
      <c r="E193" s="191" t="s">
        <v>538</v>
      </c>
      <c r="G193" s="193"/>
      <c r="H193" s="193"/>
      <c r="I193" s="193"/>
      <c r="J193" s="193"/>
      <c r="K193" s="193"/>
      <c r="L193" s="193"/>
      <c r="M193" s="193"/>
      <c r="N193" s="193"/>
      <c r="O193" s="193"/>
      <c r="P193" s="193"/>
      <c r="Q193" s="193"/>
      <c r="R193" s="193"/>
      <c r="S193" s="193"/>
      <c r="T193" s="193"/>
      <c r="U193" s="193"/>
      <c r="V193" s="193"/>
    </row>
    <row r="194" spans="1:22" s="191" customFormat="1">
      <c r="A194" s="193" t="s">
        <v>541</v>
      </c>
      <c r="B194" s="193">
        <v>1961</v>
      </c>
      <c r="C194" s="196">
        <v>53.163460313415698</v>
      </c>
      <c r="D194" s="196">
        <v>2.9509632224168101</v>
      </c>
      <c r="E194" s="191" t="s">
        <v>537</v>
      </c>
      <c r="G194" s="193"/>
      <c r="H194" s="193"/>
      <c r="I194" s="193"/>
      <c r="J194" s="193"/>
      <c r="K194" s="193"/>
      <c r="L194" s="193"/>
      <c r="M194" s="193"/>
      <c r="N194" s="193"/>
      <c r="O194" s="193"/>
      <c r="P194" s="193"/>
      <c r="Q194" s="193"/>
      <c r="R194" s="193"/>
      <c r="S194" s="193"/>
      <c r="T194" s="193"/>
      <c r="U194" s="193"/>
      <c r="V194" s="193"/>
    </row>
    <row r="195" spans="1:22" s="191" customFormat="1">
      <c r="A195" s="193" t="s">
        <v>541</v>
      </c>
      <c r="B195" s="193">
        <v>1962</v>
      </c>
      <c r="C195" s="196">
        <v>53.847972573590297</v>
      </c>
      <c r="D195" s="196">
        <v>7.0061604636751298</v>
      </c>
      <c r="E195" s="191" t="s">
        <v>537</v>
      </c>
      <c r="G195" s="193"/>
      <c r="H195" s="193"/>
      <c r="I195" s="193"/>
      <c r="J195" s="193"/>
      <c r="K195" s="193"/>
      <c r="L195" s="193"/>
      <c r="M195" s="193"/>
      <c r="N195" s="193"/>
      <c r="O195" s="193"/>
      <c r="P195" s="193"/>
      <c r="Q195" s="193"/>
      <c r="R195" s="193"/>
      <c r="S195" s="193"/>
      <c r="T195" s="193"/>
      <c r="U195" s="193"/>
      <c r="V195" s="193"/>
    </row>
    <row r="196" spans="1:22" s="191" customFormat="1">
      <c r="A196" s="193" t="s">
        <v>541</v>
      </c>
      <c r="B196" s="193">
        <v>1963</v>
      </c>
      <c r="C196" s="196">
        <v>53.643152799982502</v>
      </c>
      <c r="D196" s="196">
        <v>5.0593311758360304</v>
      </c>
      <c r="E196" s="191" t="s">
        <v>537</v>
      </c>
      <c r="G196" s="193"/>
      <c r="H196" s="193"/>
      <c r="I196" s="193"/>
      <c r="J196" s="193"/>
      <c r="K196" s="193"/>
      <c r="L196" s="193"/>
      <c r="M196" s="193"/>
      <c r="N196" s="193"/>
      <c r="O196" s="193"/>
      <c r="P196" s="193"/>
      <c r="Q196" s="193"/>
      <c r="R196" s="193"/>
      <c r="S196" s="193"/>
      <c r="T196" s="193"/>
      <c r="U196" s="193"/>
      <c r="V196" s="193"/>
    </row>
    <row r="197" spans="1:22" s="191" customFormat="1">
      <c r="A197" s="193" t="s">
        <v>541</v>
      </c>
      <c r="B197" s="193">
        <v>1964</v>
      </c>
      <c r="C197" s="196">
        <v>52.076131441967703</v>
      </c>
      <c r="D197" s="196">
        <v>6.5158532433352603</v>
      </c>
      <c r="E197" s="191" t="s">
        <v>537</v>
      </c>
      <c r="G197" s="193"/>
      <c r="H197" s="193"/>
      <c r="I197" s="193"/>
      <c r="J197" s="193"/>
      <c r="K197" s="193"/>
      <c r="L197" s="193"/>
      <c r="M197" s="193"/>
      <c r="N197" s="193"/>
      <c r="O197" s="193"/>
      <c r="P197" s="193"/>
      <c r="Q197" s="193"/>
      <c r="R197" s="193"/>
      <c r="S197" s="193"/>
      <c r="T197" s="193"/>
      <c r="U197" s="193"/>
      <c r="V197" s="193"/>
    </row>
    <row r="198" spans="1:22" s="191" customFormat="1">
      <c r="A198" s="193" t="s">
        <v>541</v>
      </c>
      <c r="B198" s="193">
        <v>1965</v>
      </c>
      <c r="C198" s="196">
        <v>48.072651715984797</v>
      </c>
      <c r="D198" s="196">
        <v>6.6489766512090496</v>
      </c>
      <c r="E198" s="191" t="s">
        <v>537</v>
      </c>
      <c r="G198" s="193"/>
      <c r="H198" s="193"/>
      <c r="I198" s="193"/>
      <c r="J198" s="193"/>
      <c r="K198" s="193"/>
      <c r="L198" s="193"/>
      <c r="M198" s="193"/>
      <c r="N198" s="193"/>
      <c r="O198" s="193"/>
      <c r="P198" s="193"/>
      <c r="Q198" s="193"/>
      <c r="R198" s="193"/>
      <c r="S198" s="193"/>
      <c r="T198" s="193"/>
      <c r="U198" s="193"/>
      <c r="V198" s="193"/>
    </row>
    <row r="199" spans="1:22" s="191" customFormat="1">
      <c r="A199" s="193" t="s">
        <v>541</v>
      </c>
      <c r="B199" s="193">
        <v>1966</v>
      </c>
      <c r="C199" s="196">
        <v>50.8310579266617</v>
      </c>
      <c r="D199" s="196">
        <v>6.4837323920210501</v>
      </c>
      <c r="E199" s="191" t="s">
        <v>537</v>
      </c>
      <c r="G199" s="193"/>
      <c r="H199" s="193"/>
      <c r="I199" s="193"/>
      <c r="J199" s="193"/>
      <c r="K199" s="193"/>
      <c r="L199" s="193"/>
      <c r="M199" s="193"/>
      <c r="N199" s="193"/>
      <c r="O199" s="193"/>
      <c r="P199" s="193"/>
      <c r="Q199" s="193"/>
      <c r="R199" s="193"/>
      <c r="S199" s="193"/>
      <c r="T199" s="193"/>
      <c r="U199" s="193"/>
      <c r="V199" s="193"/>
    </row>
    <row r="200" spans="1:22" s="191" customFormat="1">
      <c r="A200" s="193" t="s">
        <v>541</v>
      </c>
      <c r="B200" s="193">
        <v>1967</v>
      </c>
      <c r="C200" s="196">
        <v>49.989949748743697</v>
      </c>
      <c r="D200" s="196">
        <v>3.0446942349619399</v>
      </c>
      <c r="E200" s="191" t="s">
        <v>537</v>
      </c>
      <c r="G200" s="193"/>
      <c r="H200" s="193"/>
      <c r="I200" s="193"/>
      <c r="J200" s="193"/>
      <c r="K200" s="193"/>
      <c r="L200" s="193"/>
      <c r="M200" s="193"/>
      <c r="N200" s="193"/>
      <c r="O200" s="193"/>
      <c r="P200" s="193"/>
      <c r="Q200" s="193"/>
      <c r="R200" s="193"/>
      <c r="S200" s="193"/>
      <c r="T200" s="193"/>
      <c r="U200" s="193"/>
      <c r="V200" s="193"/>
    </row>
    <row r="201" spans="1:22" s="191" customFormat="1">
      <c r="A201" s="193" t="s">
        <v>541</v>
      </c>
      <c r="B201" s="193">
        <v>1968</v>
      </c>
      <c r="C201" s="196">
        <v>50.208627450980401</v>
      </c>
      <c r="D201" s="196">
        <v>5.2270352530056696</v>
      </c>
      <c r="E201" s="191" t="s">
        <v>537</v>
      </c>
      <c r="G201" s="193"/>
      <c r="H201" s="193"/>
      <c r="I201" s="193"/>
      <c r="J201" s="193"/>
      <c r="K201" s="193"/>
      <c r="L201" s="193"/>
      <c r="M201" s="193"/>
      <c r="N201" s="193"/>
      <c r="O201" s="193"/>
      <c r="P201" s="193"/>
      <c r="Q201" s="193"/>
      <c r="R201" s="193"/>
      <c r="S201" s="193"/>
      <c r="T201" s="193"/>
      <c r="U201" s="193"/>
      <c r="V201" s="193"/>
    </row>
    <row r="202" spans="1:22" s="191" customFormat="1">
      <c r="A202" s="193" t="s">
        <v>541</v>
      </c>
      <c r="B202" s="193">
        <v>1969</v>
      </c>
      <c r="C202" s="196">
        <v>49.490045809444197</v>
      </c>
      <c r="D202" s="196">
        <v>5.2714634759356098</v>
      </c>
      <c r="E202" s="191" t="s">
        <v>537</v>
      </c>
      <c r="G202" s="193"/>
      <c r="H202" s="193"/>
      <c r="I202" s="193"/>
      <c r="J202" s="193"/>
      <c r="K202" s="193"/>
      <c r="L202" s="193"/>
      <c r="M202" s="193"/>
      <c r="N202" s="193"/>
      <c r="O202" s="193"/>
      <c r="P202" s="193"/>
      <c r="Q202" s="193"/>
      <c r="R202" s="193"/>
      <c r="S202" s="193"/>
      <c r="T202" s="193"/>
      <c r="U202" s="193"/>
      <c r="V202" s="193"/>
    </row>
    <row r="203" spans="1:22" s="191" customFormat="1">
      <c r="A203" s="193" t="s">
        <v>541</v>
      </c>
      <c r="B203" s="193">
        <v>1970</v>
      </c>
      <c r="C203" s="196">
        <v>44.8439475693879</v>
      </c>
      <c r="D203" s="196">
        <v>2.5835919795535802</v>
      </c>
      <c r="E203" s="191" t="s">
        <v>537</v>
      </c>
      <c r="G203" s="193"/>
      <c r="H203" s="193"/>
      <c r="I203" s="193"/>
      <c r="J203" s="193"/>
      <c r="K203" s="193"/>
      <c r="L203" s="193"/>
      <c r="M203" s="193"/>
      <c r="N203" s="193"/>
      <c r="O203" s="193"/>
      <c r="P203" s="193"/>
      <c r="Q203" s="193"/>
      <c r="R203" s="193"/>
      <c r="S203" s="193"/>
      <c r="T203" s="193"/>
      <c r="U203" s="193"/>
      <c r="V203" s="193"/>
    </row>
    <row r="204" spans="1:22" s="191" customFormat="1">
      <c r="A204" s="193" t="s">
        <v>541</v>
      </c>
      <c r="B204" s="193">
        <v>1971</v>
      </c>
      <c r="C204" s="196">
        <v>44.812300095393098</v>
      </c>
      <c r="D204" s="196">
        <v>5.5689093392547804</v>
      </c>
      <c r="E204" s="191" t="s">
        <v>537</v>
      </c>
      <c r="G204" s="193"/>
      <c r="H204" s="193"/>
      <c r="I204" s="193"/>
      <c r="J204" s="193"/>
      <c r="K204" s="193"/>
      <c r="L204" s="193"/>
      <c r="M204" s="193"/>
      <c r="N204" s="193"/>
      <c r="O204" s="193"/>
      <c r="P204" s="193"/>
      <c r="Q204" s="193"/>
      <c r="R204" s="193"/>
      <c r="S204" s="193"/>
      <c r="T204" s="193"/>
      <c r="U204" s="193"/>
      <c r="V204" s="193"/>
    </row>
    <row r="205" spans="1:22" s="191" customFormat="1">
      <c r="A205" s="193" t="s">
        <v>541</v>
      </c>
      <c r="B205" s="193">
        <v>1972</v>
      </c>
      <c r="C205" s="196">
        <v>44.470865597626201</v>
      </c>
      <c r="D205" s="196">
        <v>5.2838153339067597</v>
      </c>
      <c r="E205" s="191" t="s">
        <v>537</v>
      </c>
      <c r="G205" s="193"/>
      <c r="H205" s="193"/>
      <c r="I205" s="193"/>
      <c r="J205" s="193"/>
      <c r="K205" s="193"/>
      <c r="L205" s="193"/>
      <c r="M205" s="193"/>
      <c r="N205" s="193"/>
      <c r="O205" s="193"/>
      <c r="P205" s="193"/>
      <c r="Q205" s="193"/>
      <c r="R205" s="193"/>
      <c r="S205" s="193"/>
      <c r="T205" s="193"/>
      <c r="U205" s="193"/>
      <c r="V205" s="193"/>
    </row>
    <row r="206" spans="1:22" s="191" customFormat="1">
      <c r="A206" s="193" t="s">
        <v>541</v>
      </c>
      <c r="B206" s="193">
        <v>1973</v>
      </c>
      <c r="C206" s="196">
        <v>41.314415477595396</v>
      </c>
      <c r="D206" s="196">
        <v>7.1613448032020504</v>
      </c>
      <c r="E206" s="191" t="s">
        <v>537</v>
      </c>
      <c r="G206" s="193"/>
      <c r="H206" s="193"/>
      <c r="I206" s="193"/>
      <c r="J206" s="193"/>
      <c r="K206" s="193"/>
      <c r="L206" s="193"/>
      <c r="M206" s="193"/>
      <c r="N206" s="193"/>
      <c r="O206" s="193"/>
      <c r="P206" s="193"/>
      <c r="Q206" s="193"/>
      <c r="R206" s="193"/>
      <c r="S206" s="193"/>
      <c r="T206" s="193"/>
      <c r="U206" s="193"/>
      <c r="V206" s="193"/>
    </row>
    <row r="207" spans="1:22" s="191" customFormat="1">
      <c r="A207" s="193" t="s">
        <v>541</v>
      </c>
      <c r="B207" s="193">
        <v>1974</v>
      </c>
      <c r="C207" s="196">
        <v>37.814692052724901</v>
      </c>
      <c r="D207" s="196">
        <v>4.0848751986059204</v>
      </c>
      <c r="E207" s="191" t="s">
        <v>537</v>
      </c>
      <c r="G207" s="193"/>
      <c r="H207" s="193"/>
      <c r="I207" s="193"/>
      <c r="J207" s="193"/>
      <c r="K207" s="193"/>
      <c r="L207" s="193"/>
      <c r="M207" s="193"/>
      <c r="N207" s="193"/>
      <c r="O207" s="193"/>
      <c r="P207" s="193"/>
      <c r="Q207" s="193"/>
      <c r="R207" s="193"/>
      <c r="S207" s="193"/>
      <c r="T207" s="193"/>
      <c r="U207" s="193"/>
      <c r="V207" s="193"/>
    </row>
    <row r="208" spans="1:22" s="191" customFormat="1">
      <c r="A208" s="193" t="s">
        <v>541</v>
      </c>
      <c r="B208" s="193">
        <v>1975</v>
      </c>
      <c r="C208" s="196">
        <v>37.070785867036101</v>
      </c>
      <c r="D208" s="196">
        <v>2.2592697459129498</v>
      </c>
      <c r="E208" s="191" t="s">
        <v>537</v>
      </c>
      <c r="G208" s="193"/>
      <c r="H208" s="193"/>
      <c r="I208" s="193"/>
      <c r="J208" s="193"/>
      <c r="K208" s="193"/>
      <c r="L208" s="193"/>
      <c r="M208" s="193"/>
      <c r="N208" s="193"/>
      <c r="O208" s="193"/>
      <c r="P208" s="193"/>
      <c r="Q208" s="193"/>
      <c r="R208" s="193"/>
      <c r="S208" s="193"/>
      <c r="T208" s="193"/>
      <c r="U208" s="193"/>
      <c r="V208" s="193"/>
    </row>
    <row r="209" spans="1:22" s="191" customFormat="1">
      <c r="A209" s="193" t="s">
        <v>541</v>
      </c>
      <c r="B209" s="193">
        <v>1976</v>
      </c>
      <c r="C209" s="196">
        <v>36.276939118617101</v>
      </c>
      <c r="D209" s="196">
        <v>5.47688770243386</v>
      </c>
      <c r="E209" s="191" t="s">
        <v>537</v>
      </c>
      <c r="G209" s="193"/>
      <c r="H209" s="193"/>
      <c r="I209" s="193"/>
      <c r="J209" s="193"/>
      <c r="K209" s="193"/>
      <c r="L209" s="193"/>
      <c r="M209" s="193"/>
      <c r="N209" s="193"/>
      <c r="O209" s="193"/>
      <c r="P209" s="193"/>
      <c r="Q209" s="193"/>
      <c r="R209" s="193"/>
      <c r="S209" s="193"/>
      <c r="T209" s="193"/>
      <c r="U209" s="193"/>
      <c r="V209" s="193"/>
    </row>
    <row r="210" spans="1:22" s="191" customFormat="1">
      <c r="A210" s="193" t="s">
        <v>541</v>
      </c>
      <c r="B210" s="193">
        <v>1977</v>
      </c>
      <c r="C210" s="196">
        <v>36.409059582732901</v>
      </c>
      <c r="D210" s="196">
        <v>3.3606587781445998</v>
      </c>
      <c r="E210" s="191" t="s">
        <v>537</v>
      </c>
      <c r="G210" s="193"/>
      <c r="H210" s="193"/>
      <c r="I210" s="193"/>
      <c r="J210" s="193"/>
      <c r="K210" s="193"/>
      <c r="L210" s="193"/>
      <c r="M210" s="193"/>
      <c r="N210" s="193"/>
      <c r="O210" s="193"/>
      <c r="P210" s="193"/>
      <c r="Q210" s="193"/>
      <c r="R210" s="193"/>
      <c r="S210" s="193"/>
      <c r="T210" s="193"/>
      <c r="U210" s="193"/>
      <c r="V210" s="193"/>
    </row>
    <row r="211" spans="1:22" s="191" customFormat="1">
      <c r="A211" s="193" t="s">
        <v>541</v>
      </c>
      <c r="B211" s="193">
        <v>1978</v>
      </c>
      <c r="C211" s="196">
        <v>34.140325422323599</v>
      </c>
      <c r="D211" s="196">
        <v>4.0439481566343103</v>
      </c>
      <c r="E211" s="191" t="s">
        <v>537</v>
      </c>
      <c r="G211" s="193"/>
      <c r="H211" s="193"/>
      <c r="I211" s="193"/>
      <c r="J211" s="193"/>
      <c r="K211" s="193"/>
      <c r="L211" s="193"/>
      <c r="M211" s="193"/>
      <c r="N211" s="193"/>
      <c r="O211" s="193"/>
      <c r="P211" s="193"/>
      <c r="Q211" s="193"/>
      <c r="R211" s="193"/>
      <c r="S211" s="193"/>
      <c r="T211" s="193"/>
      <c r="U211" s="193"/>
      <c r="V211" s="193"/>
    </row>
    <row r="212" spans="1:22" s="191" customFormat="1">
      <c r="A212" s="193" t="s">
        <v>541</v>
      </c>
      <c r="B212" s="193">
        <v>1979</v>
      </c>
      <c r="C212" s="196">
        <v>37.763756684341303</v>
      </c>
      <c r="D212" s="196">
        <v>4.1568716933673597</v>
      </c>
      <c r="E212" s="191" t="s">
        <v>537</v>
      </c>
      <c r="G212" s="193"/>
      <c r="H212" s="193"/>
      <c r="I212" s="193"/>
      <c r="J212" s="193"/>
      <c r="K212" s="193"/>
      <c r="L212" s="193"/>
      <c r="M212" s="193"/>
      <c r="N212" s="193"/>
      <c r="O212" s="193"/>
      <c r="P212" s="193"/>
      <c r="Q212" s="193"/>
      <c r="R212" s="193"/>
      <c r="S212" s="193"/>
      <c r="T212" s="193"/>
      <c r="U212" s="193"/>
      <c r="V212" s="193"/>
    </row>
    <row r="213" spans="1:22" s="191" customFormat="1">
      <c r="A213" s="193" t="s">
        <v>541</v>
      </c>
      <c r="B213" s="193">
        <v>1980</v>
      </c>
      <c r="C213" s="196">
        <v>35.148300910714397</v>
      </c>
      <c r="D213" s="196">
        <v>1.3381359839617299</v>
      </c>
      <c r="E213" s="191" t="s">
        <v>537</v>
      </c>
      <c r="G213" s="193"/>
      <c r="H213" s="193"/>
      <c r="I213" s="193"/>
      <c r="J213" s="193"/>
      <c r="K213" s="193"/>
      <c r="L213" s="193"/>
      <c r="M213" s="193"/>
      <c r="N213" s="193"/>
      <c r="O213" s="193"/>
      <c r="P213" s="193"/>
      <c r="Q213" s="193"/>
      <c r="R213" s="193"/>
      <c r="S213" s="193"/>
      <c r="T213" s="193"/>
      <c r="U213" s="193"/>
      <c r="V213" s="193"/>
    </row>
    <row r="214" spans="1:22" s="191" customFormat="1">
      <c r="A214" s="193" t="s">
        <v>541</v>
      </c>
      <c r="B214" s="193">
        <v>1981</v>
      </c>
      <c r="C214" s="196">
        <v>35.3812214717857</v>
      </c>
      <c r="D214" s="196">
        <v>1.5475053130301</v>
      </c>
      <c r="E214" s="191" t="s">
        <v>537</v>
      </c>
      <c r="G214" s="193"/>
      <c r="H214" s="193"/>
      <c r="I214" s="193"/>
      <c r="J214" s="193"/>
      <c r="K214" s="193"/>
      <c r="L214" s="193"/>
      <c r="M214" s="193"/>
      <c r="N214" s="193"/>
      <c r="O214" s="193"/>
      <c r="P214" s="193"/>
      <c r="Q214" s="193"/>
      <c r="R214" s="193"/>
      <c r="S214" s="193"/>
      <c r="T214" s="193"/>
      <c r="U214" s="193"/>
      <c r="V214" s="193"/>
    </row>
    <row r="215" spans="1:22" s="191" customFormat="1">
      <c r="A215" s="193" t="s">
        <v>541</v>
      </c>
      <c r="B215" s="193">
        <v>1982</v>
      </c>
      <c r="C215" s="196">
        <v>36.2000075153124</v>
      </c>
      <c r="D215" s="196">
        <v>0.12499351992121301</v>
      </c>
      <c r="E215" s="191" t="s">
        <v>537</v>
      </c>
      <c r="G215" s="193"/>
      <c r="H215" s="193"/>
      <c r="I215" s="193"/>
      <c r="J215" s="193"/>
      <c r="K215" s="193"/>
      <c r="L215" s="193"/>
      <c r="M215" s="193"/>
      <c r="N215" s="193"/>
      <c r="O215" s="193"/>
      <c r="P215" s="193"/>
      <c r="Q215" s="193"/>
      <c r="R215" s="193"/>
      <c r="S215" s="193"/>
      <c r="T215" s="193"/>
      <c r="U215" s="193"/>
      <c r="V215" s="193"/>
    </row>
    <row r="216" spans="1:22" s="191" customFormat="1">
      <c r="A216" s="193" t="s">
        <v>541</v>
      </c>
      <c r="B216" s="193">
        <v>1983</v>
      </c>
      <c r="C216" s="196">
        <v>39.030610519195001</v>
      </c>
      <c r="D216" s="196">
        <v>3.8668937136369999</v>
      </c>
      <c r="E216" s="191" t="s">
        <v>537</v>
      </c>
      <c r="G216" s="193"/>
      <c r="H216" s="193"/>
      <c r="I216" s="193"/>
      <c r="J216" s="193"/>
      <c r="K216" s="193"/>
      <c r="L216" s="193"/>
      <c r="M216" s="193"/>
      <c r="N216" s="193"/>
      <c r="O216" s="193"/>
      <c r="P216" s="193"/>
      <c r="Q216" s="193"/>
      <c r="R216" s="193"/>
      <c r="S216" s="193"/>
      <c r="T216" s="193"/>
      <c r="U216" s="193"/>
      <c r="V216" s="193"/>
    </row>
    <row r="217" spans="1:22" s="191" customFormat="1">
      <c r="A217" s="193" t="s">
        <v>541</v>
      </c>
      <c r="B217" s="193">
        <v>1984</v>
      </c>
      <c r="C217" s="196">
        <v>41.973625104280302</v>
      </c>
      <c r="D217" s="196">
        <v>5.8941036808377403</v>
      </c>
      <c r="E217" s="191" t="s">
        <v>537</v>
      </c>
      <c r="G217" s="193"/>
      <c r="H217" s="193"/>
      <c r="I217" s="193"/>
      <c r="J217" s="193"/>
      <c r="K217" s="193"/>
      <c r="L217" s="193"/>
      <c r="M217" s="193"/>
      <c r="N217" s="193"/>
      <c r="O217" s="193"/>
      <c r="P217" s="193"/>
      <c r="Q217" s="193"/>
      <c r="R217" s="193"/>
      <c r="S217" s="193"/>
      <c r="T217" s="193"/>
      <c r="U217" s="193"/>
      <c r="V217" s="193"/>
    </row>
    <row r="218" spans="1:22" s="191" customFormat="1">
      <c r="A218" s="193" t="s">
        <v>541</v>
      </c>
      <c r="B218" s="193">
        <v>1985</v>
      </c>
      <c r="C218" s="196">
        <v>45.347662698757503</v>
      </c>
      <c r="D218" s="196">
        <v>5.3540295135014597</v>
      </c>
      <c r="E218" s="191" t="s">
        <v>537</v>
      </c>
      <c r="G218" s="193"/>
      <c r="H218" s="193"/>
      <c r="I218" s="193"/>
      <c r="J218" s="193"/>
      <c r="K218" s="193"/>
      <c r="L218" s="193"/>
      <c r="M218" s="193"/>
      <c r="N218" s="193"/>
      <c r="O218" s="193"/>
      <c r="P218" s="193"/>
      <c r="Q218" s="193"/>
      <c r="R218" s="193"/>
      <c r="S218" s="193"/>
      <c r="T218" s="193"/>
      <c r="U218" s="193"/>
      <c r="V218" s="193"/>
    </row>
    <row r="219" spans="1:22" s="191" customFormat="1">
      <c r="A219" s="193" t="s">
        <v>541</v>
      </c>
      <c r="B219" s="193">
        <v>1986</v>
      </c>
      <c r="C219" s="196">
        <v>49.753106098690999</v>
      </c>
      <c r="D219" s="196">
        <v>4.0375523145842003</v>
      </c>
      <c r="E219" s="191" t="s">
        <v>537</v>
      </c>
      <c r="G219" s="193"/>
      <c r="H219" s="193"/>
      <c r="I219" s="193"/>
      <c r="J219" s="193"/>
      <c r="K219" s="193"/>
      <c r="L219" s="193"/>
      <c r="M219" s="193"/>
      <c r="N219" s="193"/>
      <c r="O219" s="193"/>
      <c r="P219" s="193"/>
      <c r="Q219" s="193"/>
      <c r="R219" s="193"/>
      <c r="S219" s="193"/>
      <c r="T219" s="193"/>
      <c r="U219" s="193"/>
      <c r="V219" s="193"/>
    </row>
    <row r="220" spans="1:22" s="191" customFormat="1">
      <c r="A220" s="193" t="s">
        <v>541</v>
      </c>
      <c r="B220" s="193">
        <v>1987</v>
      </c>
      <c r="C220" s="196">
        <v>51.098709676383599</v>
      </c>
      <c r="D220" s="196">
        <v>1.78001352049946</v>
      </c>
      <c r="E220" s="191" t="s">
        <v>537</v>
      </c>
      <c r="G220" s="193"/>
      <c r="H220" s="193"/>
      <c r="I220" s="193"/>
      <c r="J220" s="193"/>
      <c r="K220" s="193"/>
      <c r="L220" s="193"/>
      <c r="M220" s="193"/>
      <c r="N220" s="193"/>
      <c r="O220" s="193"/>
      <c r="P220" s="193"/>
      <c r="Q220" s="193"/>
      <c r="R220" s="193"/>
      <c r="S220" s="193"/>
      <c r="T220" s="193"/>
      <c r="U220" s="193"/>
      <c r="V220" s="193"/>
    </row>
    <row r="221" spans="1:22" s="191" customFormat="1">
      <c r="A221" s="193" t="s">
        <v>541</v>
      </c>
      <c r="B221" s="193">
        <v>1988</v>
      </c>
      <c r="C221" s="196">
        <v>53.658716125341797</v>
      </c>
      <c r="D221" s="196">
        <v>-0.17284882526092901</v>
      </c>
      <c r="E221" s="191" t="s">
        <v>537</v>
      </c>
      <c r="G221" s="193"/>
      <c r="H221" s="193"/>
      <c r="I221" s="193"/>
      <c r="J221" s="193"/>
      <c r="K221" s="193"/>
      <c r="L221" s="193"/>
      <c r="M221" s="193"/>
      <c r="N221" s="193"/>
      <c r="O221" s="193"/>
      <c r="P221" s="193"/>
      <c r="Q221" s="193"/>
      <c r="R221" s="193"/>
      <c r="S221" s="193"/>
      <c r="T221" s="193"/>
      <c r="U221" s="193"/>
      <c r="V221" s="193"/>
    </row>
    <row r="222" spans="1:22" s="191" customFormat="1">
      <c r="A222" s="193" t="s">
        <v>541</v>
      </c>
      <c r="B222" s="193">
        <v>1989</v>
      </c>
      <c r="C222" s="196">
        <v>54.614664882554699</v>
      </c>
      <c r="D222" s="196">
        <v>0.99755854903136298</v>
      </c>
      <c r="E222" s="191" t="s">
        <v>537</v>
      </c>
      <c r="G222" s="193"/>
      <c r="H222" s="193"/>
      <c r="I222" s="193"/>
      <c r="J222" s="193"/>
      <c r="K222" s="193"/>
      <c r="L222" s="193"/>
      <c r="M222" s="193"/>
      <c r="N222" s="193"/>
      <c r="O222" s="193"/>
      <c r="P222" s="193"/>
      <c r="Q222" s="193"/>
      <c r="R222" s="193"/>
      <c r="S222" s="193"/>
      <c r="T222" s="193"/>
      <c r="U222" s="193"/>
      <c r="V222" s="193"/>
    </row>
    <row r="223" spans="1:22" s="191" customFormat="1">
      <c r="A223" s="193" t="s">
        <v>541</v>
      </c>
      <c r="B223" s="193">
        <v>1990</v>
      </c>
      <c r="C223" s="196">
        <v>55.223246117385003</v>
      </c>
      <c r="D223" s="196">
        <v>1.9275140029591</v>
      </c>
      <c r="E223" s="191" t="s">
        <v>537</v>
      </c>
      <c r="G223" s="193"/>
      <c r="H223" s="193"/>
      <c r="I223" s="193"/>
      <c r="J223" s="193"/>
      <c r="K223" s="193"/>
      <c r="L223" s="193"/>
      <c r="M223" s="193"/>
      <c r="N223" s="193"/>
      <c r="O223" s="193"/>
      <c r="P223" s="193"/>
      <c r="Q223" s="193"/>
      <c r="R223" s="193"/>
      <c r="S223" s="193"/>
      <c r="T223" s="193"/>
      <c r="U223" s="193"/>
      <c r="V223" s="193"/>
    </row>
    <row r="224" spans="1:22" s="191" customFormat="1">
      <c r="A224" s="193" t="s">
        <v>541</v>
      </c>
      <c r="B224" s="193">
        <v>1991</v>
      </c>
      <c r="C224" s="196">
        <v>57.308434539470703</v>
      </c>
      <c r="D224" s="196">
        <v>3.1046289614814699</v>
      </c>
      <c r="E224" s="191" t="s">
        <v>537</v>
      </c>
      <c r="G224" s="193"/>
      <c r="H224" s="193"/>
      <c r="I224" s="193"/>
      <c r="J224" s="193"/>
      <c r="K224" s="193"/>
      <c r="L224" s="193"/>
      <c r="M224" s="193"/>
      <c r="N224" s="193"/>
      <c r="O224" s="193"/>
      <c r="P224" s="193"/>
      <c r="Q224" s="193"/>
      <c r="R224" s="193"/>
      <c r="S224" s="193"/>
      <c r="T224" s="193"/>
      <c r="U224" s="193"/>
      <c r="V224" s="193"/>
    </row>
    <row r="225" spans="1:22" s="191" customFormat="1">
      <c r="A225" s="193" t="s">
        <v>541</v>
      </c>
      <c r="B225" s="193">
        <v>1992</v>
      </c>
      <c r="C225" s="196">
        <v>59.713488036081102</v>
      </c>
      <c r="D225" s="196">
        <v>3.5231049814781001</v>
      </c>
      <c r="E225" s="191" t="s">
        <v>537</v>
      </c>
      <c r="G225" s="193"/>
      <c r="H225" s="193"/>
      <c r="I225" s="193"/>
      <c r="J225" s="193"/>
      <c r="K225" s="193"/>
      <c r="L225" s="193"/>
      <c r="M225" s="193"/>
      <c r="N225" s="193"/>
      <c r="O225" s="193"/>
      <c r="P225" s="193"/>
      <c r="Q225" s="193"/>
      <c r="R225" s="193"/>
      <c r="S225" s="193"/>
      <c r="T225" s="193"/>
      <c r="U225" s="193"/>
      <c r="V225" s="193"/>
    </row>
    <row r="226" spans="1:22" s="191" customFormat="1">
      <c r="A226" s="193" t="s">
        <v>541</v>
      </c>
      <c r="B226" s="193">
        <v>1993</v>
      </c>
      <c r="C226" s="196">
        <v>61.357370955639801</v>
      </c>
      <c r="D226" s="196">
        <v>2.7866370789358501</v>
      </c>
      <c r="E226" s="191" t="s">
        <v>538</v>
      </c>
      <c r="G226" s="193"/>
      <c r="H226" s="193"/>
      <c r="I226" s="193"/>
      <c r="J226" s="193"/>
      <c r="K226" s="193"/>
      <c r="L226" s="193"/>
      <c r="M226" s="193"/>
      <c r="N226" s="193"/>
      <c r="O226" s="193"/>
      <c r="P226" s="193"/>
      <c r="Q226" s="193"/>
      <c r="R226" s="193"/>
      <c r="S226" s="193"/>
      <c r="T226" s="193"/>
      <c r="U226" s="193"/>
      <c r="V226" s="193"/>
    </row>
    <row r="227" spans="1:22" s="191" customFormat="1">
      <c r="A227" s="193" t="s">
        <v>541</v>
      </c>
      <c r="B227" s="193">
        <v>1994</v>
      </c>
      <c r="C227" s="196">
        <v>63.450181268675898</v>
      </c>
      <c r="D227" s="196">
        <v>5.0513843415679496</v>
      </c>
      <c r="E227" s="191" t="s">
        <v>538</v>
      </c>
      <c r="G227" s="193"/>
      <c r="H227" s="193"/>
      <c r="I227" s="193"/>
      <c r="J227" s="193"/>
      <c r="K227" s="193"/>
      <c r="L227" s="193"/>
      <c r="M227" s="193"/>
      <c r="N227" s="193"/>
      <c r="O227" s="193"/>
      <c r="P227" s="193"/>
      <c r="Q227" s="193"/>
      <c r="R227" s="193"/>
      <c r="S227" s="193"/>
      <c r="T227" s="193"/>
      <c r="U227" s="193"/>
      <c r="V227" s="193"/>
    </row>
    <row r="228" spans="1:22" s="191" customFormat="1">
      <c r="A228" s="193" t="s">
        <v>541</v>
      </c>
      <c r="B228" s="193">
        <v>1995</v>
      </c>
      <c r="C228" s="196">
        <v>63.160232214763703</v>
      </c>
      <c r="D228" s="196">
        <v>4.1863490739812104</v>
      </c>
      <c r="E228" s="191" t="s">
        <v>538</v>
      </c>
      <c r="G228" s="193"/>
      <c r="H228" s="193"/>
      <c r="I228" s="193"/>
      <c r="J228" s="193"/>
      <c r="K228" s="193"/>
      <c r="L228" s="193"/>
      <c r="M228" s="193"/>
      <c r="N228" s="193"/>
      <c r="O228" s="193"/>
      <c r="P228" s="193"/>
      <c r="Q228" s="193"/>
      <c r="R228" s="193"/>
      <c r="S228" s="193"/>
      <c r="T228" s="193"/>
      <c r="U228" s="193"/>
      <c r="V228" s="193"/>
    </row>
    <row r="229" spans="1:22" s="191" customFormat="1">
      <c r="A229" s="193" t="s">
        <v>541</v>
      </c>
      <c r="B229" s="193">
        <v>1996</v>
      </c>
      <c r="C229" s="196">
        <v>61.466132295569203</v>
      </c>
      <c r="D229" s="196">
        <v>5.0997663359063896</v>
      </c>
      <c r="E229" s="191" t="s">
        <v>538</v>
      </c>
      <c r="G229" s="193"/>
      <c r="H229" s="193"/>
      <c r="I229" s="193"/>
      <c r="J229" s="193"/>
      <c r="K229" s="193"/>
      <c r="L229" s="193"/>
      <c r="M229" s="193"/>
      <c r="N229" s="193"/>
      <c r="O229" s="193"/>
      <c r="P229" s="193"/>
      <c r="Q229" s="193"/>
      <c r="R229" s="193"/>
      <c r="S229" s="193"/>
      <c r="T229" s="193"/>
      <c r="U229" s="193"/>
      <c r="V229" s="193"/>
    </row>
    <row r="230" spans="1:22" s="191" customFormat="1">
      <c r="A230" s="193" t="s">
        <v>541</v>
      </c>
      <c r="B230" s="193">
        <v>1997</v>
      </c>
      <c r="C230" s="196">
        <v>58.178666523704898</v>
      </c>
      <c r="D230" s="196">
        <v>5.3926403470454503</v>
      </c>
      <c r="E230" s="191" t="s">
        <v>537</v>
      </c>
      <c r="G230" s="193"/>
      <c r="H230" s="193"/>
      <c r="I230" s="193"/>
      <c r="J230" s="193"/>
      <c r="K230" s="193"/>
      <c r="L230" s="193"/>
      <c r="M230" s="193"/>
      <c r="N230" s="193"/>
      <c r="O230" s="193"/>
      <c r="P230" s="193"/>
      <c r="Q230" s="193"/>
      <c r="R230" s="193"/>
      <c r="S230" s="193"/>
      <c r="T230" s="193"/>
      <c r="U230" s="193"/>
      <c r="V230" s="193"/>
    </row>
    <row r="231" spans="1:22" s="191" customFormat="1">
      <c r="A231" s="193" t="s">
        <v>541</v>
      </c>
      <c r="B231" s="193">
        <v>1998</v>
      </c>
      <c r="C231" s="196">
        <v>56.624662387316299</v>
      </c>
      <c r="D231" s="196">
        <v>2.6827834907742201</v>
      </c>
      <c r="E231" s="191" t="s">
        <v>537</v>
      </c>
      <c r="G231" s="193"/>
      <c r="H231" s="193"/>
      <c r="I231" s="193"/>
      <c r="J231" s="193"/>
      <c r="K231" s="193"/>
      <c r="L231" s="193"/>
      <c r="M231" s="193"/>
      <c r="N231" s="193"/>
      <c r="O231" s="193"/>
      <c r="P231" s="193"/>
      <c r="Q231" s="193"/>
      <c r="R231" s="193"/>
      <c r="S231" s="193"/>
      <c r="T231" s="193"/>
      <c r="U231" s="193"/>
      <c r="V231" s="193"/>
    </row>
    <row r="232" spans="1:22" s="191" customFormat="1">
      <c r="A232" s="193" t="s">
        <v>541</v>
      </c>
      <c r="B232" s="193">
        <v>1999</v>
      </c>
      <c r="C232" s="196">
        <v>52.2713091427973</v>
      </c>
      <c r="D232" s="196">
        <v>2.0257705900823799</v>
      </c>
      <c r="E232" s="191" t="s">
        <v>537</v>
      </c>
      <c r="G232" s="193"/>
      <c r="H232" s="193"/>
      <c r="I232" s="193"/>
      <c r="J232" s="193"/>
      <c r="K232" s="193"/>
      <c r="L232" s="193"/>
      <c r="M232" s="193"/>
      <c r="N232" s="193"/>
      <c r="O232" s="193"/>
      <c r="P232" s="193"/>
      <c r="Q232" s="193"/>
      <c r="R232" s="193"/>
      <c r="S232" s="193"/>
      <c r="T232" s="193"/>
      <c r="U232" s="193"/>
      <c r="V232" s="193"/>
    </row>
    <row r="233" spans="1:22" s="191" customFormat="1">
      <c r="A233" s="193" t="s">
        <v>541</v>
      </c>
      <c r="B233" s="193">
        <v>2000</v>
      </c>
      <c r="C233" s="196">
        <v>43.761443115227799</v>
      </c>
      <c r="D233" s="196">
        <v>3.2535679946216902</v>
      </c>
      <c r="E233" s="191" t="s">
        <v>537</v>
      </c>
      <c r="G233" s="193"/>
      <c r="H233" s="193"/>
      <c r="I233" s="193"/>
      <c r="J233" s="193"/>
      <c r="K233" s="193"/>
      <c r="L233" s="193"/>
      <c r="M233" s="193"/>
      <c r="N233" s="193"/>
      <c r="O233" s="193"/>
      <c r="P233" s="193"/>
      <c r="Q233" s="193"/>
      <c r="R233" s="193"/>
      <c r="S233" s="193"/>
      <c r="T233" s="193"/>
      <c r="U233" s="193"/>
      <c r="V233" s="193"/>
    </row>
    <row r="234" spans="1:22" s="191" customFormat="1">
      <c r="A234" s="193" t="s">
        <v>541</v>
      </c>
      <c r="B234" s="193">
        <v>2001</v>
      </c>
      <c r="C234" s="196">
        <v>41.9613635328488</v>
      </c>
      <c r="D234" s="196">
        <v>1.99015413560657</v>
      </c>
      <c r="E234" s="191" t="s">
        <v>537</v>
      </c>
      <c r="G234" s="193"/>
      <c r="H234" s="193"/>
      <c r="I234" s="193"/>
      <c r="J234" s="193"/>
      <c r="K234" s="193"/>
      <c r="L234" s="193"/>
      <c r="M234" s="193"/>
      <c r="N234" s="193"/>
      <c r="O234" s="193"/>
      <c r="P234" s="193"/>
      <c r="Q234" s="193"/>
      <c r="R234" s="193"/>
      <c r="S234" s="193"/>
      <c r="T234" s="193"/>
      <c r="U234" s="193"/>
      <c r="V234" s="193"/>
    </row>
    <row r="235" spans="1:22" s="191" customFormat="1">
      <c r="A235" s="193" t="s">
        <v>541</v>
      </c>
      <c r="B235" s="193">
        <v>2002</v>
      </c>
      <c r="C235" s="196">
        <v>41.801332628515098</v>
      </c>
      <c r="D235" s="196">
        <v>1.5020556300011001</v>
      </c>
      <c r="E235" s="191" t="s">
        <v>537</v>
      </c>
      <c r="G235" s="193"/>
      <c r="H235" s="193"/>
      <c r="I235" s="193"/>
      <c r="J235" s="193"/>
      <c r="K235" s="193"/>
      <c r="L235" s="193"/>
      <c r="M235" s="193"/>
      <c r="N235" s="193"/>
      <c r="O235" s="193"/>
      <c r="P235" s="193"/>
      <c r="Q235" s="193"/>
      <c r="R235" s="193"/>
      <c r="S235" s="193"/>
      <c r="T235" s="193"/>
      <c r="U235" s="193"/>
      <c r="V235" s="193"/>
    </row>
    <row r="236" spans="1:22" s="191" customFormat="1">
      <c r="A236" s="193" t="s">
        <v>541</v>
      </c>
      <c r="B236" s="193">
        <v>2003</v>
      </c>
      <c r="C236" s="196">
        <v>39.504715057440301</v>
      </c>
      <c r="D236" s="196">
        <v>1.0135240342473499</v>
      </c>
      <c r="E236" s="191" t="s">
        <v>537</v>
      </c>
      <c r="G236" s="193"/>
      <c r="H236" s="193"/>
      <c r="I236" s="193"/>
      <c r="J236" s="193"/>
      <c r="K236" s="193"/>
      <c r="L236" s="193"/>
      <c r="M236" s="193"/>
      <c r="N236" s="193"/>
      <c r="O236" s="193"/>
      <c r="P236" s="193"/>
      <c r="Q236" s="193"/>
      <c r="R236" s="193"/>
      <c r="S236" s="193"/>
      <c r="T236" s="193"/>
      <c r="U236" s="193"/>
      <c r="V236" s="193"/>
    </row>
    <row r="237" spans="1:22" s="191" customFormat="1">
      <c r="A237" s="193" t="s">
        <v>541</v>
      </c>
      <c r="B237" s="193">
        <v>2004</v>
      </c>
      <c r="C237" s="196">
        <v>36.0766247475675</v>
      </c>
      <c r="D237" s="196">
        <v>3.8641263641794299</v>
      </c>
      <c r="E237" s="191" t="s">
        <v>537</v>
      </c>
      <c r="G237" s="193"/>
      <c r="H237" s="193"/>
      <c r="I237" s="193"/>
      <c r="J237" s="193"/>
      <c r="K237" s="193"/>
      <c r="L237" s="193"/>
      <c r="M237" s="193"/>
      <c r="N237" s="193"/>
      <c r="O237" s="193"/>
      <c r="P237" s="193"/>
      <c r="Q237" s="193"/>
      <c r="R237" s="193"/>
      <c r="S237" s="193"/>
      <c r="T237" s="193"/>
      <c r="U237" s="193"/>
      <c r="V237" s="193"/>
    </row>
    <row r="238" spans="1:22" s="191" customFormat="1">
      <c r="A238" s="193" t="s">
        <v>541</v>
      </c>
      <c r="B238" s="193">
        <v>2005</v>
      </c>
      <c r="C238" s="196">
        <v>32.184332791974199</v>
      </c>
      <c r="D238" s="196">
        <v>2.73920744287439</v>
      </c>
      <c r="E238" s="191" t="s">
        <v>537</v>
      </c>
      <c r="G238" s="193"/>
      <c r="H238" s="193"/>
      <c r="I238" s="193"/>
      <c r="J238" s="193"/>
      <c r="K238" s="193"/>
      <c r="L238" s="193"/>
      <c r="M238" s="193"/>
      <c r="N238" s="193"/>
      <c r="O238" s="193"/>
      <c r="P238" s="193"/>
      <c r="Q238" s="193"/>
      <c r="R238" s="193"/>
      <c r="S238" s="193"/>
      <c r="T238" s="193"/>
      <c r="U238" s="193"/>
      <c r="V238" s="193"/>
    </row>
    <row r="239" spans="1:22" s="191" customFormat="1">
      <c r="A239" s="193" t="s">
        <v>541</v>
      </c>
      <c r="B239" s="193">
        <v>2006</v>
      </c>
      <c r="C239" s="196">
        <v>28.695573655866699</v>
      </c>
      <c r="D239" s="196">
        <v>2.2808885419912901</v>
      </c>
      <c r="E239" s="191" t="s">
        <v>536</v>
      </c>
      <c r="G239" s="193"/>
      <c r="H239" s="193"/>
      <c r="I239" s="193"/>
      <c r="J239" s="193"/>
      <c r="K239" s="193"/>
      <c r="L239" s="193"/>
      <c r="M239" s="193"/>
      <c r="N239" s="193"/>
      <c r="O239" s="193"/>
      <c r="P239" s="193"/>
      <c r="Q239" s="193"/>
      <c r="R239" s="193"/>
      <c r="S239" s="193"/>
      <c r="T239" s="193"/>
      <c r="U239" s="193"/>
      <c r="V239" s="193"/>
    </row>
    <row r="240" spans="1:22" s="191" customFormat="1">
      <c r="A240" s="193" t="s">
        <v>541</v>
      </c>
      <c r="B240" s="193">
        <v>2007</v>
      </c>
      <c r="C240" s="196">
        <v>27.173259087176302</v>
      </c>
      <c r="D240" s="196">
        <v>3.1340917857372701</v>
      </c>
      <c r="E240" s="191" t="s">
        <v>536</v>
      </c>
      <c r="G240" s="193"/>
      <c r="H240" s="193"/>
      <c r="I240" s="193"/>
      <c r="J240" s="193"/>
      <c r="K240" s="193"/>
      <c r="L240" s="193"/>
      <c r="M240" s="193"/>
      <c r="N240" s="193"/>
      <c r="O240" s="193"/>
      <c r="P240" s="193"/>
      <c r="Q240" s="193"/>
      <c r="R240" s="193"/>
      <c r="S240" s="193"/>
      <c r="T240" s="193"/>
      <c r="U240" s="193"/>
      <c r="V240" s="193"/>
    </row>
    <row r="241" spans="1:22" s="191" customFormat="1">
      <c r="A241" s="193" t="s">
        <v>541</v>
      </c>
      <c r="B241" s="193">
        <v>2008</v>
      </c>
      <c r="C241" s="196">
        <v>23.324778677717099</v>
      </c>
      <c r="D241" s="196">
        <v>2.13213029844797</v>
      </c>
      <c r="E241" s="191" t="s">
        <v>536</v>
      </c>
      <c r="G241" s="193"/>
      <c r="H241" s="193"/>
      <c r="I241" s="193"/>
      <c r="J241" s="193"/>
      <c r="K241" s="193"/>
      <c r="L241" s="193"/>
      <c r="M241" s="193"/>
      <c r="N241" s="193"/>
      <c r="O241" s="193"/>
      <c r="P241" s="193"/>
      <c r="Q241" s="193"/>
      <c r="R241" s="193"/>
      <c r="S241" s="193"/>
      <c r="T241" s="193"/>
      <c r="U241" s="193"/>
      <c r="V241" s="193"/>
    </row>
    <row r="242" spans="1:22" s="191" customFormat="1">
      <c r="A242" s="193" t="s">
        <v>541</v>
      </c>
      <c r="B242" s="193">
        <v>2009</v>
      </c>
      <c r="C242" s="196">
        <v>30.237190853550899</v>
      </c>
      <c r="D242" s="196">
        <v>-1.9066760919030901</v>
      </c>
      <c r="E242" s="191" t="s">
        <v>537</v>
      </c>
      <c r="G242" s="193"/>
      <c r="H242" s="193"/>
      <c r="I242" s="193"/>
      <c r="J242" s="193"/>
      <c r="K242" s="193"/>
      <c r="L242" s="193"/>
      <c r="M242" s="193"/>
      <c r="N242" s="193"/>
      <c r="O242" s="193"/>
      <c r="P242" s="193"/>
      <c r="Q242" s="193"/>
      <c r="R242" s="193"/>
      <c r="S242" s="193"/>
      <c r="T242" s="193"/>
      <c r="U242" s="193"/>
      <c r="V242" s="193"/>
    </row>
    <row r="243" spans="1:22" s="191" customFormat="1">
      <c r="A243" s="193" t="s">
        <v>542</v>
      </c>
      <c r="B243" s="193">
        <v>1950</v>
      </c>
      <c r="C243" s="196">
        <v>46.339020771513397</v>
      </c>
      <c r="D243" s="196">
        <v>7.9458545282728998</v>
      </c>
      <c r="E243" s="191" t="s">
        <v>537</v>
      </c>
      <c r="G243" s="193"/>
      <c r="H243" s="193"/>
      <c r="I243" s="193"/>
      <c r="J243" s="193"/>
      <c r="K243" s="193"/>
      <c r="L243" s="193"/>
      <c r="M243" s="193"/>
      <c r="N243" s="193"/>
      <c r="O243" s="193"/>
      <c r="P243" s="193"/>
      <c r="Q243" s="193"/>
      <c r="R243" s="193"/>
      <c r="S243" s="193"/>
      <c r="T243" s="193"/>
      <c r="U243" s="193"/>
      <c r="V243" s="193"/>
    </row>
    <row r="244" spans="1:22" s="191" customFormat="1">
      <c r="A244" s="193" t="s">
        <v>542</v>
      </c>
      <c r="B244" s="193">
        <v>1951</v>
      </c>
      <c r="C244" s="196">
        <v>41.085274668280199</v>
      </c>
      <c r="D244" s="196">
        <v>0.66770081607876497</v>
      </c>
      <c r="E244" s="191" t="s">
        <v>537</v>
      </c>
      <c r="G244" s="193"/>
      <c r="H244" s="193"/>
      <c r="I244" s="193"/>
      <c r="J244" s="193"/>
      <c r="K244" s="193"/>
      <c r="L244" s="193"/>
      <c r="M244" s="193"/>
      <c r="N244" s="193"/>
      <c r="O244" s="193"/>
      <c r="P244" s="193"/>
      <c r="Q244" s="193"/>
      <c r="R244" s="193"/>
      <c r="S244" s="193"/>
      <c r="T244" s="193"/>
      <c r="U244" s="193"/>
      <c r="V244" s="193"/>
    </row>
    <row r="245" spans="1:22" s="191" customFormat="1">
      <c r="A245" s="193" t="s">
        <v>542</v>
      </c>
      <c r="B245" s="193">
        <v>1952</v>
      </c>
      <c r="C245" s="196">
        <v>38.7250769978927</v>
      </c>
      <c r="D245" s="196">
        <v>0.978158917325467</v>
      </c>
      <c r="E245" s="191" t="s">
        <v>537</v>
      </c>
      <c r="G245" s="193"/>
      <c r="H245" s="193"/>
      <c r="I245" s="193"/>
      <c r="J245" s="193"/>
      <c r="K245" s="193"/>
      <c r="L245" s="193"/>
      <c r="M245" s="193"/>
      <c r="N245" s="193"/>
      <c r="O245" s="193"/>
      <c r="P245" s="193"/>
      <c r="Q245" s="193"/>
      <c r="R245" s="193"/>
      <c r="S245" s="193"/>
      <c r="T245" s="193"/>
      <c r="U245" s="193"/>
      <c r="V245" s="193"/>
    </row>
    <row r="246" spans="1:22" s="191" customFormat="1">
      <c r="A246" s="193" t="s">
        <v>542</v>
      </c>
      <c r="B246" s="193">
        <v>1953</v>
      </c>
      <c r="C246" s="196">
        <v>36.1387711864407</v>
      </c>
      <c r="D246" s="196">
        <v>5.6893577494692096</v>
      </c>
      <c r="E246" s="191" t="s">
        <v>537</v>
      </c>
      <c r="G246" s="193"/>
      <c r="H246" s="193"/>
      <c r="I246" s="193"/>
      <c r="J246" s="193"/>
      <c r="K246" s="193"/>
      <c r="L246" s="193"/>
      <c r="M246" s="193"/>
      <c r="N246" s="193"/>
      <c r="O246" s="193"/>
      <c r="P246" s="193"/>
      <c r="Q246" s="193"/>
      <c r="R246" s="193"/>
      <c r="S246" s="193"/>
      <c r="T246" s="193"/>
      <c r="U246" s="193"/>
      <c r="V246" s="193"/>
    </row>
    <row r="247" spans="1:22" s="191" customFormat="1">
      <c r="A247" s="193" t="s">
        <v>542</v>
      </c>
      <c r="B247" s="193">
        <v>1954</v>
      </c>
      <c r="C247" s="196">
        <v>29.3954159898935</v>
      </c>
      <c r="D247" s="196">
        <v>1.9429360620232901</v>
      </c>
      <c r="E247" s="191" t="s">
        <v>536</v>
      </c>
      <c r="G247" s="193"/>
      <c r="H247" s="193"/>
      <c r="I247" s="193"/>
      <c r="J247" s="193"/>
      <c r="K247" s="193"/>
      <c r="L247" s="193"/>
      <c r="M247" s="193"/>
      <c r="N247" s="193"/>
      <c r="O247" s="193"/>
      <c r="P247" s="193"/>
      <c r="Q247" s="193"/>
      <c r="R247" s="193"/>
      <c r="S247" s="193"/>
      <c r="T247" s="193"/>
      <c r="U247" s="193"/>
      <c r="V247" s="193"/>
    </row>
    <row r="248" spans="1:22" s="191" customFormat="1">
      <c r="A248" s="193" t="s">
        <v>542</v>
      </c>
      <c r="B248" s="193">
        <v>1955</v>
      </c>
      <c r="C248" s="196">
        <v>29.840940525587801</v>
      </c>
      <c r="D248" s="196">
        <v>1.0776525648131099</v>
      </c>
      <c r="E248" s="191" t="s">
        <v>536</v>
      </c>
      <c r="G248" s="193"/>
      <c r="H248" s="193"/>
      <c r="I248" s="193"/>
      <c r="J248" s="193"/>
      <c r="K248" s="193"/>
      <c r="L248" s="193"/>
      <c r="M248" s="193"/>
      <c r="N248" s="193"/>
      <c r="O248" s="193"/>
      <c r="P248" s="193"/>
      <c r="Q248" s="193"/>
      <c r="R248" s="193"/>
      <c r="S248" s="193"/>
      <c r="T248" s="193"/>
      <c r="U248" s="193"/>
      <c r="V248" s="193"/>
    </row>
    <row r="249" spans="1:22" s="191" customFormat="1">
      <c r="A249" s="193" t="s">
        <v>542</v>
      </c>
      <c r="B249" s="193">
        <v>1956</v>
      </c>
      <c r="C249" s="196">
        <v>28.607455785832101</v>
      </c>
      <c r="D249" s="196">
        <v>1.20933349579626</v>
      </c>
      <c r="E249" s="191" t="s">
        <v>536</v>
      </c>
      <c r="G249" s="193"/>
      <c r="H249" s="193"/>
      <c r="I249" s="193"/>
      <c r="J249" s="193"/>
      <c r="K249" s="193"/>
      <c r="L249" s="193"/>
      <c r="M249" s="193"/>
      <c r="N249" s="193"/>
      <c r="O249" s="193"/>
      <c r="P249" s="193"/>
      <c r="Q249" s="193"/>
      <c r="R249" s="193"/>
      <c r="S249" s="193"/>
      <c r="T249" s="193"/>
      <c r="U249" s="193"/>
      <c r="V249" s="193"/>
    </row>
    <row r="250" spans="1:22" s="191" customFormat="1">
      <c r="A250" s="193" t="s">
        <v>542</v>
      </c>
      <c r="B250" s="193">
        <v>1957</v>
      </c>
      <c r="C250" s="196">
        <v>27.085488287192</v>
      </c>
      <c r="D250" s="196">
        <v>7.5876598946576399</v>
      </c>
      <c r="E250" s="191" t="s">
        <v>536</v>
      </c>
      <c r="G250" s="193"/>
      <c r="H250" s="193"/>
      <c r="I250" s="193"/>
      <c r="J250" s="193"/>
      <c r="K250" s="193"/>
      <c r="L250" s="193"/>
      <c r="M250" s="193"/>
      <c r="N250" s="193"/>
      <c r="O250" s="193"/>
      <c r="P250" s="193"/>
      <c r="Q250" s="193"/>
      <c r="R250" s="193"/>
      <c r="S250" s="193"/>
      <c r="T250" s="193"/>
      <c r="U250" s="193"/>
      <c r="V250" s="193"/>
    </row>
    <row r="251" spans="1:22" s="191" customFormat="1">
      <c r="A251" s="193" t="s">
        <v>542</v>
      </c>
      <c r="B251" s="193">
        <v>1958</v>
      </c>
      <c r="C251" s="196">
        <v>26.147350029120599</v>
      </c>
      <c r="D251" s="196">
        <v>2.2520002238012502</v>
      </c>
      <c r="E251" s="191" t="s">
        <v>536</v>
      </c>
      <c r="G251" s="193"/>
      <c r="H251" s="193"/>
      <c r="I251" s="193"/>
      <c r="J251" s="193"/>
      <c r="K251" s="193"/>
      <c r="L251" s="193"/>
      <c r="M251" s="193"/>
      <c r="N251" s="193"/>
      <c r="O251" s="193"/>
      <c r="P251" s="193"/>
      <c r="Q251" s="193"/>
      <c r="R251" s="193"/>
      <c r="S251" s="193"/>
      <c r="T251" s="193"/>
      <c r="U251" s="193"/>
      <c r="V251" s="193"/>
    </row>
    <row r="252" spans="1:22" s="191" customFormat="1">
      <c r="A252" s="193" t="s">
        <v>542</v>
      </c>
      <c r="B252" s="193">
        <v>1959</v>
      </c>
      <c r="C252" s="196">
        <v>23.119945383888201</v>
      </c>
      <c r="D252" s="196">
        <v>7.4389209597548698</v>
      </c>
      <c r="E252" s="191" t="s">
        <v>536</v>
      </c>
      <c r="G252" s="193"/>
      <c r="H252" s="193"/>
      <c r="I252" s="193"/>
      <c r="J252" s="193"/>
      <c r="K252" s="193"/>
      <c r="L252" s="193"/>
      <c r="M252" s="193"/>
      <c r="N252" s="193"/>
      <c r="O252" s="193"/>
      <c r="P252" s="193"/>
      <c r="Q252" s="193"/>
      <c r="R252" s="193"/>
      <c r="S252" s="193"/>
      <c r="T252" s="193"/>
      <c r="U252" s="193"/>
      <c r="V252" s="193"/>
    </row>
    <row r="253" spans="1:22" s="191" customFormat="1">
      <c r="A253" s="193" t="s">
        <v>542</v>
      </c>
      <c r="B253" s="193">
        <v>1960</v>
      </c>
      <c r="C253" s="196">
        <v>19.925954984553499</v>
      </c>
      <c r="D253" s="196">
        <v>2.7934810287751501</v>
      </c>
      <c r="E253" s="191" t="s">
        <v>536</v>
      </c>
      <c r="G253" s="193"/>
      <c r="H253" s="193"/>
      <c r="I253" s="193"/>
      <c r="J253" s="193"/>
      <c r="K253" s="193"/>
      <c r="L253" s="193"/>
      <c r="M253" s="193"/>
      <c r="N253" s="193"/>
      <c r="O253" s="193"/>
      <c r="P253" s="193"/>
      <c r="Q253" s="193"/>
      <c r="R253" s="193"/>
      <c r="S253" s="193"/>
      <c r="T253" s="193"/>
      <c r="U253" s="193"/>
      <c r="V253" s="193"/>
    </row>
    <row r="254" spans="1:22" s="191" customFormat="1">
      <c r="A254" s="193" t="s">
        <v>542</v>
      </c>
      <c r="B254" s="193">
        <v>1961</v>
      </c>
      <c r="C254" s="196">
        <v>16.404331813398802</v>
      </c>
      <c r="D254" s="196">
        <v>6.3393365868159597</v>
      </c>
      <c r="E254" s="191" t="s">
        <v>536</v>
      </c>
      <c r="G254" s="193"/>
      <c r="H254" s="193"/>
      <c r="I254" s="193"/>
      <c r="J254" s="193"/>
      <c r="K254" s="193"/>
      <c r="L254" s="193"/>
      <c r="M254" s="193"/>
      <c r="N254" s="193"/>
      <c r="O254" s="193"/>
      <c r="P254" s="193"/>
      <c r="Q254" s="193"/>
      <c r="R254" s="193"/>
      <c r="S254" s="193"/>
      <c r="T254" s="193"/>
      <c r="U254" s="193"/>
      <c r="V254" s="193"/>
    </row>
    <row r="255" spans="1:22" s="191" customFormat="1">
      <c r="A255" s="193" t="s">
        <v>542</v>
      </c>
      <c r="B255" s="193">
        <v>1962</v>
      </c>
      <c r="C255" s="196">
        <v>15.0816354330862</v>
      </c>
      <c r="D255" s="196">
        <v>5.5187997949960304</v>
      </c>
      <c r="E255" s="191" t="s">
        <v>536</v>
      </c>
      <c r="G255" s="193"/>
      <c r="H255" s="193"/>
      <c r="I255" s="193"/>
      <c r="J255" s="193"/>
      <c r="K255" s="193"/>
      <c r="L255" s="193"/>
      <c r="M255" s="193"/>
      <c r="N255" s="193"/>
      <c r="O255" s="193"/>
      <c r="P255" s="193"/>
      <c r="Q255" s="193"/>
      <c r="R255" s="193"/>
      <c r="S255" s="193"/>
      <c r="T255" s="193"/>
      <c r="U255" s="193"/>
      <c r="V255" s="193"/>
    </row>
    <row r="256" spans="1:22" s="191" customFormat="1">
      <c r="A256" s="193" t="s">
        <v>542</v>
      </c>
      <c r="B256" s="193">
        <v>1963</v>
      </c>
      <c r="C256" s="196">
        <v>13.4740798054604</v>
      </c>
      <c r="D256" s="196">
        <v>0.62700077271222698</v>
      </c>
      <c r="E256" s="191" t="s">
        <v>536</v>
      </c>
      <c r="G256" s="193"/>
      <c r="H256" s="193"/>
      <c r="I256" s="193"/>
      <c r="J256" s="193"/>
      <c r="K256" s="193"/>
      <c r="L256" s="193"/>
      <c r="M256" s="193"/>
      <c r="N256" s="193"/>
      <c r="O256" s="193"/>
      <c r="P256" s="193"/>
      <c r="Q256" s="193"/>
      <c r="R256" s="193"/>
      <c r="S256" s="193"/>
      <c r="T256" s="193"/>
      <c r="U256" s="193"/>
      <c r="V256" s="193"/>
    </row>
    <row r="257" spans="1:22" s="191" customFormat="1">
      <c r="A257" s="193" t="s">
        <v>542</v>
      </c>
      <c r="B257" s="193">
        <v>1964</v>
      </c>
      <c r="C257" s="196">
        <v>10.754403777659601</v>
      </c>
      <c r="D257" s="196">
        <v>9.3551855020952601</v>
      </c>
      <c r="E257" s="191" t="s">
        <v>536</v>
      </c>
      <c r="G257" s="193"/>
      <c r="H257" s="193"/>
      <c r="I257" s="193"/>
      <c r="J257" s="193"/>
      <c r="K257" s="193"/>
      <c r="L257" s="193"/>
      <c r="M257" s="193"/>
      <c r="N257" s="193"/>
      <c r="O257" s="193"/>
      <c r="P257" s="193"/>
      <c r="Q257" s="193"/>
      <c r="R257" s="193"/>
      <c r="S257" s="193"/>
      <c r="T257" s="193"/>
      <c r="U257" s="193"/>
      <c r="V257" s="193"/>
    </row>
    <row r="258" spans="1:22" s="191" customFormat="1">
      <c r="A258" s="193" t="s">
        <v>542</v>
      </c>
      <c r="B258" s="193">
        <v>1965</v>
      </c>
      <c r="C258" s="196">
        <v>7.86657101865136</v>
      </c>
      <c r="D258" s="196">
        <v>4.5623257027064898</v>
      </c>
      <c r="E258" s="191" t="s">
        <v>536</v>
      </c>
      <c r="G258" s="193"/>
      <c r="H258" s="193"/>
      <c r="I258" s="193"/>
      <c r="J258" s="193"/>
      <c r="K258" s="193"/>
      <c r="L258" s="193"/>
      <c r="M258" s="193"/>
      <c r="N258" s="193"/>
      <c r="O258" s="193"/>
      <c r="P258" s="193"/>
      <c r="Q258" s="193"/>
      <c r="R258" s="193"/>
      <c r="S258" s="193"/>
      <c r="T258" s="193"/>
      <c r="U258" s="193"/>
      <c r="V258" s="193"/>
    </row>
    <row r="259" spans="1:22" s="191" customFormat="1">
      <c r="A259" s="193" t="s">
        <v>542</v>
      </c>
      <c r="B259" s="193">
        <v>1966</v>
      </c>
      <c r="C259" s="196">
        <v>6.0962160106484102</v>
      </c>
      <c r="D259" s="196">
        <v>2.7284763129113299</v>
      </c>
      <c r="E259" s="191" t="s">
        <v>536</v>
      </c>
      <c r="G259" s="193"/>
      <c r="H259" s="193"/>
      <c r="I259" s="193"/>
      <c r="J259" s="193"/>
      <c r="K259" s="193"/>
      <c r="L259" s="193"/>
      <c r="M259" s="193"/>
      <c r="N259" s="193"/>
      <c r="O259" s="193"/>
      <c r="P259" s="193"/>
      <c r="Q259" s="193"/>
      <c r="R259" s="193"/>
      <c r="S259" s="193"/>
      <c r="T259" s="193"/>
      <c r="U259" s="193"/>
      <c r="V259" s="193"/>
    </row>
    <row r="260" spans="1:22" s="191" customFormat="1">
      <c r="A260" s="193" t="s">
        <v>542</v>
      </c>
      <c r="B260" s="193">
        <v>1967</v>
      </c>
      <c r="C260" s="196">
        <v>5.8197343890257098</v>
      </c>
      <c r="D260" s="196">
        <v>3.3620351519453102</v>
      </c>
      <c r="E260" s="191" t="s">
        <v>536</v>
      </c>
      <c r="G260" s="193"/>
      <c r="H260" s="193"/>
      <c r="I260" s="193"/>
      <c r="J260" s="193"/>
      <c r="K260" s="193"/>
      <c r="L260" s="193"/>
      <c r="M260" s="193"/>
      <c r="N260" s="193"/>
      <c r="O260" s="193"/>
      <c r="P260" s="193"/>
      <c r="Q260" s="193"/>
      <c r="R260" s="193"/>
      <c r="S260" s="193"/>
      <c r="T260" s="193"/>
      <c r="U260" s="193"/>
      <c r="V260" s="193"/>
    </row>
    <row r="261" spans="1:22" s="191" customFormat="1">
      <c r="A261" s="193" t="s">
        <v>542</v>
      </c>
      <c r="B261" s="193">
        <v>1968</v>
      </c>
      <c r="C261" s="196">
        <v>5.2929998140995203</v>
      </c>
      <c r="D261" s="196">
        <v>4.1092177307143301</v>
      </c>
      <c r="E261" s="191" t="s">
        <v>536</v>
      </c>
      <c r="G261" s="193"/>
      <c r="H261" s="193"/>
      <c r="I261" s="193"/>
      <c r="J261" s="193"/>
      <c r="K261" s="193"/>
      <c r="L261" s="193"/>
      <c r="M261" s="193"/>
      <c r="N261" s="193"/>
      <c r="O261" s="193"/>
      <c r="P261" s="193"/>
      <c r="Q261" s="193"/>
      <c r="R261" s="193"/>
      <c r="S261" s="193"/>
      <c r="T261" s="193"/>
      <c r="U261" s="193"/>
      <c r="V261" s="193"/>
    </row>
    <row r="262" spans="1:22" s="191" customFormat="1">
      <c r="A262" s="193" t="s">
        <v>542</v>
      </c>
      <c r="B262" s="193">
        <v>1969</v>
      </c>
      <c r="C262" s="196">
        <v>4.7524142554309403</v>
      </c>
      <c r="D262" s="196">
        <v>6.3700900838352403</v>
      </c>
      <c r="E262" s="191" t="s">
        <v>536</v>
      </c>
      <c r="G262" s="193"/>
      <c r="H262" s="193"/>
      <c r="I262" s="193"/>
      <c r="J262" s="193"/>
      <c r="K262" s="193"/>
      <c r="L262" s="193"/>
      <c r="M262" s="193"/>
      <c r="N262" s="193"/>
      <c r="O262" s="193"/>
      <c r="P262" s="193"/>
      <c r="Q262" s="193"/>
      <c r="R262" s="193"/>
      <c r="S262" s="193"/>
      <c r="T262" s="193"/>
      <c r="U262" s="193"/>
      <c r="V262" s="193"/>
    </row>
    <row r="263" spans="1:22" s="191" customFormat="1">
      <c r="A263" s="193" t="s">
        <v>542</v>
      </c>
      <c r="B263" s="193">
        <v>1970</v>
      </c>
      <c r="C263" s="196">
        <v>4.8066610448408804</v>
      </c>
      <c r="D263" s="196">
        <v>2.0250314116475998</v>
      </c>
      <c r="E263" s="191" t="s">
        <v>536</v>
      </c>
      <c r="G263" s="193"/>
      <c r="H263" s="193"/>
      <c r="I263" s="193"/>
      <c r="J263" s="193"/>
      <c r="K263" s="193"/>
      <c r="L263" s="193"/>
      <c r="M263" s="193"/>
      <c r="N263" s="193"/>
      <c r="O263" s="193"/>
      <c r="P263" s="193"/>
      <c r="Q263" s="193"/>
      <c r="R263" s="193"/>
      <c r="S263" s="193"/>
      <c r="T263" s="193"/>
      <c r="U263" s="193"/>
      <c r="V263" s="193"/>
    </row>
    <row r="264" spans="1:22" s="191" customFormat="1">
      <c r="A264" s="193" t="s">
        <v>542</v>
      </c>
      <c r="B264" s="193">
        <v>1971</v>
      </c>
      <c r="C264" s="196">
        <v>5.0172268472651496</v>
      </c>
      <c r="D264" s="196">
        <v>2.6661761883436799</v>
      </c>
      <c r="E264" s="191" t="s">
        <v>536</v>
      </c>
      <c r="G264" s="193"/>
      <c r="H264" s="193"/>
      <c r="I264" s="193"/>
      <c r="J264" s="193"/>
      <c r="K264" s="193"/>
      <c r="L264" s="193"/>
      <c r="M264" s="193"/>
      <c r="N264" s="193"/>
      <c r="O264" s="193"/>
      <c r="P264" s="193"/>
      <c r="Q264" s="193"/>
      <c r="R264" s="193"/>
      <c r="S264" s="193"/>
      <c r="T264" s="193"/>
      <c r="U264" s="193"/>
      <c r="V264" s="193"/>
    </row>
    <row r="265" spans="1:22" s="191" customFormat="1">
      <c r="A265" s="193" t="s">
        <v>542</v>
      </c>
      <c r="B265" s="193">
        <v>1972</v>
      </c>
      <c r="C265" s="196">
        <v>5.2844717137835397</v>
      </c>
      <c r="D265" s="196">
        <v>5.27644062251718</v>
      </c>
      <c r="E265" s="191" t="s">
        <v>536</v>
      </c>
      <c r="G265" s="193"/>
      <c r="H265" s="193"/>
      <c r="I265" s="193"/>
      <c r="J265" s="193"/>
      <c r="K265" s="193"/>
      <c r="L265" s="193"/>
      <c r="M265" s="193"/>
      <c r="N265" s="193"/>
      <c r="O265" s="193"/>
      <c r="P265" s="193"/>
      <c r="Q265" s="193"/>
      <c r="R265" s="193"/>
      <c r="S265" s="193"/>
      <c r="T265" s="193"/>
      <c r="U265" s="193"/>
      <c r="V265" s="193"/>
    </row>
    <row r="266" spans="1:22" s="191" customFormat="1">
      <c r="A266" s="193" t="s">
        <v>542</v>
      </c>
      <c r="B266" s="193">
        <v>1973</v>
      </c>
      <c r="C266" s="196">
        <v>4.9619713171114999</v>
      </c>
      <c r="D266" s="196">
        <v>3.63135931812129</v>
      </c>
      <c r="E266" s="191" t="s">
        <v>536</v>
      </c>
      <c r="G266" s="193"/>
      <c r="H266" s="193"/>
      <c r="I266" s="193"/>
      <c r="J266" s="193"/>
      <c r="K266" s="193"/>
      <c r="L266" s="193"/>
      <c r="M266" s="193"/>
      <c r="N266" s="193"/>
      <c r="O266" s="193"/>
      <c r="P266" s="193"/>
      <c r="Q266" s="193"/>
      <c r="R266" s="193"/>
      <c r="S266" s="193"/>
      <c r="T266" s="193"/>
      <c r="U266" s="193"/>
      <c r="V266" s="193"/>
    </row>
    <row r="267" spans="1:22" s="191" customFormat="1">
      <c r="A267" s="193" t="s">
        <v>542</v>
      </c>
      <c r="B267" s="193">
        <v>1974</v>
      </c>
      <c r="C267" s="196">
        <v>4.5608446528028201</v>
      </c>
      <c r="D267" s="196">
        <v>-0.93243088873657998</v>
      </c>
      <c r="E267" s="191" t="s">
        <v>536</v>
      </c>
      <c r="G267" s="193"/>
      <c r="H267" s="193"/>
      <c r="I267" s="193"/>
      <c r="J267" s="193"/>
      <c r="K267" s="193"/>
      <c r="L267" s="193"/>
      <c r="M267" s="193"/>
      <c r="N267" s="193"/>
      <c r="O267" s="193"/>
      <c r="P267" s="193"/>
      <c r="Q267" s="193"/>
      <c r="R267" s="193"/>
      <c r="S267" s="193"/>
      <c r="T267" s="193"/>
      <c r="U267" s="193"/>
      <c r="V267" s="193"/>
    </row>
    <row r="268" spans="1:22" s="191" customFormat="1">
      <c r="A268" s="193" t="s">
        <v>542</v>
      </c>
      <c r="B268" s="193">
        <v>1975</v>
      </c>
      <c r="C268" s="196">
        <v>4.3378801240929201</v>
      </c>
      <c r="D268" s="196">
        <v>-0.660142117931939</v>
      </c>
      <c r="E268" s="191" t="s">
        <v>536</v>
      </c>
      <c r="G268" s="193"/>
      <c r="H268" s="193"/>
      <c r="I268" s="193"/>
      <c r="J268" s="193"/>
      <c r="K268" s="193"/>
      <c r="L268" s="193"/>
      <c r="M268" s="193"/>
      <c r="N268" s="193"/>
      <c r="O268" s="193"/>
      <c r="P268" s="193"/>
      <c r="Q268" s="193"/>
      <c r="R268" s="193"/>
      <c r="S268" s="193"/>
      <c r="T268" s="193"/>
      <c r="U268" s="193"/>
      <c r="V268" s="193"/>
    </row>
    <row r="269" spans="1:22" s="191" customFormat="1">
      <c r="A269" s="193" t="s">
        <v>542</v>
      </c>
      <c r="B269" s="193">
        <v>1980</v>
      </c>
      <c r="C269" s="196">
        <v>34.972999999999999</v>
      </c>
      <c r="D269" s="196">
        <v>-0.44157435295318898</v>
      </c>
      <c r="E269" s="191" t="s">
        <v>537</v>
      </c>
      <c r="G269" s="193"/>
      <c r="H269" s="193"/>
      <c r="I269" s="193"/>
      <c r="J269" s="193"/>
      <c r="K269" s="193"/>
      <c r="L269" s="193"/>
      <c r="M269" s="193"/>
      <c r="N269" s="193"/>
      <c r="O269" s="193"/>
      <c r="P269" s="193"/>
      <c r="Q269" s="193"/>
      <c r="R269" s="193"/>
      <c r="S269" s="193"/>
      <c r="T269" s="193"/>
      <c r="U269" s="193"/>
      <c r="V269" s="193"/>
    </row>
    <row r="270" spans="1:22" s="191" customFormat="1">
      <c r="A270" s="193" t="s">
        <v>542</v>
      </c>
      <c r="B270" s="193">
        <v>1981</v>
      </c>
      <c r="C270" s="196">
        <v>45.433</v>
      </c>
      <c r="D270" s="196">
        <v>-0.88690382023519598</v>
      </c>
      <c r="E270" s="191" t="s">
        <v>537</v>
      </c>
      <c r="G270" s="193"/>
      <c r="H270" s="193"/>
      <c r="I270" s="193"/>
      <c r="J270" s="193"/>
      <c r="K270" s="193"/>
      <c r="L270" s="193"/>
      <c r="M270" s="193"/>
      <c r="N270" s="193"/>
      <c r="O270" s="193"/>
      <c r="P270" s="193"/>
      <c r="Q270" s="193"/>
      <c r="R270" s="193"/>
      <c r="S270" s="193"/>
      <c r="T270" s="193"/>
      <c r="U270" s="193"/>
      <c r="V270" s="193"/>
    </row>
    <row r="271" spans="1:22" s="191" customFormat="1">
      <c r="A271" s="193" t="s">
        <v>542</v>
      </c>
      <c r="B271" s="193">
        <v>1982</v>
      </c>
      <c r="C271" s="196">
        <v>58.548000000000002</v>
      </c>
      <c r="D271" s="196">
        <v>3.7139827441353499</v>
      </c>
      <c r="E271" s="191" t="s">
        <v>537</v>
      </c>
      <c r="G271" s="193"/>
      <c r="H271" s="193"/>
      <c r="I271" s="193"/>
      <c r="J271" s="193"/>
      <c r="K271" s="193"/>
      <c r="L271" s="193"/>
      <c r="M271" s="193"/>
      <c r="N271" s="193"/>
      <c r="O271" s="193"/>
      <c r="P271" s="193"/>
      <c r="Q271" s="193"/>
      <c r="R271" s="193"/>
      <c r="S271" s="193"/>
      <c r="T271" s="193"/>
      <c r="U271" s="193"/>
      <c r="V271" s="193"/>
    </row>
    <row r="272" spans="1:22" s="191" customFormat="1">
      <c r="A272" s="193" t="s">
        <v>542</v>
      </c>
      <c r="B272" s="193">
        <v>1983</v>
      </c>
      <c r="C272" s="196">
        <v>70.274000000000001</v>
      </c>
      <c r="D272" s="196">
        <v>2.65185724255999</v>
      </c>
      <c r="E272" s="191" t="s">
        <v>538</v>
      </c>
      <c r="G272" s="193"/>
      <c r="H272" s="193"/>
      <c r="I272" s="193"/>
      <c r="J272" s="193"/>
      <c r="K272" s="193"/>
      <c r="L272" s="193"/>
      <c r="M272" s="193"/>
      <c r="N272" s="193"/>
      <c r="O272" s="193"/>
      <c r="P272" s="193"/>
      <c r="Q272" s="193"/>
      <c r="R272" s="193"/>
      <c r="S272" s="193"/>
      <c r="T272" s="193"/>
      <c r="U272" s="193"/>
      <c r="V272" s="193"/>
    </row>
    <row r="273" spans="1:22" s="191" customFormat="1">
      <c r="A273" s="193" t="s">
        <v>542</v>
      </c>
      <c r="B273" s="193">
        <v>1984</v>
      </c>
      <c r="C273" s="196">
        <v>72.978999999999999</v>
      </c>
      <c r="D273" s="196">
        <v>4.1655770989722498</v>
      </c>
      <c r="E273" s="191" t="s">
        <v>538</v>
      </c>
      <c r="G273" s="193"/>
      <c r="H273" s="193"/>
      <c r="I273" s="193"/>
      <c r="J273" s="193"/>
      <c r="K273" s="193"/>
      <c r="L273" s="193"/>
      <c r="M273" s="193"/>
      <c r="N273" s="193"/>
      <c r="O273" s="193"/>
      <c r="P273" s="193"/>
      <c r="Q273" s="193"/>
      <c r="R273" s="193"/>
      <c r="S273" s="193"/>
      <c r="T273" s="193"/>
      <c r="U273" s="193"/>
      <c r="V273" s="193"/>
    </row>
    <row r="274" spans="1:22" s="191" customFormat="1">
      <c r="A274" s="193" t="s">
        <v>542</v>
      </c>
      <c r="B274" s="193">
        <v>1985</v>
      </c>
      <c r="C274" s="196">
        <v>70.83</v>
      </c>
      <c r="D274" s="196">
        <v>4.0244344648684898</v>
      </c>
      <c r="E274" s="191" t="s">
        <v>538</v>
      </c>
      <c r="G274" s="193"/>
      <c r="H274" s="193"/>
      <c r="I274" s="193"/>
      <c r="J274" s="193"/>
      <c r="K274" s="193"/>
      <c r="L274" s="193"/>
      <c r="M274" s="193"/>
      <c r="N274" s="193"/>
      <c r="O274" s="193"/>
      <c r="P274" s="193"/>
      <c r="Q274" s="193"/>
      <c r="R274" s="193"/>
      <c r="S274" s="193"/>
      <c r="T274" s="193"/>
      <c r="U274" s="193"/>
      <c r="V274" s="193"/>
    </row>
    <row r="275" spans="1:22" s="191" customFormat="1">
      <c r="A275" s="193" t="s">
        <v>542</v>
      </c>
      <c r="B275" s="193">
        <v>1986</v>
      </c>
      <c r="C275" s="196">
        <v>67.730999999999995</v>
      </c>
      <c r="D275" s="196">
        <v>4.9492408925880396</v>
      </c>
      <c r="E275" s="191" t="s">
        <v>538</v>
      </c>
      <c r="G275" s="193"/>
      <c r="H275" s="193"/>
      <c r="I275" s="193"/>
      <c r="J275" s="193"/>
      <c r="K275" s="193"/>
      <c r="L275" s="193"/>
      <c r="M275" s="193"/>
      <c r="N275" s="193"/>
      <c r="O275" s="193"/>
      <c r="P275" s="193"/>
      <c r="Q275" s="193"/>
      <c r="R275" s="193"/>
      <c r="S275" s="193"/>
      <c r="T275" s="193"/>
      <c r="U275" s="193"/>
      <c r="V275" s="193"/>
    </row>
    <row r="276" spans="1:22" s="191" customFormat="1">
      <c r="A276" s="193" t="s">
        <v>542</v>
      </c>
      <c r="B276" s="193">
        <v>1987</v>
      </c>
      <c r="C276" s="196">
        <v>64.852000000000004</v>
      </c>
      <c r="D276" s="196">
        <v>0.28993683117541902</v>
      </c>
      <c r="E276" s="191" t="s">
        <v>538</v>
      </c>
      <c r="G276" s="193"/>
      <c r="H276" s="193"/>
      <c r="I276" s="193"/>
      <c r="J276" s="193"/>
      <c r="K276" s="193"/>
      <c r="L276" s="193"/>
      <c r="M276" s="193"/>
      <c r="N276" s="193"/>
      <c r="O276" s="193"/>
      <c r="P276" s="193"/>
      <c r="Q276" s="193"/>
      <c r="R276" s="193"/>
      <c r="S276" s="193"/>
      <c r="T276" s="193"/>
      <c r="U276" s="193"/>
      <c r="V276" s="193"/>
    </row>
    <row r="277" spans="1:22" s="191" customFormat="1">
      <c r="A277" s="193" t="s">
        <v>542</v>
      </c>
      <c r="B277" s="193">
        <v>1988</v>
      </c>
      <c r="C277" s="196">
        <v>62.68</v>
      </c>
      <c r="D277" s="196">
        <v>-0.142664109582336</v>
      </c>
      <c r="E277" s="191" t="s">
        <v>538</v>
      </c>
      <c r="G277" s="193"/>
      <c r="H277" s="193"/>
      <c r="I277" s="193"/>
      <c r="J277" s="193"/>
      <c r="K277" s="193"/>
      <c r="L277" s="193"/>
      <c r="M277" s="193"/>
      <c r="N277" s="193"/>
      <c r="O277" s="193"/>
      <c r="P277" s="193"/>
      <c r="Q277" s="193"/>
      <c r="R277" s="193"/>
      <c r="S277" s="193"/>
      <c r="T277" s="193"/>
      <c r="U277" s="193"/>
      <c r="V277" s="193"/>
    </row>
    <row r="278" spans="1:22" s="191" customFormat="1">
      <c r="A278" s="193" t="s">
        <v>542</v>
      </c>
      <c r="B278" s="193">
        <v>1989</v>
      </c>
      <c r="C278" s="196">
        <v>61.198</v>
      </c>
      <c r="D278" s="196">
        <v>0.57290040268345199</v>
      </c>
      <c r="E278" s="191" t="s">
        <v>538</v>
      </c>
      <c r="G278" s="193"/>
      <c r="H278" s="193"/>
      <c r="I278" s="193"/>
      <c r="J278" s="193"/>
      <c r="K278" s="193"/>
      <c r="L278" s="193"/>
      <c r="M278" s="193"/>
      <c r="N278" s="193"/>
      <c r="O278" s="193"/>
      <c r="P278" s="193"/>
      <c r="Q278" s="193"/>
      <c r="R278" s="193"/>
      <c r="S278" s="193"/>
      <c r="T278" s="193"/>
      <c r="U278" s="193"/>
      <c r="V278" s="193"/>
    </row>
    <row r="279" spans="1:22" s="191" customFormat="1">
      <c r="A279" s="193" t="s">
        <v>542</v>
      </c>
      <c r="B279" s="193">
        <v>1990</v>
      </c>
      <c r="C279" s="196">
        <v>62.523196391355199</v>
      </c>
      <c r="D279" s="196">
        <v>1.60744363496155</v>
      </c>
      <c r="E279" s="191" t="s">
        <v>538</v>
      </c>
      <c r="G279" s="193"/>
      <c r="H279" s="193"/>
      <c r="I279" s="193"/>
      <c r="J279" s="193"/>
      <c r="K279" s="193"/>
      <c r="L279" s="193"/>
      <c r="M279" s="193"/>
      <c r="N279" s="193"/>
      <c r="O279" s="193"/>
      <c r="P279" s="193"/>
      <c r="Q279" s="193"/>
      <c r="R279" s="193"/>
      <c r="S279" s="193"/>
      <c r="T279" s="193"/>
      <c r="U279" s="193"/>
      <c r="V279" s="193"/>
    </row>
    <row r="280" spans="1:22" s="191" customFormat="1">
      <c r="A280" s="193" t="s">
        <v>542</v>
      </c>
      <c r="B280" s="193">
        <v>1991</v>
      </c>
      <c r="C280" s="196">
        <v>63.44047037672</v>
      </c>
      <c r="D280" s="196">
        <v>1.3004028432706001</v>
      </c>
      <c r="E280" s="191" t="s">
        <v>538</v>
      </c>
      <c r="G280" s="193"/>
      <c r="H280" s="193"/>
      <c r="I280" s="193"/>
      <c r="J280" s="193"/>
      <c r="K280" s="193"/>
      <c r="L280" s="193"/>
      <c r="M280" s="193"/>
      <c r="N280" s="193"/>
      <c r="O280" s="193"/>
      <c r="P280" s="193"/>
      <c r="Q280" s="193"/>
      <c r="R280" s="193"/>
      <c r="S280" s="193"/>
      <c r="T280" s="193"/>
      <c r="U280" s="193"/>
      <c r="V280" s="193"/>
    </row>
    <row r="281" spans="1:22" s="191" customFormat="1">
      <c r="A281" s="193" t="s">
        <v>542</v>
      </c>
      <c r="B281" s="193">
        <v>1992</v>
      </c>
      <c r="C281" s="196">
        <v>67.957577529106203</v>
      </c>
      <c r="D281" s="196">
        <v>1.97544568041923</v>
      </c>
      <c r="E281" s="191" t="s">
        <v>538</v>
      </c>
      <c r="G281" s="193"/>
      <c r="H281" s="193"/>
      <c r="I281" s="193"/>
      <c r="J281" s="193"/>
      <c r="K281" s="193"/>
      <c r="L281" s="193"/>
      <c r="M281" s="193"/>
      <c r="N281" s="193"/>
      <c r="O281" s="193"/>
      <c r="P281" s="193"/>
      <c r="Q281" s="193"/>
      <c r="R281" s="193"/>
      <c r="S281" s="193"/>
      <c r="T281" s="193"/>
      <c r="U281" s="193"/>
      <c r="V281" s="193"/>
    </row>
    <row r="282" spans="1:22" s="191" customFormat="1">
      <c r="A282" s="193" t="s">
        <v>542</v>
      </c>
      <c r="B282" s="193">
        <v>1993</v>
      </c>
      <c r="C282" s="196">
        <v>79.819348131023006</v>
      </c>
      <c r="D282" s="196">
        <v>-8.9613444143366E-2</v>
      </c>
      <c r="E282" s="191" t="s">
        <v>538</v>
      </c>
      <c r="G282" s="193"/>
      <c r="H282" s="193"/>
      <c r="I282" s="193"/>
      <c r="J282" s="193"/>
      <c r="K282" s="193"/>
      <c r="L282" s="193"/>
      <c r="M282" s="193"/>
      <c r="N282" s="193"/>
      <c r="O282" s="193"/>
      <c r="P282" s="193"/>
      <c r="Q282" s="193"/>
      <c r="R282" s="193"/>
      <c r="S282" s="193"/>
      <c r="T282" s="193"/>
      <c r="U282" s="193"/>
      <c r="V282" s="193"/>
    </row>
    <row r="283" spans="1:22" s="191" customFormat="1">
      <c r="A283" s="193" t="s">
        <v>542</v>
      </c>
      <c r="B283" s="193">
        <v>1994</v>
      </c>
      <c r="C283" s="196">
        <v>76.800638725823902</v>
      </c>
      <c r="D283" s="196">
        <v>5.52541034681611</v>
      </c>
      <c r="E283" s="191" t="s">
        <v>538</v>
      </c>
      <c r="G283" s="193"/>
      <c r="H283" s="193"/>
      <c r="I283" s="193"/>
      <c r="J283" s="193"/>
      <c r="K283" s="193"/>
      <c r="L283" s="193"/>
      <c r="M283" s="193"/>
      <c r="N283" s="193"/>
      <c r="O283" s="193"/>
      <c r="P283" s="193"/>
      <c r="Q283" s="193"/>
      <c r="R283" s="193"/>
      <c r="S283" s="193"/>
      <c r="T283" s="193"/>
      <c r="U283" s="193"/>
      <c r="V283" s="193"/>
    </row>
    <row r="284" spans="1:22" s="191" customFormat="1">
      <c r="A284" s="193" t="s">
        <v>542</v>
      </c>
      <c r="B284" s="193">
        <v>1995</v>
      </c>
      <c r="C284" s="196">
        <v>75.524256037036295</v>
      </c>
      <c r="D284" s="196">
        <v>3.0652233312733301</v>
      </c>
      <c r="E284" s="191" t="s">
        <v>538</v>
      </c>
      <c r="G284" s="193"/>
      <c r="H284" s="193"/>
      <c r="I284" s="193"/>
      <c r="J284" s="193"/>
      <c r="K284" s="193"/>
      <c r="L284" s="193"/>
      <c r="M284" s="193"/>
      <c r="N284" s="193"/>
      <c r="O284" s="193"/>
      <c r="P284" s="193"/>
      <c r="Q284" s="193"/>
      <c r="R284" s="193"/>
      <c r="S284" s="193"/>
      <c r="T284" s="193"/>
      <c r="U284" s="193"/>
      <c r="V284" s="193"/>
    </row>
    <row r="285" spans="1:22" s="191" customFormat="1">
      <c r="A285" s="193" t="s">
        <v>542</v>
      </c>
      <c r="B285" s="193">
        <v>1996</v>
      </c>
      <c r="C285" s="196">
        <v>73.736079813743004</v>
      </c>
      <c r="D285" s="196">
        <v>2.8345663723742498</v>
      </c>
      <c r="E285" s="191" t="s">
        <v>538</v>
      </c>
      <c r="G285" s="193"/>
      <c r="H285" s="193"/>
      <c r="I285" s="193"/>
      <c r="J285" s="193"/>
      <c r="K285" s="193"/>
      <c r="L285" s="193"/>
      <c r="M285" s="193"/>
      <c r="N285" s="193"/>
      <c r="O285" s="193"/>
      <c r="P285" s="193"/>
      <c r="Q285" s="193"/>
      <c r="R285" s="193"/>
      <c r="S285" s="193"/>
      <c r="T285" s="193"/>
      <c r="U285" s="193"/>
      <c r="V285" s="193"/>
    </row>
    <row r="286" spans="1:22" s="191" customFormat="1">
      <c r="A286" s="193" t="s">
        <v>542</v>
      </c>
      <c r="B286" s="193">
        <v>1997</v>
      </c>
      <c r="C286" s="196">
        <v>69.054049251981098</v>
      </c>
      <c r="D286" s="196">
        <v>3.19850784746962</v>
      </c>
      <c r="E286" s="191" t="s">
        <v>538</v>
      </c>
      <c r="G286" s="193"/>
      <c r="H286" s="193"/>
      <c r="I286" s="193"/>
      <c r="J286" s="193"/>
      <c r="K286" s="193"/>
      <c r="L286" s="193"/>
      <c r="M286" s="193"/>
      <c r="N286" s="193"/>
      <c r="O286" s="193"/>
      <c r="P286" s="193"/>
      <c r="Q286" s="193"/>
      <c r="R286" s="193"/>
      <c r="S286" s="193"/>
      <c r="T286" s="193"/>
      <c r="U286" s="193"/>
      <c r="V286" s="193"/>
    </row>
    <row r="287" spans="1:22" s="191" customFormat="1">
      <c r="A287" s="193" t="s">
        <v>542</v>
      </c>
      <c r="B287" s="193">
        <v>1998</v>
      </c>
      <c r="C287" s="196">
        <v>63.998556229697002</v>
      </c>
      <c r="D287" s="196">
        <v>2.1603908504249398</v>
      </c>
      <c r="E287" s="191" t="s">
        <v>538</v>
      </c>
      <c r="G287" s="193"/>
      <c r="H287" s="193"/>
      <c r="I287" s="193"/>
      <c r="J287" s="193"/>
      <c r="K287" s="193"/>
      <c r="L287" s="193"/>
      <c r="M287" s="193"/>
      <c r="N287" s="193"/>
      <c r="O287" s="193"/>
      <c r="P287" s="193"/>
      <c r="Q287" s="193"/>
      <c r="R287" s="193"/>
      <c r="S287" s="193"/>
      <c r="T287" s="193"/>
      <c r="U287" s="193"/>
      <c r="V287" s="193"/>
    </row>
    <row r="288" spans="1:22" s="191" customFormat="1">
      <c r="A288" s="193" t="s">
        <v>542</v>
      </c>
      <c r="B288" s="193">
        <v>1999</v>
      </c>
      <c r="C288" s="196">
        <v>60.866770501124897</v>
      </c>
      <c r="D288" s="196">
        <v>2.5604415352309799</v>
      </c>
      <c r="E288" s="191" t="s">
        <v>538</v>
      </c>
      <c r="G288" s="193"/>
      <c r="H288" s="193"/>
      <c r="I288" s="193"/>
      <c r="J288" s="193"/>
      <c r="K288" s="193"/>
      <c r="L288" s="193"/>
      <c r="M288" s="193"/>
      <c r="N288" s="193"/>
      <c r="O288" s="193"/>
      <c r="P288" s="193"/>
      <c r="Q288" s="193"/>
      <c r="R288" s="193"/>
      <c r="S288" s="193"/>
      <c r="T288" s="193"/>
      <c r="U288" s="193"/>
      <c r="V288" s="193"/>
    </row>
    <row r="289" spans="1:22" s="191" customFormat="1">
      <c r="A289" s="193" t="s">
        <v>542</v>
      </c>
      <c r="B289" s="193">
        <v>2000</v>
      </c>
      <c r="C289" s="196">
        <v>54.963059136294802</v>
      </c>
      <c r="D289" s="196">
        <v>3.5287152161042101</v>
      </c>
      <c r="E289" s="191" t="s">
        <v>537</v>
      </c>
      <c r="G289" s="193"/>
      <c r="H289" s="193"/>
      <c r="I289" s="193"/>
      <c r="J289" s="193"/>
      <c r="K289" s="193"/>
      <c r="L289" s="193"/>
      <c r="M289" s="193"/>
      <c r="N289" s="193"/>
      <c r="O289" s="193"/>
      <c r="P289" s="193"/>
      <c r="Q289" s="193"/>
      <c r="R289" s="193"/>
      <c r="S289" s="193"/>
      <c r="T289" s="193"/>
      <c r="U289" s="193"/>
      <c r="V289" s="193"/>
    </row>
    <row r="290" spans="1:22" s="191" customFormat="1">
      <c r="A290" s="193" t="s">
        <v>542</v>
      </c>
      <c r="B290" s="193">
        <v>2001</v>
      </c>
      <c r="C290" s="196">
        <v>52.021173845658502</v>
      </c>
      <c r="D290" s="196">
        <v>0.70488823491226005</v>
      </c>
      <c r="E290" s="191" t="s">
        <v>537</v>
      </c>
      <c r="G290" s="193"/>
      <c r="H290" s="193"/>
      <c r="I290" s="193"/>
      <c r="J290" s="193"/>
      <c r="K290" s="193"/>
      <c r="L290" s="193"/>
      <c r="M290" s="193"/>
      <c r="N290" s="193"/>
      <c r="O290" s="193"/>
      <c r="P290" s="193"/>
      <c r="Q290" s="193"/>
      <c r="R290" s="193"/>
      <c r="S290" s="193"/>
      <c r="T290" s="193"/>
      <c r="U290" s="193"/>
      <c r="V290" s="193"/>
    </row>
    <row r="291" spans="1:22" s="191" customFormat="1">
      <c r="A291" s="193" t="s">
        <v>542</v>
      </c>
      <c r="B291" s="193">
        <v>2002</v>
      </c>
      <c r="C291" s="196">
        <v>51.619388959307699</v>
      </c>
      <c r="D291" s="196">
        <v>0.46581765579374301</v>
      </c>
      <c r="E291" s="191" t="s">
        <v>537</v>
      </c>
      <c r="G291" s="193"/>
      <c r="H291" s="193"/>
      <c r="I291" s="193"/>
      <c r="J291" s="193"/>
      <c r="K291" s="193"/>
      <c r="L291" s="193"/>
      <c r="M291" s="193"/>
      <c r="N291" s="193"/>
      <c r="O291" s="193"/>
      <c r="P291" s="193"/>
      <c r="Q291" s="193"/>
      <c r="R291" s="193"/>
      <c r="S291" s="193"/>
      <c r="T291" s="193"/>
      <c r="U291" s="193"/>
      <c r="V291" s="193"/>
    </row>
    <row r="292" spans="1:22" s="191" customFormat="1">
      <c r="A292" s="193" t="s">
        <v>542</v>
      </c>
      <c r="B292" s="193">
        <v>2003</v>
      </c>
      <c r="C292" s="196">
        <v>49.611263020368497</v>
      </c>
      <c r="D292" s="196">
        <v>0.38375898957725402</v>
      </c>
      <c r="E292" s="191" t="s">
        <v>537</v>
      </c>
      <c r="G292" s="193"/>
      <c r="H292" s="193"/>
      <c r="I292" s="193"/>
      <c r="J292" s="193"/>
      <c r="K292" s="193"/>
      <c r="L292" s="193"/>
      <c r="M292" s="193"/>
      <c r="N292" s="193"/>
      <c r="O292" s="193"/>
      <c r="P292" s="193"/>
      <c r="Q292" s="193"/>
      <c r="R292" s="193"/>
      <c r="S292" s="193"/>
      <c r="T292" s="193"/>
      <c r="U292" s="193"/>
      <c r="V292" s="193"/>
    </row>
    <row r="293" spans="1:22" s="191" customFormat="1">
      <c r="A293" s="193" t="s">
        <v>542</v>
      </c>
      <c r="B293" s="193">
        <v>2004</v>
      </c>
      <c r="C293" s="196">
        <v>46.958763589736598</v>
      </c>
      <c r="D293" s="196">
        <v>2.2964908128953399</v>
      </c>
      <c r="E293" s="191" t="s">
        <v>537</v>
      </c>
      <c r="G293" s="193"/>
      <c r="H293" s="193"/>
      <c r="I293" s="193"/>
      <c r="J293" s="193"/>
      <c r="K293" s="193"/>
      <c r="L293" s="193"/>
      <c r="M293" s="193"/>
      <c r="N293" s="193"/>
      <c r="O293" s="193"/>
      <c r="P293" s="193"/>
      <c r="Q293" s="193"/>
      <c r="R293" s="193"/>
      <c r="S293" s="193"/>
      <c r="T293" s="193"/>
      <c r="U293" s="193"/>
      <c r="V293" s="193"/>
    </row>
    <row r="294" spans="1:22" s="191" customFormat="1">
      <c r="A294" s="193" t="s">
        <v>542</v>
      </c>
      <c r="B294" s="193">
        <v>2005</v>
      </c>
      <c r="C294" s="196">
        <v>39.291769669829002</v>
      </c>
      <c r="D294" s="196">
        <v>2.4451801936833801</v>
      </c>
      <c r="E294" s="191" t="s">
        <v>537</v>
      </c>
      <c r="G294" s="193"/>
      <c r="H294" s="193"/>
      <c r="I294" s="193"/>
      <c r="J294" s="193"/>
      <c r="K294" s="193"/>
      <c r="L294" s="193"/>
      <c r="M294" s="193"/>
      <c r="N294" s="193"/>
      <c r="O294" s="193"/>
      <c r="P294" s="193"/>
      <c r="Q294" s="193"/>
      <c r="R294" s="193"/>
      <c r="S294" s="193"/>
      <c r="T294" s="193"/>
      <c r="U294" s="193"/>
      <c r="V294" s="193"/>
    </row>
    <row r="295" spans="1:22" s="191" customFormat="1">
      <c r="A295" s="193" t="s">
        <v>542</v>
      </c>
      <c r="B295" s="193">
        <v>2006</v>
      </c>
      <c r="C295" s="196">
        <v>32.803092169492203</v>
      </c>
      <c r="D295" s="196">
        <v>3.3439560974157598</v>
      </c>
      <c r="E295" s="191" t="s">
        <v>537</v>
      </c>
      <c r="G295" s="193"/>
      <c r="H295" s="193"/>
      <c r="I295" s="193"/>
      <c r="J295" s="193"/>
      <c r="K295" s="193"/>
      <c r="L295" s="193"/>
      <c r="M295" s="193"/>
      <c r="N295" s="193"/>
      <c r="O295" s="193"/>
      <c r="P295" s="193"/>
      <c r="Q295" s="193"/>
      <c r="R295" s="193"/>
      <c r="S295" s="193"/>
      <c r="T295" s="193"/>
      <c r="U295" s="193"/>
      <c r="V295" s="193"/>
    </row>
    <row r="296" spans="1:22" s="191" customFormat="1">
      <c r="A296" s="193" t="s">
        <v>542</v>
      </c>
      <c r="B296" s="193">
        <v>2007</v>
      </c>
      <c r="C296" s="196">
        <v>27.885821943373099</v>
      </c>
      <c r="D296" s="196">
        <v>1.6465430324917201</v>
      </c>
      <c r="E296" s="191" t="s">
        <v>536</v>
      </c>
      <c r="G296" s="193"/>
      <c r="H296" s="193"/>
      <c r="I296" s="193"/>
      <c r="J296" s="193"/>
      <c r="K296" s="193"/>
      <c r="L296" s="193"/>
      <c r="M296" s="193"/>
      <c r="N296" s="193"/>
      <c r="O296" s="193"/>
      <c r="P296" s="193"/>
      <c r="Q296" s="193"/>
      <c r="R296" s="193"/>
      <c r="S296" s="193"/>
      <c r="T296" s="193"/>
      <c r="U296" s="193"/>
      <c r="V296" s="193"/>
    </row>
    <row r="297" spans="1:22" s="191" customFormat="1">
      <c r="A297" s="193" t="s">
        <v>542</v>
      </c>
      <c r="B297" s="193">
        <v>2008</v>
      </c>
      <c r="C297" s="196">
        <v>32.433113308160102</v>
      </c>
      <c r="D297" s="196">
        <v>-1.20182205264322</v>
      </c>
      <c r="E297" s="191" t="s">
        <v>537</v>
      </c>
      <c r="G297" s="193"/>
      <c r="H297" s="193"/>
      <c r="I297" s="193"/>
      <c r="J297" s="193"/>
      <c r="K297" s="193"/>
      <c r="L297" s="193"/>
      <c r="M297" s="193"/>
      <c r="N297" s="193"/>
      <c r="O297" s="193"/>
      <c r="P297" s="193"/>
      <c r="Q297" s="193"/>
      <c r="R297" s="193"/>
      <c r="S297" s="193"/>
      <c r="T297" s="193"/>
      <c r="U297" s="193"/>
      <c r="V297" s="193"/>
    </row>
    <row r="298" spans="1:22" s="191" customFormat="1">
      <c r="A298" s="193" t="s">
        <v>542</v>
      </c>
      <c r="B298" s="193">
        <v>2009</v>
      </c>
      <c r="C298" s="196">
        <v>37.721500842163103</v>
      </c>
      <c r="D298" s="196">
        <v>-2.4330229554624498</v>
      </c>
      <c r="E298" s="191" t="s">
        <v>537</v>
      </c>
      <c r="G298" s="193"/>
      <c r="H298" s="193"/>
      <c r="I298" s="193"/>
      <c r="J298" s="193"/>
      <c r="K298" s="193"/>
      <c r="L298" s="193"/>
      <c r="M298" s="193"/>
      <c r="N298" s="193"/>
      <c r="O298" s="193"/>
      <c r="P298" s="193"/>
      <c r="Q298" s="193"/>
      <c r="R298" s="193"/>
      <c r="S298" s="193"/>
      <c r="T298" s="193"/>
      <c r="U298" s="193"/>
      <c r="V298" s="193"/>
    </row>
    <row r="299" spans="1:22" s="191" customFormat="1">
      <c r="A299" s="193" t="s">
        <v>543</v>
      </c>
      <c r="B299" s="193">
        <v>1946</v>
      </c>
      <c r="C299" s="196">
        <v>70.621891110557598</v>
      </c>
      <c r="D299" s="196">
        <v>8.1321239686252191</v>
      </c>
      <c r="E299" s="191" t="s">
        <v>538</v>
      </c>
      <c r="G299" s="193"/>
      <c r="H299" s="193"/>
      <c r="I299" s="193"/>
      <c r="J299" s="193"/>
      <c r="K299" s="193"/>
      <c r="L299" s="193"/>
      <c r="M299" s="193"/>
      <c r="N299" s="193"/>
      <c r="O299" s="193"/>
      <c r="P299" s="193"/>
      <c r="Q299" s="193"/>
      <c r="R299" s="193"/>
      <c r="S299" s="193"/>
      <c r="T299" s="193"/>
      <c r="U299" s="193"/>
      <c r="V299" s="193"/>
    </row>
    <row r="300" spans="1:22" s="191" customFormat="1">
      <c r="A300" s="193" t="s">
        <v>543</v>
      </c>
      <c r="B300" s="193">
        <v>1947</v>
      </c>
      <c r="C300" s="196">
        <v>52.548021508628999</v>
      </c>
      <c r="D300" s="196">
        <v>2.3245278926939101</v>
      </c>
      <c r="E300" s="191" t="s">
        <v>537</v>
      </c>
      <c r="G300" s="193"/>
      <c r="H300" s="193"/>
      <c r="I300" s="193"/>
      <c r="J300" s="193"/>
      <c r="K300" s="193"/>
      <c r="L300" s="193"/>
      <c r="M300" s="193"/>
      <c r="N300" s="193"/>
      <c r="O300" s="193"/>
      <c r="P300" s="193"/>
      <c r="Q300" s="193"/>
      <c r="R300" s="193"/>
      <c r="S300" s="193"/>
      <c r="T300" s="193"/>
      <c r="U300" s="193"/>
      <c r="V300" s="193"/>
    </row>
    <row r="301" spans="1:22" s="191" customFormat="1">
      <c r="A301" s="193" t="s">
        <v>543</v>
      </c>
      <c r="B301" s="193">
        <v>1948</v>
      </c>
      <c r="C301" s="196">
        <v>39.0101447141395</v>
      </c>
      <c r="D301" s="196">
        <v>7.9287138045541798</v>
      </c>
      <c r="E301" s="191" t="s">
        <v>537</v>
      </c>
      <c r="G301" s="193"/>
      <c r="H301" s="193"/>
      <c r="I301" s="193"/>
      <c r="J301" s="193"/>
      <c r="K301" s="193"/>
      <c r="L301" s="193"/>
      <c r="M301" s="193"/>
      <c r="N301" s="193"/>
      <c r="O301" s="193"/>
      <c r="P301" s="193"/>
      <c r="Q301" s="193"/>
      <c r="R301" s="193"/>
      <c r="S301" s="193"/>
      <c r="T301" s="193"/>
      <c r="U301" s="193"/>
      <c r="V301" s="193"/>
    </row>
    <row r="302" spans="1:22" s="191" customFormat="1">
      <c r="A302" s="193" t="s">
        <v>543</v>
      </c>
      <c r="B302" s="193">
        <v>1949</v>
      </c>
      <c r="C302" s="196">
        <v>26.6428356663214</v>
      </c>
      <c r="D302" s="196">
        <v>6.0668387105109201</v>
      </c>
      <c r="E302" s="191" t="s">
        <v>536</v>
      </c>
      <c r="G302" s="193"/>
      <c r="H302" s="193"/>
      <c r="I302" s="193"/>
      <c r="J302" s="193"/>
      <c r="K302" s="193"/>
      <c r="L302" s="193"/>
      <c r="M302" s="193"/>
      <c r="N302" s="193"/>
      <c r="O302" s="193"/>
      <c r="P302" s="193"/>
      <c r="Q302" s="193"/>
      <c r="R302" s="193"/>
      <c r="S302" s="193"/>
      <c r="T302" s="193"/>
      <c r="U302" s="193"/>
      <c r="V302" s="193"/>
    </row>
    <row r="303" spans="1:22" s="191" customFormat="1">
      <c r="A303" s="193" t="s">
        <v>543</v>
      </c>
      <c r="B303" s="193">
        <v>1950</v>
      </c>
      <c r="C303" s="196">
        <v>25.475267214826602</v>
      </c>
      <c r="D303" s="196">
        <v>3.8445820972695701</v>
      </c>
      <c r="E303" s="191" t="s">
        <v>536</v>
      </c>
      <c r="G303" s="193"/>
      <c r="H303" s="193"/>
      <c r="I303" s="193"/>
      <c r="J303" s="193"/>
      <c r="K303" s="193"/>
      <c r="L303" s="193"/>
      <c r="M303" s="193"/>
      <c r="N303" s="193"/>
      <c r="O303" s="193"/>
      <c r="P303" s="193"/>
      <c r="Q303" s="193"/>
      <c r="R303" s="193"/>
      <c r="S303" s="193"/>
      <c r="T303" s="193"/>
      <c r="U303" s="193"/>
      <c r="V303" s="193"/>
    </row>
    <row r="304" spans="1:22" s="191" customFormat="1">
      <c r="A304" s="193" t="s">
        <v>543</v>
      </c>
      <c r="B304" s="193">
        <v>1951</v>
      </c>
      <c r="C304" s="196">
        <v>19.167778218018999</v>
      </c>
      <c r="D304" s="196">
        <v>8.5039000645123402</v>
      </c>
      <c r="E304" s="191" t="s">
        <v>536</v>
      </c>
      <c r="G304" s="193"/>
      <c r="H304" s="193"/>
      <c r="I304" s="193"/>
      <c r="J304" s="193"/>
      <c r="K304" s="193"/>
      <c r="L304" s="193"/>
      <c r="M304" s="193"/>
      <c r="N304" s="193"/>
      <c r="O304" s="193"/>
      <c r="P304" s="193"/>
      <c r="Q304" s="193"/>
      <c r="R304" s="193"/>
      <c r="S304" s="193"/>
      <c r="T304" s="193"/>
      <c r="U304" s="193"/>
      <c r="V304" s="193"/>
    </row>
    <row r="305" spans="1:22" s="191" customFormat="1">
      <c r="A305" s="193" t="s">
        <v>543</v>
      </c>
      <c r="B305" s="193">
        <v>1952</v>
      </c>
      <c r="C305" s="196">
        <v>13.1233409815295</v>
      </c>
      <c r="D305" s="196">
        <v>3.35117020701583</v>
      </c>
      <c r="E305" s="191" t="s">
        <v>536</v>
      </c>
      <c r="G305" s="193"/>
      <c r="H305" s="193"/>
      <c r="I305" s="193"/>
      <c r="J305" s="193"/>
      <c r="K305" s="193"/>
      <c r="L305" s="193"/>
      <c r="M305" s="193"/>
      <c r="N305" s="193"/>
      <c r="O305" s="193"/>
      <c r="P305" s="193"/>
      <c r="Q305" s="193"/>
      <c r="R305" s="193"/>
      <c r="S305" s="193"/>
      <c r="T305" s="193"/>
      <c r="U305" s="193"/>
      <c r="V305" s="193"/>
    </row>
    <row r="306" spans="1:22" s="191" customFormat="1">
      <c r="A306" s="193" t="s">
        <v>543</v>
      </c>
      <c r="B306" s="193">
        <v>1953</v>
      </c>
      <c r="C306" s="196">
        <v>18.310299646882601</v>
      </c>
      <c r="D306" s="196">
        <v>0.70080016735525297</v>
      </c>
      <c r="E306" s="191" t="s">
        <v>536</v>
      </c>
      <c r="G306" s="193"/>
      <c r="H306" s="193"/>
      <c r="I306" s="193"/>
      <c r="J306" s="193"/>
      <c r="K306" s="193"/>
      <c r="L306" s="193"/>
      <c r="M306" s="193"/>
      <c r="N306" s="193"/>
      <c r="O306" s="193"/>
      <c r="P306" s="193"/>
      <c r="Q306" s="193"/>
      <c r="R306" s="193"/>
      <c r="S306" s="193"/>
      <c r="T306" s="193"/>
      <c r="U306" s="193"/>
      <c r="V306" s="193"/>
    </row>
    <row r="307" spans="1:22" s="191" customFormat="1">
      <c r="A307" s="193" t="s">
        <v>543</v>
      </c>
      <c r="B307" s="193">
        <v>1954</v>
      </c>
      <c r="C307" s="196">
        <v>18.946201147359702</v>
      </c>
      <c r="D307" s="196">
        <v>8.7561672292910995</v>
      </c>
      <c r="E307" s="191" t="s">
        <v>536</v>
      </c>
      <c r="G307" s="193"/>
      <c r="H307" s="193"/>
      <c r="I307" s="193"/>
      <c r="J307" s="193"/>
      <c r="K307" s="193"/>
      <c r="L307" s="193"/>
      <c r="M307" s="193"/>
      <c r="N307" s="193"/>
      <c r="O307" s="193"/>
      <c r="P307" s="193"/>
      <c r="Q307" s="193"/>
      <c r="R307" s="193"/>
      <c r="S307" s="193"/>
      <c r="T307" s="193"/>
      <c r="U307" s="193"/>
      <c r="V307" s="193"/>
    </row>
    <row r="308" spans="1:22" s="191" customFormat="1">
      <c r="A308" s="193" t="s">
        <v>543</v>
      </c>
      <c r="B308" s="193">
        <v>1955</v>
      </c>
      <c r="C308" s="196">
        <v>17.040489549455401</v>
      </c>
      <c r="D308" s="196">
        <v>5.09526765674992</v>
      </c>
      <c r="E308" s="191" t="s">
        <v>536</v>
      </c>
      <c r="G308" s="193"/>
      <c r="H308" s="193"/>
      <c r="I308" s="193"/>
      <c r="J308" s="193"/>
      <c r="K308" s="193"/>
      <c r="L308" s="193"/>
      <c r="M308" s="193"/>
      <c r="N308" s="193"/>
      <c r="O308" s="193"/>
      <c r="P308" s="193"/>
      <c r="Q308" s="193"/>
      <c r="R308" s="193"/>
      <c r="S308" s="193"/>
      <c r="T308" s="193"/>
      <c r="U308" s="193"/>
      <c r="V308" s="193"/>
    </row>
    <row r="309" spans="1:22" s="191" customFormat="1">
      <c r="A309" s="193" t="s">
        <v>543</v>
      </c>
      <c r="B309" s="193">
        <v>1956</v>
      </c>
      <c r="C309" s="196">
        <v>16.591476211723101</v>
      </c>
      <c r="D309" s="196">
        <v>3.0216284987277402</v>
      </c>
      <c r="E309" s="191" t="s">
        <v>536</v>
      </c>
      <c r="G309" s="193"/>
      <c r="H309" s="193"/>
      <c r="I309" s="193"/>
      <c r="J309" s="193"/>
      <c r="K309" s="193"/>
      <c r="L309" s="193"/>
      <c r="M309" s="193"/>
      <c r="N309" s="193"/>
      <c r="O309" s="193"/>
      <c r="P309" s="193"/>
      <c r="Q309" s="193"/>
      <c r="R309" s="193"/>
      <c r="S309" s="193"/>
      <c r="T309" s="193"/>
      <c r="U309" s="193"/>
      <c r="V309" s="193"/>
    </row>
    <row r="310" spans="1:22" s="191" customFormat="1">
      <c r="A310" s="193" t="s">
        <v>543</v>
      </c>
      <c r="B310" s="193">
        <v>1957</v>
      </c>
      <c r="C310" s="196">
        <v>16.889207796218201</v>
      </c>
      <c r="D310" s="196">
        <v>4.7016274864376104</v>
      </c>
      <c r="E310" s="191" t="s">
        <v>536</v>
      </c>
      <c r="G310" s="193"/>
      <c r="H310" s="193"/>
      <c r="I310" s="193"/>
      <c r="J310" s="193"/>
      <c r="K310" s="193"/>
      <c r="L310" s="193"/>
      <c r="M310" s="193"/>
      <c r="N310" s="193"/>
      <c r="O310" s="193"/>
      <c r="P310" s="193"/>
      <c r="Q310" s="193"/>
      <c r="R310" s="193"/>
      <c r="S310" s="193"/>
      <c r="T310" s="193"/>
      <c r="U310" s="193"/>
      <c r="V310" s="193"/>
    </row>
    <row r="311" spans="1:22" s="191" customFormat="1">
      <c r="A311" s="193" t="s">
        <v>543</v>
      </c>
      <c r="B311" s="193">
        <v>1958</v>
      </c>
      <c r="C311" s="196">
        <v>16.064362053361702</v>
      </c>
      <c r="D311" s="196">
        <v>0.53919710181558</v>
      </c>
      <c r="E311" s="191" t="s">
        <v>536</v>
      </c>
      <c r="G311" s="193"/>
      <c r="H311" s="193"/>
      <c r="I311" s="193"/>
      <c r="J311" s="193"/>
      <c r="K311" s="193"/>
      <c r="L311" s="193"/>
      <c r="M311" s="193"/>
      <c r="N311" s="193"/>
      <c r="O311" s="193"/>
      <c r="P311" s="193"/>
      <c r="Q311" s="193"/>
      <c r="R311" s="193"/>
      <c r="S311" s="193"/>
      <c r="T311" s="193"/>
      <c r="U311" s="193"/>
      <c r="V311" s="193"/>
    </row>
    <row r="312" spans="1:22" s="191" customFormat="1">
      <c r="A312" s="193" t="s">
        <v>543</v>
      </c>
      <c r="B312" s="193">
        <v>1959</v>
      </c>
      <c r="C312" s="196">
        <v>15.0504656076173</v>
      </c>
      <c r="D312" s="196">
        <v>5.9412578036619701</v>
      </c>
      <c r="E312" s="191" t="s">
        <v>536</v>
      </c>
      <c r="G312" s="193"/>
      <c r="H312" s="193"/>
      <c r="I312" s="193"/>
      <c r="J312" s="193"/>
      <c r="K312" s="193"/>
      <c r="L312" s="193"/>
      <c r="M312" s="193"/>
      <c r="N312" s="193"/>
      <c r="O312" s="193"/>
      <c r="P312" s="193"/>
      <c r="Q312" s="193"/>
      <c r="R312" s="193"/>
      <c r="S312" s="193"/>
      <c r="T312" s="193"/>
      <c r="U312" s="193"/>
      <c r="V312" s="193"/>
    </row>
    <row r="313" spans="1:22" s="191" customFormat="1">
      <c r="A313" s="193" t="s">
        <v>543</v>
      </c>
      <c r="B313" s="193">
        <v>1960</v>
      </c>
      <c r="C313" s="196">
        <v>12.7940491025141</v>
      </c>
      <c r="D313" s="196">
        <v>9.1477160371761901</v>
      </c>
      <c r="E313" s="191" t="s">
        <v>536</v>
      </c>
      <c r="G313" s="193"/>
      <c r="H313" s="193"/>
      <c r="I313" s="193"/>
      <c r="J313" s="193"/>
      <c r="K313" s="193"/>
      <c r="L313" s="193"/>
      <c r="M313" s="193"/>
      <c r="N313" s="193"/>
      <c r="O313" s="193"/>
      <c r="P313" s="193"/>
      <c r="Q313" s="193"/>
      <c r="R313" s="193"/>
      <c r="S313" s="193"/>
      <c r="T313" s="193"/>
      <c r="U313" s="193"/>
      <c r="V313" s="193"/>
    </row>
    <row r="314" spans="1:22" s="191" customFormat="1">
      <c r="A314" s="193" t="s">
        <v>543</v>
      </c>
      <c r="B314" s="193">
        <v>1961</v>
      </c>
      <c r="C314" s="196">
        <v>10.1285688416732</v>
      </c>
      <c r="D314" s="196">
        <v>7.6201173998115896</v>
      </c>
      <c r="E314" s="191" t="s">
        <v>536</v>
      </c>
      <c r="G314" s="193"/>
      <c r="H314" s="193"/>
      <c r="I314" s="193"/>
      <c r="J314" s="193"/>
      <c r="K314" s="193"/>
      <c r="L314" s="193"/>
      <c r="M314" s="193"/>
      <c r="N314" s="193"/>
      <c r="O314" s="193"/>
      <c r="P314" s="193"/>
      <c r="Q314" s="193"/>
      <c r="R314" s="193"/>
      <c r="S314" s="193"/>
      <c r="T314" s="193"/>
      <c r="U314" s="193"/>
      <c r="V314" s="193"/>
    </row>
    <row r="315" spans="1:22" s="191" customFormat="1">
      <c r="A315" s="193" t="s">
        <v>543</v>
      </c>
      <c r="B315" s="193">
        <v>1962</v>
      </c>
      <c r="C315" s="196">
        <v>11.5164884891679</v>
      </c>
      <c r="D315" s="196">
        <v>3.11774014342951</v>
      </c>
      <c r="E315" s="191" t="s">
        <v>536</v>
      </c>
      <c r="G315" s="193"/>
      <c r="H315" s="193"/>
      <c r="I315" s="193"/>
      <c r="J315" s="193"/>
      <c r="K315" s="193"/>
      <c r="L315" s="193"/>
      <c r="M315" s="193"/>
      <c r="N315" s="193"/>
      <c r="O315" s="193"/>
      <c r="P315" s="193"/>
      <c r="Q315" s="193"/>
      <c r="R315" s="193"/>
      <c r="S315" s="193"/>
      <c r="T315" s="193"/>
      <c r="U315" s="193"/>
      <c r="V315" s="193"/>
    </row>
    <row r="316" spans="1:22" s="191" customFormat="1">
      <c r="A316" s="193" t="s">
        <v>543</v>
      </c>
      <c r="B316" s="193">
        <v>1963</v>
      </c>
      <c r="C316" s="196">
        <v>13.4411370892986</v>
      </c>
      <c r="D316" s="196">
        <v>3.29447872791981</v>
      </c>
      <c r="E316" s="191" t="s">
        <v>536</v>
      </c>
      <c r="G316" s="193"/>
      <c r="H316" s="193"/>
      <c r="I316" s="193"/>
      <c r="J316" s="193"/>
      <c r="K316" s="193"/>
      <c r="L316" s="193"/>
      <c r="M316" s="193"/>
      <c r="N316" s="193"/>
      <c r="O316" s="193"/>
      <c r="P316" s="193"/>
      <c r="Q316" s="193"/>
      <c r="R316" s="193"/>
      <c r="S316" s="193"/>
      <c r="T316" s="193"/>
      <c r="U316" s="193"/>
      <c r="V316" s="193"/>
    </row>
    <row r="317" spans="1:22" s="191" customFormat="1">
      <c r="A317" s="193" t="s">
        <v>543</v>
      </c>
      <c r="B317" s="193">
        <v>1964</v>
      </c>
      <c r="C317" s="196">
        <v>13.6303825037434</v>
      </c>
      <c r="D317" s="196">
        <v>5.0543684410165701</v>
      </c>
      <c r="E317" s="191" t="s">
        <v>536</v>
      </c>
      <c r="G317" s="193"/>
      <c r="H317" s="193"/>
      <c r="I317" s="193"/>
      <c r="J317" s="193"/>
      <c r="K317" s="193"/>
      <c r="L317" s="193"/>
      <c r="M317" s="193"/>
      <c r="N317" s="193"/>
      <c r="O317" s="193"/>
      <c r="P317" s="193"/>
      <c r="Q317" s="193"/>
      <c r="R317" s="193"/>
      <c r="S317" s="193"/>
      <c r="T317" s="193"/>
      <c r="U317" s="193"/>
      <c r="V317" s="193"/>
    </row>
    <row r="318" spans="1:22" s="191" customFormat="1">
      <c r="A318" s="193" t="s">
        <v>543</v>
      </c>
      <c r="B318" s="193">
        <v>1965</v>
      </c>
      <c r="C318" s="196">
        <v>14.2290858039475</v>
      </c>
      <c r="D318" s="196">
        <v>5.3166842184443999</v>
      </c>
      <c r="E318" s="191" t="s">
        <v>536</v>
      </c>
      <c r="G318" s="193"/>
      <c r="H318" s="193"/>
      <c r="I318" s="193"/>
      <c r="J318" s="193"/>
      <c r="K318" s="193"/>
      <c r="L318" s="193"/>
      <c r="M318" s="193"/>
      <c r="N318" s="193"/>
      <c r="O318" s="193"/>
      <c r="P318" s="193"/>
      <c r="Q318" s="193"/>
      <c r="R318" s="193"/>
      <c r="S318" s="193"/>
      <c r="T318" s="193"/>
      <c r="U318" s="193"/>
      <c r="V318" s="193"/>
    </row>
    <row r="319" spans="1:22" s="191" customFormat="1">
      <c r="A319" s="193" t="s">
        <v>543</v>
      </c>
      <c r="B319" s="193">
        <v>1966</v>
      </c>
      <c r="C319" s="196">
        <v>15.183711316308001</v>
      </c>
      <c r="D319" s="196">
        <v>2.40271984458031</v>
      </c>
      <c r="E319" s="191" t="s">
        <v>536</v>
      </c>
      <c r="G319" s="193"/>
      <c r="H319" s="193"/>
      <c r="I319" s="193"/>
      <c r="J319" s="193"/>
      <c r="K319" s="193"/>
      <c r="L319" s="193"/>
      <c r="M319" s="193"/>
      <c r="N319" s="193"/>
      <c r="O319" s="193"/>
      <c r="P319" s="193"/>
      <c r="Q319" s="193"/>
      <c r="R319" s="193"/>
      <c r="S319" s="193"/>
      <c r="T319" s="193"/>
      <c r="U319" s="193"/>
      <c r="V319" s="193"/>
    </row>
    <row r="320" spans="1:22" s="191" customFormat="1">
      <c r="A320" s="193" t="s">
        <v>543</v>
      </c>
      <c r="B320" s="193">
        <v>1967</v>
      </c>
      <c r="C320" s="196">
        <v>15.829522720777399</v>
      </c>
      <c r="D320" s="196">
        <v>2.1119883938286499</v>
      </c>
      <c r="E320" s="191" t="s">
        <v>536</v>
      </c>
      <c r="G320" s="193"/>
      <c r="H320" s="193"/>
      <c r="I320" s="193"/>
      <c r="J320" s="193"/>
      <c r="K320" s="193"/>
      <c r="L320" s="193"/>
      <c r="M320" s="193"/>
      <c r="N320" s="193"/>
      <c r="O320" s="193"/>
      <c r="P320" s="193"/>
      <c r="Q320" s="193"/>
      <c r="R320" s="193"/>
      <c r="S320" s="193"/>
      <c r="T320" s="193"/>
      <c r="U320" s="193"/>
      <c r="V320" s="193"/>
    </row>
    <row r="321" spans="1:22" s="191" customFormat="1">
      <c r="A321" s="193" t="s">
        <v>543</v>
      </c>
      <c r="B321" s="193">
        <v>1968</v>
      </c>
      <c r="C321" s="196">
        <v>15.6878140703518</v>
      </c>
      <c r="D321" s="196">
        <v>2.3005464480874398</v>
      </c>
      <c r="E321" s="191" t="s">
        <v>536</v>
      </c>
      <c r="G321" s="193"/>
      <c r="H321" s="193"/>
      <c r="I321" s="193"/>
      <c r="J321" s="193"/>
      <c r="K321" s="193"/>
      <c r="L321" s="193"/>
      <c r="M321" s="193"/>
      <c r="N321" s="193"/>
      <c r="O321" s="193"/>
      <c r="P321" s="193"/>
      <c r="Q321" s="193"/>
      <c r="R321" s="193"/>
      <c r="S321" s="193"/>
      <c r="T321" s="193"/>
      <c r="U321" s="193"/>
      <c r="V321" s="193"/>
    </row>
    <row r="322" spans="1:22" s="191" customFormat="1">
      <c r="A322" s="193" t="s">
        <v>543</v>
      </c>
      <c r="B322" s="193">
        <v>1969</v>
      </c>
      <c r="C322" s="196">
        <v>12.0849716033202</v>
      </c>
      <c r="D322" s="196">
        <v>9.6308957854815507</v>
      </c>
      <c r="E322" s="191" t="s">
        <v>536</v>
      </c>
      <c r="G322" s="193"/>
      <c r="H322" s="193"/>
      <c r="I322" s="193"/>
      <c r="J322" s="193"/>
      <c r="K322" s="193"/>
      <c r="L322" s="193"/>
      <c r="M322" s="193"/>
      <c r="N322" s="193"/>
      <c r="O322" s="193"/>
      <c r="P322" s="193"/>
      <c r="Q322" s="193"/>
      <c r="R322" s="193"/>
      <c r="S322" s="193"/>
      <c r="T322" s="193"/>
      <c r="U322" s="193"/>
      <c r="V322" s="193"/>
    </row>
    <row r="323" spans="1:22" s="191" customFormat="1">
      <c r="A323" s="193" t="s">
        <v>543</v>
      </c>
      <c r="B323" s="193">
        <v>1970</v>
      </c>
      <c r="C323" s="196">
        <v>10.2244510443546</v>
      </c>
      <c r="D323" s="196">
        <v>7.4693042291951004</v>
      </c>
      <c r="E323" s="191" t="s">
        <v>536</v>
      </c>
      <c r="G323" s="193"/>
      <c r="H323" s="193"/>
      <c r="I323" s="193"/>
      <c r="J323" s="193"/>
      <c r="K323" s="193"/>
      <c r="L323" s="193"/>
      <c r="M323" s="193"/>
      <c r="N323" s="193"/>
      <c r="O323" s="193"/>
      <c r="P323" s="193"/>
      <c r="Q323" s="193"/>
      <c r="R323" s="193"/>
      <c r="S323" s="193"/>
      <c r="T323" s="193"/>
      <c r="U323" s="193"/>
      <c r="V323" s="193"/>
    </row>
    <row r="324" spans="1:22" s="191" customFormat="1">
      <c r="A324" s="193" t="s">
        <v>543</v>
      </c>
      <c r="B324" s="193">
        <v>1971</v>
      </c>
      <c r="C324" s="196">
        <v>8.8901257931648701</v>
      </c>
      <c r="D324" s="196">
        <v>2.0900394432606499</v>
      </c>
      <c r="E324" s="191" t="s">
        <v>536</v>
      </c>
      <c r="G324" s="193"/>
      <c r="H324" s="193"/>
      <c r="I324" s="193"/>
      <c r="J324" s="193"/>
      <c r="K324" s="193"/>
      <c r="L324" s="193"/>
      <c r="M324" s="193"/>
      <c r="N324" s="193"/>
      <c r="O324" s="193"/>
      <c r="P324" s="193"/>
      <c r="Q324" s="193"/>
      <c r="R324" s="193"/>
      <c r="S324" s="193"/>
      <c r="T324" s="193"/>
      <c r="U324" s="193"/>
      <c r="V324" s="193"/>
    </row>
    <row r="325" spans="1:22" s="191" customFormat="1">
      <c r="A325" s="193" t="s">
        <v>543</v>
      </c>
      <c r="B325" s="193">
        <v>1972</v>
      </c>
      <c r="C325" s="196">
        <v>7.3411674787427197</v>
      </c>
      <c r="D325" s="196">
        <v>7.6316724398259197</v>
      </c>
      <c r="E325" s="191" t="s">
        <v>536</v>
      </c>
      <c r="G325" s="193"/>
      <c r="H325" s="193"/>
      <c r="I325" s="193"/>
      <c r="J325" s="193"/>
      <c r="K325" s="193"/>
      <c r="L325" s="193"/>
      <c r="M325" s="193"/>
      <c r="N325" s="193"/>
      <c r="O325" s="193"/>
      <c r="P325" s="193"/>
      <c r="Q325" s="193"/>
      <c r="R325" s="193"/>
      <c r="S325" s="193"/>
      <c r="T325" s="193"/>
      <c r="U325" s="193"/>
      <c r="V325" s="193"/>
    </row>
    <row r="326" spans="1:22" s="191" customFormat="1">
      <c r="A326" s="193" t="s">
        <v>543</v>
      </c>
      <c r="B326" s="193">
        <v>1973</v>
      </c>
      <c r="C326" s="196">
        <v>4.94365115440681</v>
      </c>
      <c r="D326" s="196">
        <v>6.7068264807212303</v>
      </c>
      <c r="E326" s="191" t="s">
        <v>536</v>
      </c>
      <c r="G326" s="193"/>
      <c r="H326" s="193"/>
      <c r="I326" s="193"/>
      <c r="J326" s="193"/>
      <c r="K326" s="193"/>
      <c r="L326" s="193"/>
      <c r="M326" s="193"/>
      <c r="N326" s="193"/>
      <c r="O326" s="193"/>
      <c r="P326" s="193"/>
      <c r="Q326" s="193"/>
      <c r="R326" s="193"/>
      <c r="S326" s="193"/>
      <c r="T326" s="193"/>
      <c r="U326" s="193"/>
      <c r="V326" s="193"/>
    </row>
    <row r="327" spans="1:22" s="191" customFormat="1">
      <c r="A327" s="193" t="s">
        <v>543</v>
      </c>
      <c r="B327" s="193">
        <v>1974</v>
      </c>
      <c r="C327" s="196">
        <v>3.2791095890410999</v>
      </c>
      <c r="D327" s="196">
        <v>3.0295414121104298</v>
      </c>
      <c r="E327" s="191" t="s">
        <v>536</v>
      </c>
      <c r="G327" s="193"/>
      <c r="H327" s="193"/>
      <c r="I327" s="193"/>
      <c r="J327" s="193"/>
      <c r="K327" s="193"/>
      <c r="L327" s="193"/>
      <c r="M327" s="193"/>
      <c r="N327" s="193"/>
      <c r="O327" s="193"/>
      <c r="P327" s="193"/>
      <c r="Q327" s="193"/>
      <c r="R327" s="193"/>
      <c r="S327" s="193"/>
      <c r="T327" s="193"/>
      <c r="U327" s="193"/>
      <c r="V327" s="193"/>
    </row>
    <row r="328" spans="1:22" s="191" customFormat="1">
      <c r="A328" s="193" t="s">
        <v>543</v>
      </c>
      <c r="B328" s="193">
        <v>1975</v>
      </c>
      <c r="C328" s="196">
        <v>3.6825527322535798</v>
      </c>
      <c r="D328" s="196">
        <v>1.1521645305961701</v>
      </c>
      <c r="E328" s="191" t="s">
        <v>536</v>
      </c>
      <c r="G328" s="193"/>
      <c r="H328" s="193"/>
      <c r="I328" s="193"/>
      <c r="J328" s="193"/>
      <c r="K328" s="193"/>
      <c r="L328" s="193"/>
      <c r="M328" s="193"/>
      <c r="N328" s="193"/>
      <c r="O328" s="193"/>
      <c r="P328" s="193"/>
      <c r="Q328" s="193"/>
      <c r="R328" s="193"/>
      <c r="S328" s="193"/>
      <c r="T328" s="193"/>
      <c r="U328" s="193"/>
      <c r="V328" s="193"/>
    </row>
    <row r="329" spans="1:22" s="191" customFormat="1">
      <c r="A329" s="193" t="s">
        <v>543</v>
      </c>
      <c r="B329" s="193">
        <v>1976</v>
      </c>
      <c r="C329" s="196">
        <v>4.2608714149675304</v>
      </c>
      <c r="D329" s="196">
        <v>-0.42482144513496001</v>
      </c>
      <c r="E329" s="191" t="s">
        <v>536</v>
      </c>
      <c r="G329" s="193"/>
      <c r="H329" s="193"/>
      <c r="I329" s="193"/>
      <c r="J329" s="193"/>
      <c r="K329" s="193"/>
      <c r="L329" s="193"/>
      <c r="M329" s="193"/>
      <c r="N329" s="193"/>
      <c r="O329" s="193"/>
      <c r="P329" s="193"/>
      <c r="Q329" s="193"/>
      <c r="R329" s="193"/>
      <c r="S329" s="193"/>
      <c r="T329" s="193"/>
      <c r="U329" s="193"/>
      <c r="V329" s="193"/>
    </row>
    <row r="330" spans="1:22" s="191" customFormat="1">
      <c r="A330" s="193" t="s">
        <v>543</v>
      </c>
      <c r="B330" s="193">
        <v>1977</v>
      </c>
      <c r="C330" s="196">
        <v>5.6852494265666804</v>
      </c>
      <c r="D330" s="196">
        <v>0.24591996422982401</v>
      </c>
      <c r="E330" s="191" t="s">
        <v>536</v>
      </c>
      <c r="G330" s="193"/>
      <c r="H330" s="193"/>
      <c r="I330" s="193"/>
      <c r="J330" s="193"/>
      <c r="K330" s="193"/>
      <c r="L330" s="193"/>
      <c r="M330" s="193"/>
      <c r="N330" s="193"/>
      <c r="O330" s="193"/>
      <c r="P330" s="193"/>
      <c r="Q330" s="193"/>
      <c r="R330" s="193"/>
      <c r="S330" s="193"/>
      <c r="T330" s="193"/>
      <c r="U330" s="193"/>
      <c r="V330" s="193"/>
    </row>
    <row r="331" spans="1:22" s="191" customFormat="1">
      <c r="A331" s="193" t="s">
        <v>543</v>
      </c>
      <c r="B331" s="193">
        <v>1978</v>
      </c>
      <c r="C331" s="196">
        <v>8.3527014737977296</v>
      </c>
      <c r="D331" s="196">
        <v>2.0926256318763099</v>
      </c>
      <c r="E331" s="191" t="s">
        <v>536</v>
      </c>
      <c r="G331" s="193"/>
      <c r="H331" s="193"/>
      <c r="I331" s="193"/>
      <c r="J331" s="193"/>
      <c r="K331" s="193"/>
      <c r="L331" s="193"/>
      <c r="M331" s="193"/>
      <c r="N331" s="193"/>
      <c r="O331" s="193"/>
      <c r="P331" s="193"/>
      <c r="Q331" s="193"/>
      <c r="R331" s="193"/>
      <c r="S331" s="193"/>
      <c r="T331" s="193"/>
      <c r="U331" s="193"/>
      <c r="V331" s="193"/>
    </row>
    <row r="332" spans="1:22" s="191" customFormat="1">
      <c r="A332" s="193" t="s">
        <v>543</v>
      </c>
      <c r="B332" s="193">
        <v>1979</v>
      </c>
      <c r="C332" s="196">
        <v>8.9759448191935594</v>
      </c>
      <c r="D332" s="196">
        <v>6.9574398368951904</v>
      </c>
      <c r="E332" s="191" t="s">
        <v>536</v>
      </c>
      <c r="G332" s="193"/>
      <c r="H332" s="193"/>
      <c r="I332" s="193"/>
      <c r="J332" s="193"/>
      <c r="K332" s="193"/>
      <c r="L332" s="193"/>
      <c r="M332" s="193"/>
      <c r="N332" s="193"/>
      <c r="O332" s="193"/>
      <c r="P332" s="193"/>
      <c r="Q332" s="193"/>
      <c r="R332" s="193"/>
      <c r="S332" s="193"/>
      <c r="T332" s="193"/>
      <c r="U332" s="193"/>
      <c r="V332" s="193"/>
    </row>
    <row r="333" spans="1:22" s="191" customFormat="1">
      <c r="A333" s="193" t="s">
        <v>543</v>
      </c>
      <c r="B333" s="193">
        <v>1980</v>
      </c>
      <c r="C333" s="196">
        <v>9.21149763217859</v>
      </c>
      <c r="D333" s="196">
        <v>5.3339233439989098</v>
      </c>
      <c r="E333" s="191" t="s">
        <v>536</v>
      </c>
      <c r="G333" s="193"/>
      <c r="H333" s="193"/>
      <c r="I333" s="193"/>
      <c r="J333" s="193"/>
      <c r="K333" s="193"/>
      <c r="L333" s="193"/>
      <c r="M333" s="193"/>
      <c r="N333" s="193"/>
      <c r="O333" s="193"/>
      <c r="P333" s="193"/>
      <c r="Q333" s="193"/>
      <c r="R333" s="193"/>
      <c r="S333" s="193"/>
      <c r="T333" s="193"/>
      <c r="U333" s="193"/>
      <c r="V333" s="193"/>
    </row>
    <row r="334" spans="1:22" s="191" customFormat="1">
      <c r="A334" s="193" t="s">
        <v>543</v>
      </c>
      <c r="B334" s="193">
        <v>1981</v>
      </c>
      <c r="C334" s="196">
        <v>10.008594951596899</v>
      </c>
      <c r="D334" s="196">
        <v>1.26938826157093</v>
      </c>
      <c r="E334" s="191" t="s">
        <v>536</v>
      </c>
      <c r="G334" s="193"/>
      <c r="H334" s="193"/>
      <c r="I334" s="193"/>
      <c r="J334" s="193"/>
      <c r="K334" s="193"/>
      <c r="L334" s="193"/>
      <c r="M334" s="193"/>
      <c r="N334" s="193"/>
      <c r="O334" s="193"/>
      <c r="P334" s="193"/>
      <c r="Q334" s="193"/>
      <c r="R334" s="193"/>
      <c r="S334" s="193"/>
      <c r="T334" s="193"/>
      <c r="U334" s="193"/>
      <c r="V334" s="193"/>
    </row>
    <row r="335" spans="1:22" s="191" customFormat="1">
      <c r="A335" s="193" t="s">
        <v>543</v>
      </c>
      <c r="B335" s="193">
        <v>1982</v>
      </c>
      <c r="C335" s="196">
        <v>12.2069650490138</v>
      </c>
      <c r="D335" s="196">
        <v>3.02402803474937</v>
      </c>
      <c r="E335" s="191" t="s">
        <v>536</v>
      </c>
      <c r="G335" s="193"/>
      <c r="H335" s="193"/>
      <c r="I335" s="193"/>
      <c r="J335" s="193"/>
      <c r="K335" s="193"/>
      <c r="L335" s="193"/>
      <c r="M335" s="193"/>
      <c r="N335" s="193"/>
      <c r="O335" s="193"/>
      <c r="P335" s="193"/>
      <c r="Q335" s="193"/>
      <c r="R335" s="193"/>
      <c r="S335" s="193"/>
      <c r="T335" s="193"/>
      <c r="U335" s="193"/>
      <c r="V335" s="193"/>
    </row>
    <row r="336" spans="1:22" s="191" customFormat="1">
      <c r="A336" s="193" t="s">
        <v>543</v>
      </c>
      <c r="B336" s="193">
        <v>1983</v>
      </c>
      <c r="C336" s="196">
        <v>13.7862765915818</v>
      </c>
      <c r="D336" s="196">
        <v>2.9471580975488001</v>
      </c>
      <c r="E336" s="191" t="s">
        <v>536</v>
      </c>
      <c r="G336" s="193"/>
      <c r="H336" s="193"/>
      <c r="I336" s="193"/>
      <c r="J336" s="193"/>
      <c r="K336" s="193"/>
      <c r="L336" s="193"/>
      <c r="M336" s="193"/>
      <c r="N336" s="193"/>
      <c r="O336" s="193"/>
      <c r="P336" s="193"/>
      <c r="Q336" s="193"/>
      <c r="R336" s="193"/>
      <c r="S336" s="193"/>
      <c r="T336" s="193"/>
      <c r="U336" s="193"/>
      <c r="V336" s="193"/>
    </row>
    <row r="337" spans="1:22" s="191" customFormat="1">
      <c r="A337" s="193" t="s">
        <v>543</v>
      </c>
      <c r="B337" s="193">
        <v>1984</v>
      </c>
      <c r="C337" s="196">
        <v>14.303823900448799</v>
      </c>
      <c r="D337" s="196">
        <v>3.0441664067283498</v>
      </c>
      <c r="E337" s="191" t="s">
        <v>536</v>
      </c>
      <c r="G337" s="193"/>
      <c r="H337" s="193"/>
      <c r="I337" s="193"/>
      <c r="J337" s="193"/>
      <c r="K337" s="193"/>
      <c r="L337" s="193"/>
      <c r="M337" s="193"/>
      <c r="N337" s="193"/>
      <c r="O337" s="193"/>
      <c r="P337" s="193"/>
      <c r="Q337" s="193"/>
      <c r="R337" s="193"/>
      <c r="S337" s="193"/>
      <c r="T337" s="193"/>
      <c r="U337" s="193"/>
      <c r="V337" s="193"/>
    </row>
    <row r="338" spans="1:22" s="191" customFormat="1">
      <c r="A338" s="193" t="s">
        <v>543</v>
      </c>
      <c r="B338" s="193">
        <v>1985</v>
      </c>
      <c r="C338" s="196">
        <v>13.945603322943301</v>
      </c>
      <c r="D338" s="196">
        <v>3.2804897190393998</v>
      </c>
      <c r="E338" s="191" t="s">
        <v>536</v>
      </c>
      <c r="G338" s="193"/>
      <c r="H338" s="193"/>
      <c r="I338" s="193"/>
      <c r="J338" s="193"/>
      <c r="K338" s="193"/>
      <c r="L338" s="193"/>
      <c r="M338" s="193"/>
      <c r="N338" s="193"/>
      <c r="O338" s="193"/>
      <c r="P338" s="193"/>
      <c r="Q338" s="193"/>
      <c r="R338" s="193"/>
      <c r="S338" s="193"/>
      <c r="T338" s="193"/>
      <c r="U338" s="193"/>
      <c r="V338" s="193"/>
    </row>
    <row r="339" spans="1:22" s="191" customFormat="1">
      <c r="A339" s="193" t="s">
        <v>543</v>
      </c>
      <c r="B339" s="193">
        <v>1986</v>
      </c>
      <c r="C339" s="196">
        <v>14.4540509109854</v>
      </c>
      <c r="D339" s="196">
        <v>2.6259227095093398</v>
      </c>
      <c r="E339" s="191" t="s">
        <v>536</v>
      </c>
      <c r="G339" s="193"/>
      <c r="H339" s="193"/>
      <c r="I339" s="193"/>
      <c r="J339" s="193"/>
      <c r="K339" s="193"/>
      <c r="L339" s="193"/>
      <c r="M339" s="193"/>
      <c r="N339" s="193"/>
      <c r="O339" s="193"/>
      <c r="P339" s="193"/>
      <c r="Q339" s="193"/>
      <c r="R339" s="193"/>
      <c r="S339" s="193"/>
      <c r="T339" s="193"/>
      <c r="U339" s="193"/>
      <c r="V339" s="193"/>
    </row>
    <row r="340" spans="1:22" s="191" customFormat="1">
      <c r="A340" s="193" t="s">
        <v>543</v>
      </c>
      <c r="B340" s="193">
        <v>1987</v>
      </c>
      <c r="C340" s="196">
        <v>14.980280251953699</v>
      </c>
      <c r="D340" s="196">
        <v>3.5583198468356998</v>
      </c>
      <c r="E340" s="191" t="s">
        <v>536</v>
      </c>
      <c r="G340" s="193"/>
      <c r="H340" s="193"/>
      <c r="I340" s="193"/>
      <c r="J340" s="193"/>
      <c r="K340" s="193"/>
      <c r="L340" s="193"/>
      <c r="M340" s="193"/>
      <c r="N340" s="193"/>
      <c r="O340" s="193"/>
      <c r="P340" s="193"/>
      <c r="Q340" s="193"/>
      <c r="R340" s="193"/>
      <c r="S340" s="193"/>
      <c r="T340" s="193"/>
      <c r="U340" s="193"/>
      <c r="V340" s="193"/>
    </row>
    <row r="341" spans="1:22" s="191" customFormat="1">
      <c r="A341" s="193" t="s">
        <v>543</v>
      </c>
      <c r="B341" s="193">
        <v>1988</v>
      </c>
      <c r="C341" s="196">
        <v>13.098849315230099</v>
      </c>
      <c r="D341" s="196">
        <v>5.1009672839443096</v>
      </c>
      <c r="E341" s="191" t="s">
        <v>536</v>
      </c>
      <c r="G341" s="193"/>
      <c r="H341" s="193"/>
      <c r="I341" s="193"/>
      <c r="J341" s="193"/>
      <c r="K341" s="193"/>
      <c r="L341" s="193"/>
      <c r="M341" s="193"/>
      <c r="N341" s="193"/>
      <c r="O341" s="193"/>
      <c r="P341" s="193"/>
      <c r="Q341" s="193"/>
      <c r="R341" s="193"/>
      <c r="S341" s="193"/>
      <c r="T341" s="193"/>
      <c r="U341" s="193"/>
      <c r="V341" s="193"/>
    </row>
    <row r="342" spans="1:22" s="191" customFormat="1">
      <c r="A342" s="193" t="s">
        <v>543</v>
      </c>
      <c r="B342" s="193">
        <v>1989</v>
      </c>
      <c r="C342" s="196">
        <v>10.7089186194388</v>
      </c>
      <c r="D342" s="196">
        <v>5.4151238617258004</v>
      </c>
      <c r="E342" s="191" t="s">
        <v>536</v>
      </c>
      <c r="G342" s="193"/>
      <c r="H342" s="193"/>
      <c r="I342" s="193"/>
      <c r="J342" s="193"/>
      <c r="K342" s="193"/>
      <c r="L342" s="193"/>
      <c r="M342" s="193"/>
      <c r="N342" s="193"/>
      <c r="O342" s="193"/>
      <c r="P342" s="193"/>
      <c r="Q342" s="193"/>
      <c r="R342" s="193"/>
      <c r="S342" s="193"/>
      <c r="T342" s="193"/>
      <c r="U342" s="193"/>
      <c r="V342" s="193"/>
    </row>
    <row r="343" spans="1:22" s="191" customFormat="1">
      <c r="A343" s="193" t="s">
        <v>543</v>
      </c>
      <c r="B343" s="193">
        <v>1990</v>
      </c>
      <c r="C343" s="196">
        <v>10.3190258131186</v>
      </c>
      <c r="D343" s="196">
        <v>8.2051092938994999E-2</v>
      </c>
      <c r="E343" s="191" t="s">
        <v>536</v>
      </c>
      <c r="G343" s="193"/>
      <c r="H343" s="193"/>
      <c r="I343" s="193"/>
      <c r="J343" s="193"/>
      <c r="K343" s="193"/>
      <c r="L343" s="193"/>
      <c r="M343" s="193"/>
      <c r="N343" s="193"/>
      <c r="O343" s="193"/>
      <c r="P343" s="193"/>
      <c r="Q343" s="193"/>
      <c r="R343" s="193"/>
      <c r="S343" s="193"/>
      <c r="T343" s="193"/>
      <c r="U343" s="193"/>
      <c r="V343" s="193"/>
    </row>
    <row r="344" spans="1:22" s="191" customFormat="1">
      <c r="A344" s="193" t="s">
        <v>543</v>
      </c>
      <c r="B344" s="193">
        <v>1991</v>
      </c>
      <c r="C344" s="196">
        <v>16.9008721725783</v>
      </c>
      <c r="D344" s="196">
        <v>-6.2436669798632902</v>
      </c>
      <c r="E344" s="191" t="s">
        <v>536</v>
      </c>
      <c r="G344" s="193"/>
      <c r="H344" s="193"/>
      <c r="I344" s="193"/>
      <c r="J344" s="193"/>
      <c r="K344" s="193"/>
      <c r="L344" s="193"/>
      <c r="M344" s="193"/>
      <c r="N344" s="193"/>
      <c r="O344" s="193"/>
      <c r="P344" s="193"/>
      <c r="Q344" s="193"/>
      <c r="R344" s="193"/>
      <c r="S344" s="193"/>
      <c r="T344" s="193"/>
      <c r="U344" s="193"/>
      <c r="V344" s="193"/>
    </row>
    <row r="345" spans="1:22" s="191" customFormat="1">
      <c r="A345" s="193" t="s">
        <v>543</v>
      </c>
      <c r="B345" s="193">
        <v>1992</v>
      </c>
      <c r="C345" s="196">
        <v>33.958911046773203</v>
      </c>
      <c r="D345" s="196">
        <v>-3.7355079583415201</v>
      </c>
      <c r="E345" s="191" t="s">
        <v>537</v>
      </c>
      <c r="G345" s="193"/>
      <c r="H345" s="193"/>
      <c r="I345" s="193"/>
      <c r="J345" s="193"/>
      <c r="K345" s="193"/>
      <c r="L345" s="193"/>
      <c r="M345" s="193"/>
      <c r="N345" s="193"/>
      <c r="O345" s="193"/>
      <c r="P345" s="193"/>
      <c r="Q345" s="193"/>
      <c r="R345" s="193"/>
      <c r="S345" s="193"/>
      <c r="T345" s="193"/>
      <c r="U345" s="193"/>
      <c r="V345" s="193"/>
    </row>
    <row r="346" spans="1:22" s="191" customFormat="1">
      <c r="A346" s="193" t="s">
        <v>543</v>
      </c>
      <c r="B346" s="193">
        <v>1993</v>
      </c>
      <c r="C346" s="196">
        <v>51.791588145780501</v>
      </c>
      <c r="D346" s="196">
        <v>-0.92061483190103399</v>
      </c>
      <c r="E346" s="191" t="s">
        <v>537</v>
      </c>
      <c r="G346" s="193"/>
      <c r="H346" s="193"/>
      <c r="I346" s="193"/>
      <c r="J346" s="193"/>
      <c r="K346" s="193"/>
      <c r="L346" s="193"/>
      <c r="M346" s="193"/>
      <c r="N346" s="193"/>
      <c r="O346" s="193"/>
      <c r="P346" s="193"/>
      <c r="Q346" s="193"/>
      <c r="R346" s="193"/>
      <c r="S346" s="193"/>
      <c r="T346" s="193"/>
      <c r="U346" s="193"/>
      <c r="V346" s="193"/>
    </row>
    <row r="347" spans="1:22" s="191" customFormat="1">
      <c r="A347" s="193" t="s">
        <v>543</v>
      </c>
      <c r="B347" s="193">
        <v>1994</v>
      </c>
      <c r="C347" s="196">
        <v>58.848587483712599</v>
      </c>
      <c r="D347" s="196">
        <v>3.57348881288888</v>
      </c>
      <c r="E347" s="191" t="s">
        <v>537</v>
      </c>
      <c r="G347" s="193"/>
      <c r="H347" s="193"/>
      <c r="I347" s="193"/>
      <c r="J347" s="193"/>
      <c r="K347" s="193"/>
      <c r="L347" s="193"/>
      <c r="M347" s="193"/>
      <c r="N347" s="193"/>
      <c r="O347" s="193"/>
      <c r="P347" s="193"/>
      <c r="Q347" s="193"/>
      <c r="R347" s="193"/>
      <c r="S347" s="193"/>
      <c r="T347" s="193"/>
      <c r="U347" s="193"/>
      <c r="V347" s="193"/>
    </row>
    <row r="348" spans="1:22" s="191" customFormat="1">
      <c r="A348" s="193" t="s">
        <v>543</v>
      </c>
      <c r="B348" s="193">
        <v>1995</v>
      </c>
      <c r="C348" s="196">
        <v>62.683488472039301</v>
      </c>
      <c r="D348" s="196">
        <v>3.9236162912128898</v>
      </c>
      <c r="E348" s="191" t="s">
        <v>538</v>
      </c>
      <c r="G348" s="193"/>
      <c r="H348" s="193"/>
      <c r="I348" s="193"/>
      <c r="J348" s="193"/>
      <c r="K348" s="193"/>
      <c r="L348" s="193"/>
      <c r="M348" s="193"/>
      <c r="N348" s="193"/>
      <c r="O348" s="193"/>
      <c r="P348" s="193"/>
      <c r="Q348" s="193"/>
      <c r="R348" s="193"/>
      <c r="S348" s="193"/>
      <c r="T348" s="193"/>
      <c r="U348" s="193"/>
      <c r="V348" s="193"/>
    </row>
    <row r="349" spans="1:22" s="191" customFormat="1">
      <c r="A349" s="193" t="s">
        <v>543</v>
      </c>
      <c r="B349" s="193">
        <v>1996</v>
      </c>
      <c r="C349" s="196">
        <v>66.614641136679197</v>
      </c>
      <c r="D349" s="196">
        <v>3.6998755861805002</v>
      </c>
      <c r="E349" s="191" t="s">
        <v>538</v>
      </c>
      <c r="G349" s="193"/>
      <c r="H349" s="193"/>
      <c r="I349" s="193"/>
      <c r="J349" s="193"/>
      <c r="K349" s="193"/>
      <c r="L349" s="193"/>
      <c r="M349" s="193"/>
      <c r="N349" s="193"/>
      <c r="O349" s="193"/>
      <c r="P349" s="193"/>
      <c r="Q349" s="193"/>
      <c r="R349" s="193"/>
      <c r="S349" s="193"/>
      <c r="T349" s="193"/>
      <c r="U349" s="193"/>
      <c r="V349" s="193"/>
    </row>
    <row r="350" spans="1:22" s="191" customFormat="1">
      <c r="A350" s="193" t="s">
        <v>543</v>
      </c>
      <c r="B350" s="193">
        <v>1997</v>
      </c>
      <c r="C350" s="196">
        <v>64.856455476187406</v>
      </c>
      <c r="D350" s="196">
        <v>6.1999335523644303</v>
      </c>
      <c r="E350" s="191" t="s">
        <v>538</v>
      </c>
      <c r="G350" s="193"/>
      <c r="H350" s="193"/>
      <c r="I350" s="193"/>
      <c r="J350" s="193"/>
      <c r="K350" s="193"/>
      <c r="L350" s="193"/>
      <c r="M350" s="193"/>
      <c r="N350" s="193"/>
      <c r="O350" s="193"/>
      <c r="P350" s="193"/>
      <c r="Q350" s="193"/>
      <c r="R350" s="193"/>
      <c r="S350" s="193"/>
      <c r="T350" s="193"/>
      <c r="U350" s="193"/>
      <c r="V350" s="193"/>
    </row>
    <row r="351" spans="1:22" s="191" customFormat="1">
      <c r="A351" s="193" t="s">
        <v>543</v>
      </c>
      <c r="B351" s="193">
        <v>1998</v>
      </c>
      <c r="C351" s="196">
        <v>59.624309188371299</v>
      </c>
      <c r="D351" s="196">
        <v>5.2253332638128498</v>
      </c>
      <c r="E351" s="191" t="s">
        <v>537</v>
      </c>
      <c r="G351" s="193"/>
      <c r="H351" s="193"/>
      <c r="I351" s="193"/>
      <c r="J351" s="193"/>
      <c r="K351" s="193"/>
      <c r="L351" s="193"/>
      <c r="M351" s="193"/>
      <c r="N351" s="193"/>
      <c r="O351" s="193"/>
      <c r="P351" s="193"/>
      <c r="Q351" s="193"/>
      <c r="R351" s="193"/>
      <c r="S351" s="193"/>
      <c r="T351" s="193"/>
      <c r="U351" s="193"/>
      <c r="V351" s="193"/>
    </row>
    <row r="352" spans="1:22" s="191" customFormat="1">
      <c r="A352" s="193" t="s">
        <v>543</v>
      </c>
      <c r="B352" s="193">
        <v>1999</v>
      </c>
      <c r="C352" s="196">
        <v>55.4688746841301</v>
      </c>
      <c r="D352" s="196">
        <v>3.9211476046148599</v>
      </c>
      <c r="E352" s="191" t="s">
        <v>537</v>
      </c>
      <c r="G352" s="193"/>
      <c r="H352" s="193"/>
      <c r="I352" s="193"/>
      <c r="J352" s="193"/>
      <c r="K352" s="193"/>
      <c r="L352" s="193"/>
      <c r="M352" s="193"/>
      <c r="N352" s="193"/>
      <c r="O352" s="193"/>
      <c r="P352" s="193"/>
      <c r="Q352" s="193"/>
      <c r="R352" s="193"/>
      <c r="S352" s="193"/>
      <c r="T352" s="193"/>
      <c r="U352" s="193"/>
      <c r="V352" s="193"/>
    </row>
    <row r="353" spans="1:22" s="191" customFormat="1">
      <c r="A353" s="193" t="s">
        <v>543</v>
      </c>
      <c r="B353" s="193">
        <v>2000</v>
      </c>
      <c r="C353" s="196">
        <v>47.834287432054602</v>
      </c>
      <c r="D353" s="196">
        <v>5.0566217665991102</v>
      </c>
      <c r="E353" s="191" t="s">
        <v>537</v>
      </c>
      <c r="G353" s="193"/>
      <c r="H353" s="193"/>
      <c r="I353" s="193"/>
      <c r="J353" s="193"/>
      <c r="K353" s="193"/>
      <c r="L353" s="193"/>
      <c r="M353" s="193"/>
      <c r="N353" s="193"/>
      <c r="O353" s="193"/>
      <c r="P353" s="193"/>
      <c r="Q353" s="193"/>
      <c r="R353" s="193"/>
      <c r="S353" s="193"/>
      <c r="T353" s="193"/>
      <c r="U353" s="193"/>
      <c r="V353" s="193"/>
    </row>
    <row r="354" spans="1:22" s="191" customFormat="1">
      <c r="A354" s="193" t="s">
        <v>543</v>
      </c>
      <c r="B354" s="193">
        <v>2001</v>
      </c>
      <c r="C354" s="196">
        <v>44.1808536376166</v>
      </c>
      <c r="D354" s="196">
        <v>2.7050333590523201</v>
      </c>
      <c r="E354" s="191" t="s">
        <v>537</v>
      </c>
      <c r="G354" s="193"/>
      <c r="H354" s="193"/>
      <c r="I354" s="193"/>
      <c r="J354" s="193"/>
      <c r="K354" s="193"/>
      <c r="L354" s="193"/>
      <c r="M354" s="193"/>
      <c r="N354" s="193"/>
      <c r="O354" s="193"/>
      <c r="P354" s="193"/>
      <c r="Q354" s="193"/>
      <c r="R354" s="193"/>
      <c r="S354" s="193"/>
      <c r="T354" s="193"/>
      <c r="U354" s="193"/>
      <c r="V354" s="193"/>
    </row>
    <row r="355" spans="1:22" s="191" customFormat="1">
      <c r="A355" s="193" t="s">
        <v>543</v>
      </c>
      <c r="B355" s="193">
        <v>2002</v>
      </c>
      <c r="C355" s="196">
        <v>41.202830884050499</v>
      </c>
      <c r="D355" s="196">
        <v>1.5732025277299</v>
      </c>
      <c r="E355" s="191" t="s">
        <v>537</v>
      </c>
      <c r="G355" s="193"/>
      <c r="H355" s="193"/>
      <c r="I355" s="193"/>
      <c r="J355" s="193"/>
      <c r="K355" s="193"/>
      <c r="L355" s="193"/>
      <c r="M355" s="193"/>
      <c r="N355" s="193"/>
      <c r="O355" s="193"/>
      <c r="P355" s="193"/>
      <c r="Q355" s="193"/>
      <c r="R355" s="193"/>
      <c r="S355" s="193"/>
      <c r="T355" s="193"/>
      <c r="U355" s="193"/>
      <c r="V355" s="193"/>
    </row>
    <row r="356" spans="1:22" s="191" customFormat="1">
      <c r="A356" s="193" t="s">
        <v>543</v>
      </c>
      <c r="B356" s="193">
        <v>2003</v>
      </c>
      <c r="C356" s="196">
        <v>43.430829784687504</v>
      </c>
      <c r="D356" s="196">
        <v>1.81060111667029</v>
      </c>
      <c r="E356" s="191" t="s">
        <v>537</v>
      </c>
      <c r="G356" s="193"/>
      <c r="H356" s="193"/>
      <c r="I356" s="193"/>
      <c r="J356" s="193"/>
      <c r="K356" s="193"/>
      <c r="L356" s="193"/>
      <c r="M356" s="193"/>
      <c r="N356" s="193"/>
      <c r="O356" s="193"/>
      <c r="P356" s="193"/>
      <c r="Q356" s="193"/>
      <c r="R356" s="193"/>
      <c r="S356" s="193"/>
      <c r="T356" s="193"/>
      <c r="U356" s="193"/>
      <c r="V356" s="193"/>
    </row>
    <row r="357" spans="1:22" s="191" customFormat="1">
      <c r="A357" s="193" t="s">
        <v>543</v>
      </c>
      <c r="B357" s="193">
        <v>2004</v>
      </c>
      <c r="C357" s="196">
        <v>41.924130127536401</v>
      </c>
      <c r="D357" s="196">
        <v>3.69639690328829</v>
      </c>
      <c r="E357" s="191" t="s">
        <v>537</v>
      </c>
      <c r="G357" s="193"/>
      <c r="H357" s="193"/>
      <c r="I357" s="193"/>
      <c r="J357" s="193"/>
      <c r="K357" s="193"/>
      <c r="L357" s="193"/>
      <c r="M357" s="193"/>
      <c r="N357" s="193"/>
      <c r="O357" s="193"/>
      <c r="P357" s="193"/>
      <c r="Q357" s="193"/>
      <c r="R357" s="193"/>
      <c r="S357" s="193"/>
      <c r="T357" s="193"/>
      <c r="U357" s="193"/>
      <c r="V357" s="193"/>
    </row>
    <row r="358" spans="1:22" s="191" customFormat="1">
      <c r="A358" s="193" t="s">
        <v>543</v>
      </c>
      <c r="B358" s="193">
        <v>2005</v>
      </c>
      <c r="C358" s="196">
        <v>38.227534558948001</v>
      </c>
      <c r="D358" s="196">
        <v>2.76791417405577</v>
      </c>
      <c r="E358" s="191" t="s">
        <v>537</v>
      </c>
      <c r="G358" s="193"/>
      <c r="H358" s="193"/>
      <c r="I358" s="193"/>
      <c r="J358" s="193"/>
      <c r="K358" s="193"/>
      <c r="L358" s="193"/>
      <c r="M358" s="193"/>
      <c r="N358" s="193"/>
      <c r="O358" s="193"/>
      <c r="P358" s="193"/>
      <c r="Q358" s="193"/>
      <c r="R358" s="193"/>
      <c r="S358" s="193"/>
      <c r="T358" s="193"/>
      <c r="U358" s="193"/>
      <c r="V358" s="193"/>
    </row>
    <row r="359" spans="1:22" s="191" customFormat="1">
      <c r="A359" s="193" t="s">
        <v>543</v>
      </c>
      <c r="B359" s="193">
        <v>2006</v>
      </c>
      <c r="C359" s="196">
        <v>35.264581361008702</v>
      </c>
      <c r="D359" s="196">
        <v>4.9229082986359298</v>
      </c>
      <c r="E359" s="191" t="s">
        <v>537</v>
      </c>
      <c r="G359" s="193"/>
      <c r="H359" s="193"/>
      <c r="I359" s="193"/>
      <c r="J359" s="193"/>
      <c r="K359" s="193"/>
      <c r="L359" s="193"/>
      <c r="M359" s="193"/>
      <c r="N359" s="193"/>
      <c r="O359" s="193"/>
      <c r="P359" s="193"/>
      <c r="Q359" s="193"/>
      <c r="R359" s="193"/>
      <c r="S359" s="193"/>
      <c r="T359" s="193"/>
      <c r="U359" s="193"/>
      <c r="V359" s="193"/>
    </row>
    <row r="360" spans="1:22" s="191" customFormat="1">
      <c r="A360" s="193" t="s">
        <v>543</v>
      </c>
      <c r="B360" s="193">
        <v>2007</v>
      </c>
      <c r="C360" s="196">
        <v>31.208125378426601</v>
      </c>
      <c r="D360" s="196">
        <v>4.2027351537966604</v>
      </c>
      <c r="E360" s="191" t="s">
        <v>537</v>
      </c>
      <c r="G360" s="193"/>
      <c r="H360" s="193"/>
      <c r="I360" s="193"/>
      <c r="J360" s="193"/>
      <c r="K360" s="193"/>
      <c r="L360" s="193"/>
      <c r="M360" s="193"/>
      <c r="N360" s="193"/>
      <c r="O360" s="193"/>
      <c r="P360" s="193"/>
      <c r="Q360" s="193"/>
      <c r="R360" s="193"/>
      <c r="S360" s="193"/>
      <c r="T360" s="193"/>
      <c r="U360" s="193"/>
      <c r="V360" s="193"/>
    </row>
    <row r="361" spans="1:22" s="191" customFormat="1">
      <c r="A361" s="193" t="s">
        <v>543</v>
      </c>
      <c r="B361" s="193">
        <v>2008</v>
      </c>
      <c r="C361" s="196">
        <v>29.438958901736601</v>
      </c>
      <c r="D361" s="196">
        <v>1.04101081355332</v>
      </c>
      <c r="E361" s="191" t="s">
        <v>536</v>
      </c>
      <c r="G361" s="193"/>
      <c r="H361" s="193"/>
      <c r="I361" s="193"/>
      <c r="J361" s="193"/>
      <c r="K361" s="193"/>
      <c r="L361" s="193"/>
      <c r="M361" s="193"/>
      <c r="N361" s="193"/>
      <c r="O361" s="193"/>
      <c r="P361" s="193"/>
      <c r="Q361" s="193"/>
      <c r="R361" s="193"/>
      <c r="S361" s="193"/>
      <c r="T361" s="193"/>
      <c r="U361" s="193"/>
      <c r="V361" s="193"/>
    </row>
    <row r="362" spans="1:22" s="191" customFormat="1">
      <c r="A362" s="193" t="s">
        <v>543</v>
      </c>
      <c r="B362" s="193">
        <v>2009</v>
      </c>
      <c r="C362" s="196">
        <v>33.4194776931447</v>
      </c>
      <c r="D362" s="196">
        <v>-6.3559475843043298</v>
      </c>
      <c r="E362" s="191" t="s">
        <v>537</v>
      </c>
      <c r="G362" s="193"/>
      <c r="H362" s="193"/>
      <c r="I362" s="193"/>
      <c r="J362" s="193"/>
      <c r="K362" s="193"/>
      <c r="L362" s="193"/>
      <c r="M362" s="193"/>
      <c r="N362" s="193"/>
      <c r="O362" s="193"/>
      <c r="P362" s="193"/>
      <c r="Q362" s="193"/>
      <c r="R362" s="193"/>
      <c r="S362" s="193"/>
      <c r="T362" s="193"/>
      <c r="U362" s="193"/>
      <c r="V362" s="193"/>
    </row>
    <row r="363" spans="1:22" s="191" customFormat="1">
      <c r="A363" s="193" t="s">
        <v>544</v>
      </c>
      <c r="B363" s="193">
        <v>1950</v>
      </c>
      <c r="C363" s="196">
        <v>27.4198898693027</v>
      </c>
      <c r="D363" s="196">
        <v>7.49400479616307</v>
      </c>
      <c r="E363" s="191" t="s">
        <v>536</v>
      </c>
      <c r="G363" s="193"/>
      <c r="H363" s="193"/>
      <c r="I363" s="193"/>
      <c r="J363" s="193"/>
      <c r="K363" s="193"/>
      <c r="L363" s="193"/>
      <c r="M363" s="193"/>
      <c r="N363" s="193"/>
      <c r="O363" s="193"/>
      <c r="P363" s="193"/>
      <c r="Q363" s="193"/>
      <c r="R363" s="193"/>
      <c r="S363" s="193"/>
      <c r="T363" s="193"/>
      <c r="U363" s="193"/>
      <c r="V363" s="193"/>
    </row>
    <row r="364" spans="1:22" s="191" customFormat="1">
      <c r="A364" s="193" t="s">
        <v>544</v>
      </c>
      <c r="B364" s="193">
        <v>1951</v>
      </c>
      <c r="C364" s="196">
        <v>22.8435917932321</v>
      </c>
      <c r="D364" s="196">
        <v>6.1349693251533797</v>
      </c>
      <c r="E364" s="191" t="s">
        <v>536</v>
      </c>
      <c r="G364" s="193"/>
      <c r="H364" s="193"/>
      <c r="I364" s="193"/>
      <c r="J364" s="193"/>
      <c r="K364" s="193"/>
      <c r="L364" s="193"/>
      <c r="M364" s="193"/>
      <c r="N364" s="193"/>
      <c r="O364" s="193"/>
      <c r="P364" s="193"/>
      <c r="Q364" s="193"/>
      <c r="R364" s="193"/>
      <c r="S364" s="193"/>
      <c r="T364" s="193"/>
      <c r="U364" s="193"/>
      <c r="V364" s="193"/>
    </row>
    <row r="365" spans="1:22" s="191" customFormat="1">
      <c r="A365" s="193" t="s">
        <v>544</v>
      </c>
      <c r="B365" s="193">
        <v>1952</v>
      </c>
      <c r="C365" s="196">
        <v>23.4974918001158</v>
      </c>
      <c r="D365" s="196">
        <v>2.6274303730951201</v>
      </c>
      <c r="E365" s="191" t="s">
        <v>536</v>
      </c>
      <c r="G365" s="193"/>
      <c r="H365" s="193"/>
      <c r="I365" s="193"/>
      <c r="J365" s="193"/>
      <c r="K365" s="193"/>
      <c r="L365" s="193"/>
      <c r="M365" s="193"/>
      <c r="N365" s="193"/>
      <c r="O365" s="193"/>
      <c r="P365" s="193"/>
      <c r="Q365" s="193"/>
      <c r="R365" s="193"/>
      <c r="S365" s="193"/>
      <c r="T365" s="193"/>
      <c r="U365" s="193"/>
      <c r="V365" s="193"/>
    </row>
    <row r="366" spans="1:22" s="191" customFormat="1">
      <c r="A366" s="193" t="s">
        <v>544</v>
      </c>
      <c r="B366" s="193">
        <v>1953</v>
      </c>
      <c r="C366" s="196">
        <v>25.7816589730167</v>
      </c>
      <c r="D366" s="196">
        <v>2.9185867895545199</v>
      </c>
      <c r="E366" s="191" t="s">
        <v>536</v>
      </c>
      <c r="G366" s="193"/>
      <c r="H366" s="193"/>
      <c r="I366" s="193"/>
      <c r="J366" s="193"/>
      <c r="K366" s="193"/>
      <c r="L366" s="193"/>
      <c r="M366" s="193"/>
      <c r="N366" s="193"/>
      <c r="O366" s="193"/>
      <c r="P366" s="193"/>
      <c r="Q366" s="193"/>
      <c r="R366" s="193"/>
      <c r="S366" s="193"/>
      <c r="T366" s="193"/>
      <c r="U366" s="193"/>
      <c r="V366" s="193"/>
    </row>
    <row r="367" spans="1:22" s="191" customFormat="1">
      <c r="A367" s="193" t="s">
        <v>544</v>
      </c>
      <c r="B367" s="193">
        <v>1954</v>
      </c>
      <c r="C367" s="196">
        <v>24.768630203079098</v>
      </c>
      <c r="D367" s="196">
        <v>4.8258706467661598</v>
      </c>
      <c r="E367" s="191" t="s">
        <v>536</v>
      </c>
      <c r="G367" s="193"/>
      <c r="H367" s="193"/>
      <c r="I367" s="193"/>
      <c r="J367" s="193"/>
      <c r="K367" s="193"/>
      <c r="L367" s="193"/>
      <c r="M367" s="193"/>
      <c r="N367" s="193"/>
      <c r="O367" s="193"/>
      <c r="P367" s="193"/>
      <c r="Q367" s="193"/>
      <c r="R367" s="193"/>
      <c r="S367" s="193"/>
      <c r="T367" s="193"/>
      <c r="U367" s="193"/>
      <c r="V367" s="193"/>
    </row>
    <row r="368" spans="1:22" s="191" customFormat="1">
      <c r="A368" s="193" t="s">
        <v>544</v>
      </c>
      <c r="B368" s="193">
        <v>1955</v>
      </c>
      <c r="C368" s="196">
        <v>23.700469560919402</v>
      </c>
      <c r="D368" s="196">
        <v>5.79022306597059</v>
      </c>
      <c r="E368" s="191" t="s">
        <v>536</v>
      </c>
      <c r="G368" s="193"/>
      <c r="H368" s="193"/>
      <c r="I368" s="193"/>
      <c r="J368" s="193"/>
      <c r="K368" s="193"/>
      <c r="L368" s="193"/>
      <c r="M368" s="193"/>
      <c r="N368" s="193"/>
      <c r="O368" s="193"/>
      <c r="P368" s="193"/>
      <c r="Q368" s="193"/>
      <c r="R368" s="193"/>
      <c r="S368" s="193"/>
      <c r="T368" s="193"/>
      <c r="U368" s="193"/>
      <c r="V368" s="193"/>
    </row>
    <row r="369" spans="1:22" s="191" customFormat="1">
      <c r="A369" s="193" t="s">
        <v>544</v>
      </c>
      <c r="B369" s="193">
        <v>1956</v>
      </c>
      <c r="C369" s="196">
        <v>23.195688587866901</v>
      </c>
      <c r="D369" s="196">
        <v>5.0246747420367797</v>
      </c>
      <c r="E369" s="191" t="s">
        <v>536</v>
      </c>
      <c r="G369" s="193"/>
      <c r="H369" s="193"/>
      <c r="I369" s="193"/>
      <c r="J369" s="193"/>
      <c r="K369" s="193"/>
      <c r="L369" s="193"/>
      <c r="M369" s="193"/>
      <c r="N369" s="193"/>
      <c r="O369" s="193"/>
      <c r="P369" s="193"/>
      <c r="Q369" s="193"/>
      <c r="R369" s="193"/>
      <c r="S369" s="193"/>
      <c r="T369" s="193"/>
      <c r="U369" s="193"/>
      <c r="V369" s="193"/>
    </row>
    <row r="370" spans="1:22" s="191" customFormat="1">
      <c r="A370" s="193" t="s">
        <v>544</v>
      </c>
      <c r="B370" s="193">
        <v>1957</v>
      </c>
      <c r="C370" s="196">
        <v>24.070021881838102</v>
      </c>
      <c r="D370" s="196">
        <v>6.02306706535669</v>
      </c>
      <c r="E370" s="191" t="s">
        <v>536</v>
      </c>
      <c r="G370" s="193"/>
      <c r="H370" s="193"/>
      <c r="I370" s="193"/>
      <c r="J370" s="193"/>
      <c r="K370" s="193"/>
      <c r="L370" s="193"/>
      <c r="M370" s="193"/>
      <c r="N370" s="193"/>
      <c r="O370" s="193"/>
      <c r="P370" s="193"/>
      <c r="Q370" s="193"/>
      <c r="R370" s="193"/>
      <c r="S370" s="193"/>
      <c r="T370" s="193"/>
      <c r="U370" s="193"/>
      <c r="V370" s="193"/>
    </row>
    <row r="371" spans="1:22" s="191" customFormat="1">
      <c r="A371" s="193" t="s">
        <v>544</v>
      </c>
      <c r="B371" s="193">
        <v>1958</v>
      </c>
      <c r="C371" s="196">
        <v>27.294826582668499</v>
      </c>
      <c r="D371" s="196">
        <v>2.5382755842062998</v>
      </c>
      <c r="E371" s="191" t="s">
        <v>536</v>
      </c>
      <c r="G371" s="193"/>
      <c r="H371" s="193"/>
      <c r="I371" s="193"/>
      <c r="J371" s="193"/>
      <c r="K371" s="193"/>
      <c r="L371" s="193"/>
      <c r="M371" s="193"/>
      <c r="N371" s="193"/>
      <c r="O371" s="193"/>
      <c r="P371" s="193"/>
      <c r="Q371" s="193"/>
      <c r="R371" s="193"/>
      <c r="S371" s="193"/>
      <c r="T371" s="193"/>
      <c r="U371" s="193"/>
      <c r="V371" s="193"/>
    </row>
    <row r="372" spans="1:22" s="191" customFormat="1">
      <c r="A372" s="193" t="s">
        <v>544</v>
      </c>
      <c r="B372" s="193">
        <v>1959</v>
      </c>
      <c r="C372" s="196">
        <v>27.146456489437298</v>
      </c>
      <c r="D372" s="196">
        <v>2.8290766208251399</v>
      </c>
      <c r="E372" s="191" t="s">
        <v>536</v>
      </c>
      <c r="G372" s="193"/>
      <c r="H372" s="193"/>
      <c r="I372" s="193"/>
      <c r="J372" s="193"/>
      <c r="K372" s="193"/>
      <c r="L372" s="193"/>
      <c r="M372" s="193"/>
      <c r="N372" s="193"/>
      <c r="O372" s="193"/>
      <c r="P372" s="193"/>
      <c r="Q372" s="193"/>
      <c r="R372" s="193"/>
      <c r="S372" s="193"/>
      <c r="T372" s="193"/>
      <c r="U372" s="193"/>
      <c r="V372" s="193"/>
    </row>
    <row r="373" spans="1:22" s="191" customFormat="1">
      <c r="A373" s="193" t="s">
        <v>544</v>
      </c>
      <c r="B373" s="193">
        <v>1960</v>
      </c>
      <c r="C373" s="196">
        <v>22.090265593804801</v>
      </c>
      <c r="D373" s="196">
        <v>7.0691631639281596</v>
      </c>
      <c r="E373" s="191" t="s">
        <v>536</v>
      </c>
      <c r="G373" s="193"/>
      <c r="H373" s="193"/>
      <c r="I373" s="193"/>
      <c r="J373" s="193"/>
      <c r="K373" s="193"/>
      <c r="L373" s="193"/>
      <c r="M373" s="193"/>
      <c r="N373" s="193"/>
      <c r="O373" s="193"/>
      <c r="P373" s="193"/>
      <c r="Q373" s="193"/>
      <c r="R373" s="193"/>
      <c r="S373" s="193"/>
      <c r="T373" s="193"/>
      <c r="U373" s="193"/>
      <c r="V373" s="193"/>
    </row>
    <row r="374" spans="1:22" s="191" customFormat="1">
      <c r="A374" s="193" t="s">
        <v>544</v>
      </c>
      <c r="B374" s="193">
        <v>1961</v>
      </c>
      <c r="C374" s="196">
        <v>19.308446935915399</v>
      </c>
      <c r="D374" s="196">
        <v>5.4960742326909404</v>
      </c>
      <c r="E374" s="191" t="s">
        <v>536</v>
      </c>
      <c r="G374" s="193"/>
      <c r="H374" s="193"/>
      <c r="I374" s="193"/>
      <c r="J374" s="193"/>
      <c r="K374" s="193"/>
      <c r="L374" s="193"/>
      <c r="M374" s="193"/>
      <c r="N374" s="193"/>
      <c r="O374" s="193"/>
      <c r="P374" s="193"/>
      <c r="Q374" s="193"/>
      <c r="R374" s="193"/>
      <c r="S374" s="193"/>
      <c r="T374" s="193"/>
      <c r="U374" s="193"/>
      <c r="V374" s="193"/>
    </row>
    <row r="375" spans="1:22" s="191" customFormat="1">
      <c r="A375" s="193" t="s">
        <v>544</v>
      </c>
      <c r="B375" s="193">
        <v>1962</v>
      </c>
      <c r="C375" s="196">
        <v>20.395555030145399</v>
      </c>
      <c r="D375" s="196">
        <v>6.6305818673883401</v>
      </c>
      <c r="E375" s="191" t="s">
        <v>536</v>
      </c>
      <c r="G375" s="193"/>
      <c r="H375" s="193"/>
      <c r="I375" s="193"/>
      <c r="J375" s="193"/>
      <c r="K375" s="193"/>
      <c r="L375" s="193"/>
      <c r="M375" s="193"/>
      <c r="N375" s="193"/>
      <c r="O375" s="193"/>
      <c r="P375" s="193"/>
      <c r="Q375" s="193"/>
      <c r="R375" s="193"/>
      <c r="S375" s="193"/>
      <c r="T375" s="193"/>
      <c r="U375" s="193"/>
      <c r="V375" s="193"/>
    </row>
    <row r="376" spans="1:22" s="191" customFormat="1">
      <c r="A376" s="193" t="s">
        <v>544</v>
      </c>
      <c r="B376" s="193">
        <v>1963</v>
      </c>
      <c r="C376" s="196">
        <v>19.6609798296139</v>
      </c>
      <c r="D376" s="196">
        <v>5.4885786802030498</v>
      </c>
      <c r="E376" s="191" t="s">
        <v>536</v>
      </c>
      <c r="G376" s="193"/>
      <c r="H376" s="193"/>
      <c r="I376" s="193"/>
      <c r="J376" s="193"/>
      <c r="K376" s="193"/>
      <c r="L376" s="193"/>
      <c r="M376" s="193"/>
      <c r="N376" s="193"/>
      <c r="O376" s="193"/>
      <c r="P376" s="193"/>
      <c r="Q376" s="193"/>
      <c r="R376" s="193"/>
      <c r="S376" s="193"/>
      <c r="T376" s="193"/>
      <c r="U376" s="193"/>
      <c r="V376" s="193"/>
    </row>
    <row r="377" spans="1:22" s="191" customFormat="1">
      <c r="A377" s="193" t="s">
        <v>544</v>
      </c>
      <c r="B377" s="193">
        <v>1964</v>
      </c>
      <c r="C377" s="196">
        <v>17.477053284062499</v>
      </c>
      <c r="D377" s="196">
        <v>6.4962406015037599</v>
      </c>
      <c r="E377" s="191" t="s">
        <v>536</v>
      </c>
      <c r="G377" s="193"/>
      <c r="H377" s="193"/>
      <c r="I377" s="193"/>
      <c r="J377" s="193"/>
      <c r="K377" s="193"/>
      <c r="L377" s="193"/>
      <c r="M377" s="193"/>
      <c r="N377" s="193"/>
      <c r="O377" s="193"/>
      <c r="P377" s="193"/>
      <c r="Q377" s="193"/>
      <c r="R377" s="193"/>
      <c r="S377" s="193"/>
      <c r="T377" s="193"/>
      <c r="U377" s="193"/>
      <c r="V377" s="193"/>
    </row>
    <row r="378" spans="1:22" s="191" customFormat="1">
      <c r="A378" s="193" t="s">
        <v>544</v>
      </c>
      <c r="B378" s="193">
        <v>1965</v>
      </c>
      <c r="C378" s="196">
        <v>15.2158415132192</v>
      </c>
      <c r="D378" s="196">
        <v>4.6879412595312004</v>
      </c>
      <c r="E378" s="191" t="s">
        <v>536</v>
      </c>
      <c r="G378" s="193"/>
      <c r="H378" s="193"/>
      <c r="I378" s="193"/>
      <c r="J378" s="193"/>
      <c r="K378" s="193"/>
      <c r="L378" s="193"/>
      <c r="M378" s="193"/>
      <c r="N378" s="193"/>
      <c r="O378" s="193"/>
      <c r="P378" s="193"/>
      <c r="Q378" s="193"/>
      <c r="R378" s="193"/>
      <c r="S378" s="193"/>
      <c r="T378" s="193"/>
      <c r="U378" s="193"/>
      <c r="V378" s="193"/>
    </row>
    <row r="379" spans="1:22" s="191" customFormat="1">
      <c r="A379" s="193" t="s">
        <v>544</v>
      </c>
      <c r="B379" s="193">
        <v>1966</v>
      </c>
      <c r="C379" s="196">
        <v>14.6689512360498</v>
      </c>
      <c r="D379" s="196">
        <v>5.3142702994334998</v>
      </c>
      <c r="E379" s="191" t="s">
        <v>536</v>
      </c>
      <c r="G379" s="193"/>
      <c r="H379" s="193"/>
      <c r="I379" s="193"/>
      <c r="J379" s="193"/>
      <c r="K379" s="193"/>
      <c r="L379" s="193"/>
      <c r="M379" s="193"/>
      <c r="N379" s="193"/>
      <c r="O379" s="193"/>
      <c r="P379" s="193"/>
      <c r="Q379" s="193"/>
      <c r="R379" s="193"/>
      <c r="S379" s="193"/>
      <c r="T379" s="193"/>
      <c r="U379" s="193"/>
      <c r="V379" s="193"/>
    </row>
    <row r="380" spans="1:22" s="191" customFormat="1">
      <c r="A380" s="193" t="s">
        <v>544</v>
      </c>
      <c r="B380" s="193">
        <v>1967</v>
      </c>
      <c r="C380" s="196">
        <v>15.180904522613099</v>
      </c>
      <c r="D380" s="196">
        <v>4.5850409836065698</v>
      </c>
      <c r="E380" s="191" t="s">
        <v>536</v>
      </c>
      <c r="G380" s="193"/>
      <c r="H380" s="193"/>
      <c r="I380" s="193"/>
      <c r="J380" s="193"/>
      <c r="K380" s="193"/>
      <c r="L380" s="193"/>
      <c r="M380" s="193"/>
      <c r="N380" s="193"/>
      <c r="O380" s="193"/>
      <c r="P380" s="193"/>
      <c r="Q380" s="193"/>
      <c r="R380" s="193"/>
      <c r="S380" s="193"/>
      <c r="T380" s="193"/>
      <c r="U380" s="193"/>
      <c r="V380" s="193"/>
    </row>
    <row r="381" spans="1:22" s="191" customFormat="1">
      <c r="A381" s="193" t="s">
        <v>544</v>
      </c>
      <c r="B381" s="193">
        <v>1968</v>
      </c>
      <c r="C381" s="196">
        <v>15.272156862745099</v>
      </c>
      <c r="D381" s="196">
        <v>4.3595395542493298</v>
      </c>
      <c r="E381" s="191" t="s">
        <v>536</v>
      </c>
      <c r="G381" s="193"/>
      <c r="H381" s="193"/>
      <c r="I381" s="193"/>
      <c r="J381" s="193"/>
      <c r="K381" s="193"/>
      <c r="L381" s="193"/>
      <c r="M381" s="193"/>
      <c r="N381" s="193"/>
      <c r="O381" s="193"/>
      <c r="P381" s="193"/>
      <c r="Q381" s="193"/>
      <c r="R381" s="193"/>
      <c r="S381" s="193"/>
      <c r="T381" s="193"/>
      <c r="U381" s="193"/>
      <c r="V381" s="193"/>
    </row>
    <row r="382" spans="1:22" s="191" customFormat="1">
      <c r="A382" s="193" t="s">
        <v>544</v>
      </c>
      <c r="B382" s="193">
        <v>1969</v>
      </c>
      <c r="C382" s="196">
        <v>14.5286525108761</v>
      </c>
      <c r="D382" s="196">
        <v>6.9467261206289397</v>
      </c>
      <c r="E382" s="191" t="s">
        <v>536</v>
      </c>
      <c r="G382" s="193"/>
      <c r="H382" s="193"/>
      <c r="I382" s="193"/>
      <c r="J382" s="193"/>
      <c r="K382" s="193"/>
      <c r="L382" s="193"/>
      <c r="M382" s="193"/>
      <c r="N382" s="193"/>
      <c r="O382" s="193"/>
      <c r="P382" s="193"/>
      <c r="Q382" s="193"/>
      <c r="R382" s="193"/>
      <c r="S382" s="193"/>
      <c r="T382" s="193"/>
      <c r="U382" s="193"/>
      <c r="V382" s="193"/>
    </row>
    <row r="383" spans="1:22" s="191" customFormat="1">
      <c r="A383" s="193" t="s">
        <v>544</v>
      </c>
      <c r="B383" s="193">
        <v>1970</v>
      </c>
      <c r="C383" s="196">
        <v>12.371020443932499</v>
      </c>
      <c r="D383" s="196">
        <v>5.7932850559578597</v>
      </c>
      <c r="E383" s="191" t="s">
        <v>536</v>
      </c>
      <c r="G383" s="193"/>
      <c r="H383" s="193"/>
      <c r="I383" s="193"/>
      <c r="J383" s="193"/>
      <c r="K383" s="193"/>
      <c r="L383" s="193"/>
      <c r="M383" s="193"/>
      <c r="N383" s="193"/>
      <c r="O383" s="193"/>
      <c r="P383" s="193"/>
      <c r="Q383" s="193"/>
      <c r="R383" s="193"/>
      <c r="S383" s="193"/>
      <c r="T383" s="193"/>
      <c r="U383" s="193"/>
      <c r="V383" s="193"/>
    </row>
    <row r="384" spans="1:22" s="191" customFormat="1">
      <c r="A384" s="193" t="s">
        <v>544</v>
      </c>
      <c r="B384" s="193">
        <v>1971</v>
      </c>
      <c r="C384" s="196">
        <v>10.770551596431201</v>
      </c>
      <c r="D384" s="196">
        <v>5.3723293922422597</v>
      </c>
      <c r="E384" s="191" t="s">
        <v>536</v>
      </c>
      <c r="G384" s="193"/>
      <c r="H384" s="193"/>
      <c r="I384" s="193"/>
      <c r="J384" s="193"/>
      <c r="K384" s="193"/>
      <c r="L384" s="193"/>
      <c r="M384" s="193"/>
      <c r="N384" s="193"/>
      <c r="O384" s="193"/>
      <c r="P384" s="193"/>
      <c r="Q384" s="193"/>
      <c r="R384" s="193"/>
      <c r="S384" s="193"/>
      <c r="T384" s="193"/>
      <c r="U384" s="193"/>
      <c r="V384" s="193"/>
    </row>
    <row r="385" spans="1:22" s="191" customFormat="1">
      <c r="A385" s="193" t="s">
        <v>544</v>
      </c>
      <c r="B385" s="193">
        <v>1972</v>
      </c>
      <c r="C385" s="196">
        <v>8.7579009409995301</v>
      </c>
      <c r="D385" s="196">
        <v>5.8858267716535497</v>
      </c>
      <c r="E385" s="191" t="s">
        <v>536</v>
      </c>
      <c r="G385" s="193"/>
      <c r="H385" s="193"/>
      <c r="I385" s="193"/>
      <c r="J385" s="193"/>
      <c r="K385" s="193"/>
      <c r="L385" s="193"/>
      <c r="M385" s="193"/>
      <c r="N385" s="193"/>
      <c r="O385" s="193"/>
      <c r="P385" s="193"/>
      <c r="Q385" s="193"/>
      <c r="R385" s="193"/>
      <c r="S385" s="193"/>
      <c r="T385" s="193"/>
      <c r="U385" s="193"/>
      <c r="V385" s="193"/>
    </row>
    <row r="386" spans="1:22" s="191" customFormat="1">
      <c r="A386" s="193" t="s">
        <v>544</v>
      </c>
      <c r="B386" s="193">
        <v>1979</v>
      </c>
      <c r="C386" s="196">
        <v>31.1153032426806</v>
      </c>
      <c r="D386" s="196">
        <v>3.3060357901122401</v>
      </c>
      <c r="E386" s="191" t="s">
        <v>537</v>
      </c>
      <c r="G386" s="193"/>
      <c r="H386" s="193"/>
      <c r="I386" s="193"/>
      <c r="J386" s="193"/>
      <c r="K386" s="193"/>
      <c r="L386" s="193"/>
      <c r="M386" s="193"/>
      <c r="N386" s="193"/>
      <c r="O386" s="193"/>
      <c r="P386" s="193"/>
      <c r="Q386" s="193"/>
      <c r="R386" s="193"/>
      <c r="S386" s="193"/>
      <c r="T386" s="193"/>
      <c r="U386" s="193"/>
      <c r="V386" s="193"/>
    </row>
    <row r="387" spans="1:22" s="191" customFormat="1">
      <c r="A387" s="193" t="s">
        <v>544</v>
      </c>
      <c r="B387" s="193">
        <v>1980</v>
      </c>
      <c r="C387" s="196">
        <v>29.520365556819598</v>
      </c>
      <c r="D387" s="196">
        <v>1.0716382853787301</v>
      </c>
      <c r="E387" s="191" t="s">
        <v>536</v>
      </c>
      <c r="G387" s="193"/>
      <c r="H387" s="193"/>
      <c r="I387" s="193"/>
      <c r="J387" s="193"/>
      <c r="K387" s="193"/>
      <c r="L387" s="193"/>
      <c r="M387" s="193"/>
      <c r="N387" s="193"/>
      <c r="O387" s="193"/>
      <c r="P387" s="193"/>
      <c r="Q387" s="193"/>
      <c r="R387" s="193"/>
      <c r="S387" s="193"/>
      <c r="T387" s="193"/>
      <c r="U387" s="193"/>
      <c r="V387" s="193"/>
    </row>
    <row r="388" spans="1:22" s="191" customFormat="1">
      <c r="A388" s="193" t="s">
        <v>544</v>
      </c>
      <c r="B388" s="193">
        <v>1981</v>
      </c>
      <c r="C388" s="196">
        <v>30.513237645741601</v>
      </c>
      <c r="D388" s="196">
        <v>1.5475053130301</v>
      </c>
      <c r="E388" s="191" t="s">
        <v>537</v>
      </c>
      <c r="G388" s="193"/>
      <c r="H388" s="193"/>
      <c r="I388" s="193"/>
      <c r="J388" s="193"/>
      <c r="K388" s="193"/>
      <c r="L388" s="193"/>
      <c r="M388" s="193"/>
      <c r="N388" s="193"/>
      <c r="O388" s="193"/>
      <c r="P388" s="193"/>
      <c r="Q388" s="193"/>
      <c r="R388" s="193"/>
      <c r="S388" s="193"/>
      <c r="T388" s="193"/>
      <c r="U388" s="193"/>
      <c r="V388" s="193"/>
    </row>
    <row r="389" spans="1:22" s="191" customFormat="1">
      <c r="A389" s="193" t="s">
        <v>544</v>
      </c>
      <c r="B389" s="193">
        <v>1982</v>
      </c>
      <c r="C389" s="196">
        <v>36.449265378208104</v>
      </c>
      <c r="D389" s="196">
        <v>0.12499351992121301</v>
      </c>
      <c r="E389" s="191" t="s">
        <v>537</v>
      </c>
      <c r="G389" s="193"/>
      <c r="H389" s="193"/>
      <c r="I389" s="193"/>
      <c r="J389" s="193"/>
      <c r="K389" s="193"/>
      <c r="L389" s="193"/>
      <c r="M389" s="193"/>
      <c r="N389" s="193"/>
      <c r="O389" s="193"/>
      <c r="P389" s="193"/>
      <c r="Q389" s="193"/>
      <c r="R389" s="193"/>
      <c r="S389" s="193"/>
      <c r="T389" s="193"/>
      <c r="U389" s="193"/>
      <c r="V389" s="193"/>
    </row>
    <row r="390" spans="1:22" s="191" customFormat="1">
      <c r="A390" s="193" t="s">
        <v>544</v>
      </c>
      <c r="B390" s="193">
        <v>1983</v>
      </c>
      <c r="C390" s="196">
        <v>38.333615198151001</v>
      </c>
      <c r="D390" s="196">
        <v>3.8668937136369999</v>
      </c>
      <c r="E390" s="191" t="s">
        <v>537</v>
      </c>
      <c r="G390" s="193"/>
      <c r="H390" s="193"/>
      <c r="I390" s="193"/>
      <c r="J390" s="193"/>
      <c r="K390" s="193"/>
      <c r="L390" s="193"/>
      <c r="M390" s="193"/>
      <c r="N390" s="193"/>
      <c r="O390" s="193"/>
      <c r="P390" s="193"/>
      <c r="Q390" s="193"/>
      <c r="R390" s="193"/>
      <c r="S390" s="193"/>
      <c r="T390" s="193"/>
      <c r="U390" s="193"/>
      <c r="V390" s="193"/>
    </row>
    <row r="391" spans="1:22" s="191" customFormat="1">
      <c r="A391" s="193" t="s">
        <v>544</v>
      </c>
      <c r="B391" s="193">
        <v>1984</v>
      </c>
      <c r="C391" s="196">
        <v>40.388564461271898</v>
      </c>
      <c r="D391" s="196">
        <v>5.8941036808377403</v>
      </c>
      <c r="E391" s="191" t="s">
        <v>537</v>
      </c>
      <c r="G391" s="193"/>
      <c r="H391" s="193"/>
      <c r="I391" s="193"/>
      <c r="J391" s="193"/>
      <c r="K391" s="193"/>
      <c r="L391" s="193"/>
      <c r="M391" s="193"/>
      <c r="N391" s="193"/>
      <c r="O391" s="193"/>
      <c r="P391" s="193"/>
      <c r="Q391" s="193"/>
      <c r="R391" s="193"/>
      <c r="S391" s="193"/>
      <c r="T391" s="193"/>
      <c r="U391" s="193"/>
      <c r="V391" s="193"/>
    </row>
    <row r="392" spans="1:22" s="191" customFormat="1">
      <c r="A392" s="193" t="s">
        <v>544</v>
      </c>
      <c r="B392" s="193">
        <v>1985</v>
      </c>
      <c r="C392" s="196">
        <v>41.217742636197798</v>
      </c>
      <c r="D392" s="196">
        <v>5.3540295135014597</v>
      </c>
      <c r="E392" s="191" t="s">
        <v>537</v>
      </c>
      <c r="G392" s="193"/>
      <c r="H392" s="193"/>
      <c r="I392" s="193"/>
      <c r="J392" s="193"/>
      <c r="K392" s="193"/>
      <c r="L392" s="193"/>
      <c r="M392" s="193"/>
      <c r="N392" s="193"/>
      <c r="O392" s="193"/>
      <c r="P392" s="193"/>
      <c r="Q392" s="193"/>
      <c r="R392" s="193"/>
      <c r="S392" s="193"/>
      <c r="T392" s="193"/>
      <c r="U392" s="193"/>
      <c r="V392" s="193"/>
    </row>
    <row r="393" spans="1:22" s="191" customFormat="1">
      <c r="A393" s="193" t="s">
        <v>544</v>
      </c>
      <c r="B393" s="193">
        <v>1986</v>
      </c>
      <c r="C393" s="196">
        <v>43.6684282343627</v>
      </c>
      <c r="D393" s="196">
        <v>4.0375523145842003</v>
      </c>
      <c r="E393" s="191" t="s">
        <v>537</v>
      </c>
      <c r="G393" s="193"/>
      <c r="H393" s="193"/>
      <c r="I393" s="193"/>
      <c r="J393" s="193"/>
      <c r="K393" s="193"/>
      <c r="L393" s="193"/>
      <c r="M393" s="193"/>
      <c r="N393" s="193"/>
      <c r="O393" s="193"/>
      <c r="P393" s="193"/>
      <c r="Q393" s="193"/>
      <c r="R393" s="193"/>
      <c r="S393" s="193"/>
      <c r="T393" s="193"/>
      <c r="U393" s="193"/>
      <c r="V393" s="193"/>
    </row>
    <row r="394" spans="1:22" s="191" customFormat="1">
      <c r="A394" s="193" t="s">
        <v>544</v>
      </c>
      <c r="B394" s="193">
        <v>1987</v>
      </c>
      <c r="C394" s="196">
        <v>45.146074523132498</v>
      </c>
      <c r="D394" s="196">
        <v>1.78001352049946</v>
      </c>
      <c r="E394" s="191" t="s">
        <v>537</v>
      </c>
      <c r="G394" s="193"/>
      <c r="H394" s="193"/>
      <c r="I394" s="193"/>
      <c r="J394" s="193"/>
      <c r="K394" s="193"/>
      <c r="L394" s="193"/>
      <c r="M394" s="193"/>
      <c r="N394" s="193"/>
      <c r="O394" s="193"/>
      <c r="P394" s="193"/>
      <c r="Q394" s="193"/>
      <c r="R394" s="193"/>
      <c r="S394" s="193"/>
      <c r="T394" s="193"/>
      <c r="U394" s="193"/>
      <c r="V394" s="193"/>
    </row>
    <row r="395" spans="1:22" s="191" customFormat="1">
      <c r="A395" s="193" t="s">
        <v>544</v>
      </c>
      <c r="B395" s="193">
        <v>1988</v>
      </c>
      <c r="C395" s="196">
        <v>46.436518610646402</v>
      </c>
      <c r="D395" s="196">
        <v>-0.17284882526092901</v>
      </c>
      <c r="E395" s="191" t="s">
        <v>537</v>
      </c>
      <c r="G395" s="193"/>
      <c r="H395" s="193"/>
      <c r="I395" s="193"/>
      <c r="J395" s="193"/>
      <c r="K395" s="193"/>
      <c r="L395" s="193"/>
      <c r="M395" s="193"/>
      <c r="N395" s="193"/>
      <c r="O395" s="193"/>
      <c r="P395" s="193"/>
      <c r="Q395" s="193"/>
      <c r="R395" s="193"/>
      <c r="S395" s="193"/>
      <c r="T395" s="193"/>
      <c r="U395" s="193"/>
      <c r="V395" s="193"/>
    </row>
    <row r="396" spans="1:22" s="191" customFormat="1">
      <c r="A396" s="193" t="s">
        <v>544</v>
      </c>
      <c r="B396" s="193">
        <v>1989</v>
      </c>
      <c r="C396" s="196">
        <v>47.903692450533299</v>
      </c>
      <c r="D396" s="196">
        <v>0.99755854903136298</v>
      </c>
      <c r="E396" s="191" t="s">
        <v>537</v>
      </c>
      <c r="G396" s="193"/>
      <c r="H396" s="193"/>
      <c r="I396" s="193"/>
      <c r="J396" s="193"/>
      <c r="K396" s="193"/>
      <c r="L396" s="193"/>
      <c r="M396" s="193"/>
      <c r="N396" s="193"/>
      <c r="O396" s="193"/>
      <c r="P396" s="193"/>
      <c r="Q396" s="193"/>
      <c r="R396" s="193"/>
      <c r="S396" s="193"/>
      <c r="T396" s="193"/>
      <c r="U396" s="193"/>
      <c r="V396" s="193"/>
    </row>
    <row r="397" spans="1:22" s="191" customFormat="1">
      <c r="A397" s="193" t="s">
        <v>544</v>
      </c>
      <c r="B397" s="193">
        <v>1990</v>
      </c>
      <c r="C397" s="196">
        <v>49.382380703386602</v>
      </c>
      <c r="D397" s="196">
        <v>1.9275140029591</v>
      </c>
      <c r="E397" s="191" t="s">
        <v>537</v>
      </c>
      <c r="G397" s="193"/>
      <c r="H397" s="193"/>
      <c r="I397" s="193"/>
      <c r="J397" s="193"/>
      <c r="K397" s="193"/>
      <c r="L397" s="193"/>
      <c r="M397" s="193"/>
      <c r="N397" s="193"/>
      <c r="O397" s="193"/>
      <c r="P397" s="193"/>
      <c r="Q397" s="193"/>
      <c r="R397" s="193"/>
      <c r="S397" s="193"/>
      <c r="T397" s="193"/>
      <c r="U397" s="193"/>
      <c r="V397" s="193"/>
    </row>
    <row r="398" spans="1:22" s="191" customFormat="1">
      <c r="A398" s="193" t="s">
        <v>544</v>
      </c>
      <c r="B398" s="193">
        <v>1991</v>
      </c>
      <c r="C398" s="196">
        <v>49.643753537004599</v>
      </c>
      <c r="D398" s="196">
        <v>3.1046289614814699</v>
      </c>
      <c r="E398" s="191" t="s">
        <v>537</v>
      </c>
      <c r="G398" s="193"/>
      <c r="H398" s="193"/>
      <c r="I398" s="193"/>
      <c r="J398" s="193"/>
      <c r="K398" s="193"/>
      <c r="L398" s="193"/>
      <c r="M398" s="193"/>
      <c r="N398" s="193"/>
      <c r="O398" s="193"/>
      <c r="P398" s="193"/>
      <c r="Q398" s="193"/>
      <c r="R398" s="193"/>
      <c r="S398" s="193"/>
      <c r="T398" s="193"/>
      <c r="U398" s="193"/>
      <c r="V398" s="193"/>
    </row>
    <row r="399" spans="1:22" s="191" customFormat="1">
      <c r="A399" s="193" t="s">
        <v>544</v>
      </c>
      <c r="B399" s="193">
        <v>1992</v>
      </c>
      <c r="C399" s="196">
        <v>55.197826703155798</v>
      </c>
      <c r="D399" s="196">
        <v>3.5231049814781001</v>
      </c>
      <c r="E399" s="191" t="s">
        <v>537</v>
      </c>
      <c r="G399" s="193"/>
      <c r="H399" s="193"/>
      <c r="I399" s="193"/>
      <c r="J399" s="193"/>
      <c r="K399" s="193"/>
      <c r="L399" s="193"/>
      <c r="M399" s="193"/>
      <c r="N399" s="193"/>
      <c r="O399" s="193"/>
      <c r="P399" s="193"/>
      <c r="Q399" s="193"/>
      <c r="R399" s="193"/>
      <c r="S399" s="193"/>
      <c r="T399" s="193"/>
      <c r="U399" s="193"/>
      <c r="V399" s="193"/>
    </row>
    <row r="400" spans="1:22" s="191" customFormat="1">
      <c r="A400" s="193" t="s">
        <v>544</v>
      </c>
      <c r="B400" s="193">
        <v>1993</v>
      </c>
      <c r="C400" s="196">
        <v>61.481789866837197</v>
      </c>
      <c r="D400" s="196">
        <v>2.7866370789358501</v>
      </c>
      <c r="E400" s="191" t="s">
        <v>538</v>
      </c>
      <c r="G400" s="193"/>
      <c r="H400" s="193"/>
      <c r="I400" s="193"/>
      <c r="J400" s="193"/>
      <c r="K400" s="193"/>
      <c r="L400" s="193"/>
      <c r="M400" s="193"/>
      <c r="N400" s="193"/>
      <c r="O400" s="193"/>
      <c r="P400" s="193"/>
      <c r="Q400" s="193"/>
      <c r="R400" s="193"/>
      <c r="S400" s="193"/>
      <c r="T400" s="193"/>
      <c r="U400" s="193"/>
      <c r="V400" s="193"/>
    </row>
    <row r="401" spans="1:22" s="191" customFormat="1">
      <c r="A401" s="193" t="s">
        <v>544</v>
      </c>
      <c r="B401" s="193">
        <v>1994</v>
      </c>
      <c r="C401" s="196">
        <v>64.860731492502296</v>
      </c>
      <c r="D401" s="196">
        <v>5.0513843415679496</v>
      </c>
      <c r="E401" s="191" t="s">
        <v>538</v>
      </c>
      <c r="G401" s="193"/>
      <c r="H401" s="193"/>
      <c r="I401" s="193"/>
      <c r="J401" s="193"/>
      <c r="K401" s="193"/>
      <c r="L401" s="193"/>
      <c r="M401" s="193"/>
      <c r="N401" s="193"/>
      <c r="O401" s="193"/>
      <c r="P401" s="193"/>
      <c r="Q401" s="193"/>
      <c r="R401" s="193"/>
      <c r="S401" s="193"/>
      <c r="T401" s="193"/>
      <c r="U401" s="193"/>
      <c r="V401" s="193"/>
    </row>
    <row r="402" spans="1:22" s="191" customFormat="1">
      <c r="A402" s="193" t="s">
        <v>544</v>
      </c>
      <c r="B402" s="193">
        <v>1995</v>
      </c>
      <c r="C402" s="196">
        <v>70.253763632335804</v>
      </c>
      <c r="D402" s="196">
        <v>4.1863490739812104</v>
      </c>
      <c r="E402" s="191" t="s">
        <v>538</v>
      </c>
      <c r="G402" s="193"/>
      <c r="H402" s="193"/>
      <c r="I402" s="193"/>
      <c r="J402" s="193"/>
      <c r="K402" s="193"/>
      <c r="L402" s="193"/>
      <c r="M402" s="193"/>
      <c r="N402" s="193"/>
      <c r="O402" s="193"/>
      <c r="P402" s="193"/>
      <c r="Q402" s="193"/>
      <c r="R402" s="193"/>
      <c r="S402" s="193"/>
      <c r="T402" s="193"/>
      <c r="U402" s="193"/>
      <c r="V402" s="193"/>
    </row>
    <row r="403" spans="1:22" s="191" customFormat="1">
      <c r="A403" s="193" t="s">
        <v>544</v>
      </c>
      <c r="B403" s="193">
        <v>1996</v>
      </c>
      <c r="C403" s="196">
        <v>68.906765796377499</v>
      </c>
      <c r="D403" s="196">
        <v>5.0997663359063896</v>
      </c>
      <c r="E403" s="191" t="s">
        <v>538</v>
      </c>
      <c r="G403" s="193"/>
      <c r="H403" s="193"/>
      <c r="I403" s="193"/>
      <c r="J403" s="193"/>
      <c r="K403" s="193"/>
      <c r="L403" s="193"/>
      <c r="M403" s="193"/>
      <c r="N403" s="193"/>
      <c r="O403" s="193"/>
      <c r="P403" s="193"/>
      <c r="Q403" s="193"/>
      <c r="R403" s="193"/>
      <c r="S403" s="193"/>
      <c r="T403" s="193"/>
      <c r="U403" s="193"/>
      <c r="V403" s="193"/>
    </row>
    <row r="404" spans="1:22" s="191" customFormat="1">
      <c r="A404" s="193" t="s">
        <v>544</v>
      </c>
      <c r="B404" s="193">
        <v>1997</v>
      </c>
      <c r="C404" s="196">
        <v>67.129505530835104</v>
      </c>
      <c r="D404" s="196">
        <v>5.3926403470454503</v>
      </c>
      <c r="E404" s="191" t="s">
        <v>538</v>
      </c>
      <c r="G404" s="193"/>
      <c r="H404" s="193"/>
      <c r="I404" s="193"/>
      <c r="J404" s="193"/>
      <c r="K404" s="193"/>
      <c r="L404" s="193"/>
      <c r="M404" s="193"/>
      <c r="N404" s="193"/>
      <c r="O404" s="193"/>
      <c r="P404" s="193"/>
      <c r="Q404" s="193"/>
      <c r="R404" s="193"/>
      <c r="S404" s="193"/>
      <c r="T404" s="193"/>
      <c r="U404" s="193"/>
      <c r="V404" s="193"/>
    </row>
    <row r="405" spans="1:22" s="191" customFormat="1">
      <c r="A405" s="193" t="s">
        <v>544</v>
      </c>
      <c r="B405" s="193">
        <v>1998</v>
      </c>
      <c r="C405" s="196">
        <v>68.978217405029994</v>
      </c>
      <c r="D405" s="196">
        <v>2.6827834907742201</v>
      </c>
      <c r="E405" s="191" t="s">
        <v>538</v>
      </c>
      <c r="G405" s="193"/>
      <c r="H405" s="193"/>
      <c r="I405" s="193"/>
      <c r="J405" s="193"/>
      <c r="K405" s="193"/>
      <c r="L405" s="193"/>
      <c r="M405" s="193"/>
      <c r="N405" s="193"/>
      <c r="O405" s="193"/>
      <c r="P405" s="193"/>
      <c r="Q405" s="193"/>
      <c r="R405" s="193"/>
      <c r="S405" s="193"/>
      <c r="T405" s="193"/>
      <c r="U405" s="193"/>
      <c r="V405" s="193"/>
    </row>
    <row r="406" spans="1:22" s="191" customFormat="1">
      <c r="A406" s="193" t="s">
        <v>544</v>
      </c>
      <c r="B406" s="193">
        <v>1999</v>
      </c>
      <c r="C406" s="196">
        <v>64.856541683125997</v>
      </c>
      <c r="D406" s="196">
        <v>2.0257705900823799</v>
      </c>
      <c r="E406" s="191" t="s">
        <v>538</v>
      </c>
      <c r="G406" s="193"/>
      <c r="H406" s="193"/>
      <c r="I406" s="193"/>
      <c r="J406" s="193"/>
      <c r="K406" s="193"/>
      <c r="L406" s="193"/>
      <c r="M406" s="193"/>
      <c r="N406" s="193"/>
      <c r="O406" s="193"/>
      <c r="P406" s="193"/>
      <c r="Q406" s="193"/>
      <c r="R406" s="193"/>
      <c r="S406" s="193"/>
      <c r="T406" s="193"/>
      <c r="U406" s="193"/>
      <c r="V406" s="193"/>
    </row>
    <row r="407" spans="1:22" s="191" customFormat="1">
      <c r="A407" s="193" t="s">
        <v>544</v>
      </c>
      <c r="B407" s="193">
        <v>2000</v>
      </c>
      <c r="C407" s="196">
        <v>55.791093948313602</v>
      </c>
      <c r="D407" s="196">
        <v>3.2535679946216902</v>
      </c>
      <c r="E407" s="191" t="s">
        <v>537</v>
      </c>
      <c r="G407" s="193"/>
      <c r="H407" s="193"/>
      <c r="I407" s="193"/>
      <c r="J407" s="193"/>
      <c r="K407" s="193"/>
      <c r="L407" s="193"/>
      <c r="M407" s="193"/>
      <c r="N407" s="193"/>
      <c r="O407" s="193"/>
      <c r="P407" s="193"/>
      <c r="Q407" s="193"/>
      <c r="R407" s="193"/>
      <c r="S407" s="193"/>
      <c r="T407" s="193"/>
      <c r="U407" s="193"/>
      <c r="V407" s="193"/>
    </row>
    <row r="408" spans="1:22" s="191" customFormat="1">
      <c r="A408" s="193" t="s">
        <v>544</v>
      </c>
      <c r="B408" s="193">
        <v>2001</v>
      </c>
      <c r="C408" s="196">
        <v>55.410601929871397</v>
      </c>
      <c r="D408" s="196">
        <v>1.99015413560657</v>
      </c>
      <c r="E408" s="191" t="s">
        <v>537</v>
      </c>
      <c r="G408" s="193"/>
      <c r="H408" s="193"/>
      <c r="I408" s="193"/>
      <c r="J408" s="193"/>
      <c r="K408" s="193"/>
      <c r="L408" s="193"/>
      <c r="M408" s="193"/>
      <c r="N408" s="193"/>
      <c r="O408" s="193"/>
      <c r="P408" s="193"/>
      <c r="Q408" s="193"/>
      <c r="R408" s="193"/>
      <c r="S408" s="193"/>
      <c r="T408" s="193"/>
      <c r="U408" s="193"/>
      <c r="V408" s="193"/>
    </row>
    <row r="409" spans="1:22" s="191" customFormat="1">
      <c r="A409" s="193" t="s">
        <v>544</v>
      </c>
      <c r="B409" s="193">
        <v>2002</v>
      </c>
      <c r="C409" s="196">
        <v>59.446195613159198</v>
      </c>
      <c r="D409" s="196">
        <v>1.5020556300011001</v>
      </c>
      <c r="E409" s="191" t="s">
        <v>537</v>
      </c>
      <c r="G409" s="193"/>
      <c r="H409" s="193"/>
      <c r="I409" s="193"/>
      <c r="J409" s="193"/>
      <c r="K409" s="193"/>
      <c r="L409" s="193"/>
      <c r="M409" s="193"/>
      <c r="N409" s="193"/>
      <c r="O409" s="193"/>
      <c r="P409" s="193"/>
      <c r="Q409" s="193"/>
      <c r="R409" s="193"/>
      <c r="S409" s="193"/>
      <c r="T409" s="193"/>
      <c r="U409" s="193"/>
      <c r="V409" s="193"/>
    </row>
    <row r="410" spans="1:22" s="191" customFormat="1">
      <c r="A410" s="193" t="s">
        <v>544</v>
      </c>
      <c r="B410" s="193">
        <v>2003</v>
      </c>
      <c r="C410" s="196">
        <v>62.955271264815003</v>
      </c>
      <c r="D410" s="196">
        <v>1.0135240342473499</v>
      </c>
      <c r="E410" s="191" t="s">
        <v>538</v>
      </c>
      <c r="G410" s="193"/>
      <c r="H410" s="193"/>
      <c r="I410" s="193"/>
      <c r="J410" s="193"/>
      <c r="K410" s="193"/>
      <c r="L410" s="193"/>
      <c r="M410" s="193"/>
      <c r="N410" s="193"/>
      <c r="O410" s="193"/>
      <c r="P410" s="193"/>
      <c r="Q410" s="193"/>
      <c r="R410" s="193"/>
      <c r="S410" s="193"/>
      <c r="T410" s="193"/>
      <c r="U410" s="193"/>
      <c r="V410" s="193"/>
    </row>
    <row r="411" spans="1:22" s="191" customFormat="1">
      <c r="A411" s="193" t="s">
        <v>544</v>
      </c>
      <c r="B411" s="193">
        <v>2004</v>
      </c>
      <c r="C411" s="196">
        <v>61.782862125940902</v>
      </c>
      <c r="D411" s="196">
        <v>3.8641263641794299</v>
      </c>
      <c r="E411" s="191" t="s">
        <v>538</v>
      </c>
      <c r="G411" s="193"/>
      <c r="H411" s="193"/>
      <c r="I411" s="193"/>
      <c r="J411" s="193"/>
      <c r="K411" s="193"/>
      <c r="L411" s="193"/>
      <c r="M411" s="193"/>
      <c r="N411" s="193"/>
      <c r="O411" s="193"/>
      <c r="P411" s="193"/>
      <c r="Q411" s="193"/>
      <c r="R411" s="193"/>
      <c r="S411" s="193"/>
      <c r="T411" s="193"/>
      <c r="U411" s="193"/>
      <c r="V411" s="193"/>
    </row>
    <row r="412" spans="1:22" s="191" customFormat="1">
      <c r="A412" s="193" t="s">
        <v>544</v>
      </c>
      <c r="B412" s="193">
        <v>2005</v>
      </c>
      <c r="C412" s="196">
        <v>58.867668523734103</v>
      </c>
      <c r="D412" s="196">
        <v>2.73920744287439</v>
      </c>
      <c r="E412" s="191" t="s">
        <v>537</v>
      </c>
      <c r="G412" s="193"/>
      <c r="H412" s="193"/>
      <c r="I412" s="193"/>
      <c r="J412" s="193"/>
      <c r="K412" s="193"/>
      <c r="L412" s="193"/>
      <c r="M412" s="193"/>
      <c r="N412" s="193"/>
      <c r="O412" s="193"/>
      <c r="P412" s="193"/>
      <c r="Q412" s="193"/>
      <c r="R412" s="193"/>
      <c r="S412" s="193"/>
      <c r="T412" s="193"/>
      <c r="U412" s="193"/>
      <c r="V412" s="193"/>
    </row>
    <row r="413" spans="1:22" s="191" customFormat="1">
      <c r="A413" s="193" t="s">
        <v>544</v>
      </c>
      <c r="B413" s="193">
        <v>2006</v>
      </c>
      <c r="C413" s="196">
        <v>53.246711150830997</v>
      </c>
      <c r="D413" s="196">
        <v>2.2808885419912901</v>
      </c>
      <c r="E413" s="191" t="s">
        <v>537</v>
      </c>
      <c r="G413" s="193"/>
      <c r="H413" s="193"/>
      <c r="I413" s="193"/>
      <c r="J413" s="193"/>
      <c r="K413" s="193"/>
      <c r="L413" s="193"/>
      <c r="M413" s="193"/>
      <c r="N413" s="193"/>
      <c r="O413" s="193"/>
      <c r="P413" s="193"/>
      <c r="Q413" s="193"/>
      <c r="R413" s="193"/>
      <c r="S413" s="193"/>
      <c r="T413" s="193"/>
      <c r="U413" s="193"/>
      <c r="V413" s="193"/>
    </row>
    <row r="414" spans="1:22" s="191" customFormat="1">
      <c r="A414" s="193" t="s">
        <v>544</v>
      </c>
      <c r="B414" s="193">
        <v>2007</v>
      </c>
      <c r="C414" s="196">
        <v>53.084831211491803</v>
      </c>
      <c r="D414" s="196">
        <v>3.1340917857372701</v>
      </c>
      <c r="E414" s="191" t="s">
        <v>537</v>
      </c>
      <c r="G414" s="193"/>
      <c r="H414" s="193"/>
      <c r="I414" s="193"/>
      <c r="J414" s="193"/>
      <c r="K414" s="193"/>
      <c r="L414" s="193"/>
      <c r="M414" s="193"/>
      <c r="N414" s="193"/>
      <c r="O414" s="193"/>
      <c r="P414" s="193"/>
      <c r="Q414" s="193"/>
      <c r="R414" s="193"/>
      <c r="S414" s="193"/>
      <c r="T414" s="193"/>
      <c r="U414" s="193"/>
      <c r="V414" s="193"/>
    </row>
    <row r="415" spans="1:22" s="191" customFormat="1">
      <c r="A415" s="193" t="s">
        <v>544</v>
      </c>
      <c r="B415" s="193">
        <v>2008</v>
      </c>
      <c r="C415" s="196">
        <v>51.567307088591697</v>
      </c>
      <c r="D415" s="196">
        <v>2.13213029844797</v>
      </c>
      <c r="E415" s="191" t="s">
        <v>537</v>
      </c>
      <c r="G415" s="193"/>
      <c r="H415" s="193"/>
      <c r="I415" s="193"/>
      <c r="J415" s="193"/>
      <c r="K415" s="193"/>
      <c r="L415" s="193"/>
      <c r="M415" s="193"/>
      <c r="N415" s="193"/>
      <c r="O415" s="193"/>
      <c r="P415" s="193"/>
      <c r="Q415" s="193"/>
      <c r="R415" s="193"/>
      <c r="S415" s="193"/>
      <c r="T415" s="193"/>
      <c r="U415" s="193"/>
      <c r="V415" s="193"/>
    </row>
    <row r="416" spans="1:22" s="191" customFormat="1">
      <c r="A416" s="193" t="s">
        <v>544</v>
      </c>
      <c r="B416" s="193">
        <v>2009</v>
      </c>
      <c r="C416" s="196">
        <v>60.0015126431759</v>
      </c>
      <c r="D416" s="196">
        <v>-1.9066760919030901</v>
      </c>
      <c r="E416" s="191" t="s">
        <v>538</v>
      </c>
      <c r="G416" s="193"/>
      <c r="H416" s="193"/>
      <c r="I416" s="193"/>
      <c r="J416" s="193"/>
      <c r="K416" s="193"/>
      <c r="L416" s="193"/>
      <c r="M416" s="193"/>
      <c r="N416" s="193"/>
      <c r="O416" s="193"/>
      <c r="P416" s="193"/>
      <c r="Q416" s="193"/>
      <c r="R416" s="193"/>
      <c r="S416" s="193"/>
      <c r="T416" s="193"/>
      <c r="U416" s="193"/>
      <c r="V416" s="193"/>
    </row>
    <row r="417" spans="1:22" s="191" customFormat="1">
      <c r="A417" s="193" t="s">
        <v>545</v>
      </c>
      <c r="B417" s="193">
        <v>1951</v>
      </c>
      <c r="C417" s="196">
        <v>6.0557059480125801</v>
      </c>
      <c r="D417" s="196">
        <v>9.1669995553110208</v>
      </c>
      <c r="E417" s="191" t="s">
        <v>536</v>
      </c>
      <c r="G417" s="193"/>
      <c r="H417" s="193"/>
      <c r="I417" s="193"/>
      <c r="J417" s="193"/>
      <c r="K417" s="193"/>
      <c r="L417" s="193"/>
      <c r="M417" s="193"/>
      <c r="N417" s="193"/>
      <c r="O417" s="193"/>
      <c r="P417" s="193"/>
      <c r="Q417" s="193"/>
      <c r="R417" s="193"/>
      <c r="S417" s="193"/>
      <c r="T417" s="193"/>
      <c r="U417" s="193"/>
      <c r="V417" s="193"/>
    </row>
    <row r="418" spans="1:22" s="191" customFormat="1">
      <c r="A418" s="193" t="s">
        <v>545</v>
      </c>
      <c r="B418" s="193">
        <v>1952</v>
      </c>
      <c r="C418" s="196">
        <v>6.3045107341459499</v>
      </c>
      <c r="D418" s="196">
        <v>8.6699415559981805</v>
      </c>
      <c r="E418" s="191" t="s">
        <v>536</v>
      </c>
      <c r="G418" s="193"/>
      <c r="H418" s="193"/>
      <c r="I418" s="193"/>
      <c r="J418" s="193"/>
      <c r="K418" s="193"/>
      <c r="L418" s="193"/>
      <c r="M418" s="193"/>
      <c r="N418" s="193"/>
      <c r="O418" s="193"/>
      <c r="P418" s="193"/>
      <c r="Q418" s="193"/>
      <c r="R418" s="193"/>
      <c r="S418" s="193"/>
      <c r="T418" s="193"/>
      <c r="U418" s="193"/>
      <c r="V418" s="193"/>
    </row>
    <row r="419" spans="1:22" s="191" customFormat="1">
      <c r="A419" s="193" t="s">
        <v>545</v>
      </c>
      <c r="B419" s="193">
        <v>1953</v>
      </c>
      <c r="C419" s="196">
        <v>7.3177319288609999</v>
      </c>
      <c r="D419" s="196">
        <v>8.3724594496718403</v>
      </c>
      <c r="E419" s="191" t="s">
        <v>536</v>
      </c>
      <c r="G419" s="193"/>
      <c r="H419" s="193"/>
      <c r="I419" s="193"/>
      <c r="J419" s="193"/>
      <c r="K419" s="193"/>
      <c r="L419" s="193"/>
      <c r="M419" s="193"/>
      <c r="N419" s="193"/>
      <c r="O419" s="193"/>
      <c r="P419" s="193"/>
      <c r="Q419" s="193"/>
      <c r="R419" s="193"/>
      <c r="S419" s="193"/>
      <c r="T419" s="193"/>
      <c r="U419" s="193"/>
      <c r="V419" s="193"/>
    </row>
    <row r="420" spans="1:22" s="191" customFormat="1">
      <c r="A420" s="193" t="s">
        <v>545</v>
      </c>
      <c r="B420" s="193">
        <v>1954</v>
      </c>
      <c r="C420" s="196">
        <v>11.250346164497399</v>
      </c>
      <c r="D420" s="196">
        <v>7.4553715374468599</v>
      </c>
      <c r="E420" s="191" t="s">
        <v>536</v>
      </c>
      <c r="G420" s="193"/>
      <c r="H420" s="193"/>
      <c r="I420" s="193"/>
      <c r="J420" s="193"/>
      <c r="K420" s="193"/>
      <c r="L420" s="193"/>
      <c r="M420" s="193"/>
      <c r="N420" s="193"/>
      <c r="O420" s="193"/>
      <c r="P420" s="193"/>
      <c r="Q420" s="193"/>
      <c r="R420" s="193"/>
      <c r="S420" s="193"/>
      <c r="T420" s="193"/>
      <c r="U420" s="193"/>
      <c r="V420" s="193"/>
    </row>
    <row r="421" spans="1:22" s="191" customFormat="1">
      <c r="A421" s="193" t="s">
        <v>545</v>
      </c>
      <c r="B421" s="193">
        <v>1955</v>
      </c>
      <c r="C421" s="196">
        <v>11.1421697590695</v>
      </c>
      <c r="D421" s="196">
        <v>11.003753573532901</v>
      </c>
      <c r="E421" s="191" t="s">
        <v>536</v>
      </c>
      <c r="G421" s="193"/>
      <c r="H421" s="193"/>
      <c r="I421" s="193"/>
      <c r="J421" s="193"/>
      <c r="K421" s="193"/>
      <c r="L421" s="193"/>
      <c r="M421" s="193"/>
      <c r="N421" s="193"/>
      <c r="O421" s="193"/>
      <c r="P421" s="193"/>
      <c r="Q421" s="193"/>
      <c r="R421" s="193"/>
      <c r="S421" s="193"/>
      <c r="T421" s="193"/>
      <c r="U421" s="193"/>
      <c r="V421" s="193"/>
    </row>
    <row r="422" spans="1:22" s="191" customFormat="1">
      <c r="A422" s="193" t="s">
        <v>545</v>
      </c>
      <c r="B422" s="193">
        <v>1956</v>
      </c>
      <c r="C422" s="196">
        <v>10.0248557452743</v>
      </c>
      <c r="D422" s="196">
        <v>7.1669754891600803</v>
      </c>
      <c r="E422" s="191" t="s">
        <v>536</v>
      </c>
      <c r="G422" s="193"/>
      <c r="H422" s="193"/>
      <c r="I422" s="193"/>
      <c r="J422" s="193"/>
      <c r="K422" s="193"/>
      <c r="L422" s="193"/>
      <c r="M422" s="193"/>
      <c r="N422" s="193"/>
      <c r="O422" s="193"/>
      <c r="P422" s="193"/>
      <c r="Q422" s="193"/>
      <c r="R422" s="193"/>
      <c r="S422" s="193"/>
      <c r="T422" s="193"/>
      <c r="U422" s="193"/>
      <c r="V422" s="193"/>
    </row>
    <row r="423" spans="1:22" s="191" customFormat="1">
      <c r="A423" s="193" t="s">
        <v>545</v>
      </c>
      <c r="B423" s="193">
        <v>1957</v>
      </c>
      <c r="C423" s="196">
        <v>9.1284086924141992</v>
      </c>
      <c r="D423" s="196">
        <v>5.7293744811803196</v>
      </c>
      <c r="E423" s="191" t="s">
        <v>536</v>
      </c>
      <c r="G423" s="193"/>
      <c r="H423" s="193"/>
      <c r="I423" s="193"/>
      <c r="J423" s="193"/>
      <c r="K423" s="193"/>
      <c r="L423" s="193"/>
      <c r="M423" s="193"/>
      <c r="N423" s="193"/>
      <c r="O423" s="193"/>
      <c r="P423" s="193"/>
      <c r="Q423" s="193"/>
      <c r="R423" s="193"/>
      <c r="S423" s="193"/>
      <c r="T423" s="193"/>
      <c r="U423" s="193"/>
      <c r="V423" s="193"/>
    </row>
    <row r="424" spans="1:22" s="191" customFormat="1">
      <c r="A424" s="193" t="s">
        <v>545</v>
      </c>
      <c r="B424" s="193">
        <v>1958</v>
      </c>
      <c r="C424" s="196">
        <v>9.3054182066428801</v>
      </c>
      <c r="D424" s="196">
        <v>4.4522427131613096</v>
      </c>
      <c r="E424" s="191" t="s">
        <v>536</v>
      </c>
      <c r="G424" s="193"/>
      <c r="H424" s="193"/>
      <c r="I424" s="193"/>
      <c r="J424" s="193"/>
      <c r="K424" s="193"/>
      <c r="L424" s="193"/>
      <c r="M424" s="193"/>
      <c r="N424" s="193"/>
      <c r="O424" s="193"/>
      <c r="P424" s="193"/>
      <c r="Q424" s="193"/>
      <c r="R424" s="193"/>
      <c r="S424" s="193"/>
      <c r="T424" s="193"/>
      <c r="U424" s="193"/>
      <c r="V424" s="193"/>
    </row>
    <row r="425" spans="1:22" s="191" customFormat="1">
      <c r="A425" s="193" t="s">
        <v>545</v>
      </c>
      <c r="B425" s="193">
        <v>1959</v>
      </c>
      <c r="C425" s="196">
        <v>8.9043369588565007</v>
      </c>
      <c r="D425" s="196">
        <v>7.3135533919298004</v>
      </c>
      <c r="E425" s="191" t="s">
        <v>536</v>
      </c>
      <c r="G425" s="193"/>
      <c r="H425" s="193"/>
      <c r="I425" s="193"/>
      <c r="J425" s="193"/>
      <c r="K425" s="193"/>
      <c r="L425" s="193"/>
      <c r="M425" s="193"/>
      <c r="N425" s="193"/>
      <c r="O425" s="193"/>
      <c r="P425" s="193"/>
      <c r="Q425" s="193"/>
      <c r="R425" s="193"/>
      <c r="S425" s="193"/>
      <c r="T425" s="193"/>
      <c r="U425" s="193"/>
      <c r="V425" s="193"/>
    </row>
    <row r="426" spans="1:22" s="191" customFormat="1">
      <c r="A426" s="193" t="s">
        <v>545</v>
      </c>
      <c r="B426" s="193">
        <v>1960</v>
      </c>
      <c r="C426" s="196">
        <v>8.6638416508368401</v>
      </c>
      <c r="D426" s="196">
        <v>8.0610114527079908</v>
      </c>
      <c r="E426" s="191" t="s">
        <v>536</v>
      </c>
      <c r="G426" s="193"/>
      <c r="H426" s="193"/>
      <c r="I426" s="193"/>
      <c r="J426" s="193"/>
      <c r="K426" s="193"/>
      <c r="L426" s="193"/>
      <c r="M426" s="193"/>
      <c r="N426" s="193"/>
      <c r="O426" s="193"/>
      <c r="P426" s="193"/>
      <c r="Q426" s="193"/>
      <c r="R426" s="193"/>
      <c r="S426" s="193"/>
      <c r="T426" s="193"/>
      <c r="U426" s="193"/>
      <c r="V426" s="193"/>
    </row>
    <row r="427" spans="1:22" s="191" customFormat="1">
      <c r="A427" s="193" t="s">
        <v>545</v>
      </c>
      <c r="B427" s="193">
        <v>1961</v>
      </c>
      <c r="C427" s="196">
        <v>9.4370560160052506</v>
      </c>
      <c r="D427" s="196">
        <v>4.1192016931611102</v>
      </c>
      <c r="E427" s="191" t="s">
        <v>536</v>
      </c>
      <c r="G427" s="193"/>
      <c r="H427" s="193"/>
      <c r="I427" s="193"/>
      <c r="J427" s="193"/>
      <c r="K427" s="193"/>
      <c r="L427" s="193"/>
      <c r="M427" s="193"/>
      <c r="N427" s="193"/>
      <c r="O427" s="193"/>
      <c r="P427" s="193"/>
      <c r="Q427" s="193"/>
      <c r="R427" s="193"/>
      <c r="S427" s="193"/>
      <c r="T427" s="193"/>
      <c r="U427" s="193"/>
      <c r="V427" s="193"/>
    </row>
    <row r="428" spans="1:22" s="191" customFormat="1">
      <c r="A428" s="193" t="s">
        <v>545</v>
      </c>
      <c r="B428" s="193">
        <v>1962</v>
      </c>
      <c r="C428" s="196">
        <v>8.3480553638695003</v>
      </c>
      <c r="D428" s="196">
        <v>4.2657875412520001</v>
      </c>
      <c r="E428" s="191" t="s">
        <v>536</v>
      </c>
      <c r="G428" s="193"/>
      <c r="H428" s="193"/>
      <c r="I428" s="193"/>
      <c r="J428" s="193"/>
      <c r="K428" s="193"/>
      <c r="L428" s="193"/>
      <c r="M428" s="193"/>
      <c r="N428" s="193"/>
      <c r="O428" s="193"/>
      <c r="P428" s="193"/>
      <c r="Q428" s="193"/>
      <c r="R428" s="193"/>
      <c r="S428" s="193"/>
      <c r="T428" s="193"/>
      <c r="U428" s="193"/>
      <c r="V428" s="193"/>
    </row>
    <row r="429" spans="1:22" s="191" customFormat="1">
      <c r="A429" s="193" t="s">
        <v>545</v>
      </c>
      <c r="B429" s="193">
        <v>1963</v>
      </c>
      <c r="C429" s="196">
        <v>8.3792103616089104</v>
      </c>
      <c r="D429" s="196">
        <v>2.8187737921661502</v>
      </c>
      <c r="E429" s="191" t="s">
        <v>536</v>
      </c>
      <c r="G429" s="193"/>
      <c r="H429" s="193"/>
      <c r="I429" s="193"/>
      <c r="J429" s="193"/>
      <c r="K429" s="193"/>
      <c r="L429" s="193"/>
      <c r="M429" s="193"/>
      <c r="N429" s="193"/>
      <c r="O429" s="193"/>
      <c r="P429" s="193"/>
      <c r="Q429" s="193"/>
      <c r="R429" s="193"/>
      <c r="S429" s="193"/>
      <c r="T429" s="193"/>
      <c r="U429" s="193"/>
      <c r="V429" s="193"/>
    </row>
    <row r="430" spans="1:22" s="191" customFormat="1">
      <c r="A430" s="193" t="s">
        <v>545</v>
      </c>
      <c r="B430" s="193">
        <v>1964</v>
      </c>
      <c r="C430" s="196">
        <v>8.15317533566623</v>
      </c>
      <c r="D430" s="196">
        <v>6.07829549136805</v>
      </c>
      <c r="E430" s="191" t="s">
        <v>536</v>
      </c>
      <c r="G430" s="193"/>
      <c r="H430" s="193"/>
      <c r="I430" s="193"/>
      <c r="J430" s="193"/>
      <c r="K430" s="193"/>
      <c r="L430" s="193"/>
      <c r="M430" s="193"/>
      <c r="N430" s="193"/>
      <c r="O430" s="193"/>
      <c r="P430" s="193"/>
      <c r="Q430" s="193"/>
      <c r="R430" s="193"/>
      <c r="S430" s="193"/>
      <c r="T430" s="193"/>
      <c r="U430" s="193"/>
      <c r="V430" s="193"/>
    </row>
    <row r="431" spans="1:22" s="191" customFormat="1">
      <c r="A431" s="193" t="s">
        <v>545</v>
      </c>
      <c r="B431" s="193">
        <v>1965</v>
      </c>
      <c r="C431" s="196">
        <v>7.6406291951429504</v>
      </c>
      <c r="D431" s="196">
        <v>5.0697669495049604</v>
      </c>
      <c r="E431" s="191" t="s">
        <v>536</v>
      </c>
      <c r="G431" s="193"/>
      <c r="H431" s="193"/>
      <c r="I431" s="193"/>
      <c r="J431" s="193"/>
      <c r="K431" s="193"/>
      <c r="L431" s="193"/>
      <c r="M431" s="193"/>
      <c r="N431" s="193"/>
      <c r="O431" s="193"/>
      <c r="P431" s="193"/>
      <c r="Q431" s="193"/>
      <c r="R431" s="193"/>
      <c r="S431" s="193"/>
      <c r="T431" s="193"/>
      <c r="U431" s="193"/>
      <c r="V431" s="193"/>
    </row>
    <row r="432" spans="1:22" s="191" customFormat="1">
      <c r="A432" s="193" t="s">
        <v>545</v>
      </c>
      <c r="B432" s="193">
        <v>1966</v>
      </c>
      <c r="C432" s="196">
        <v>7.8201101953784304</v>
      </c>
      <c r="D432" s="196">
        <v>2.9641708813209</v>
      </c>
      <c r="E432" s="191" t="s">
        <v>536</v>
      </c>
      <c r="G432" s="193"/>
      <c r="H432" s="193"/>
      <c r="I432" s="193"/>
      <c r="J432" s="193"/>
      <c r="K432" s="193"/>
      <c r="L432" s="193"/>
      <c r="M432" s="193"/>
      <c r="N432" s="193"/>
      <c r="O432" s="193"/>
      <c r="P432" s="193"/>
      <c r="Q432" s="193"/>
      <c r="R432" s="193"/>
      <c r="S432" s="193"/>
      <c r="T432" s="193"/>
      <c r="U432" s="193"/>
      <c r="V432" s="193"/>
    </row>
    <row r="433" spans="1:22" s="191" customFormat="1">
      <c r="A433" s="193" t="s">
        <v>545</v>
      </c>
      <c r="B433" s="193">
        <v>1967</v>
      </c>
      <c r="C433" s="196">
        <v>9.3794374237178708</v>
      </c>
      <c r="D433" s="196">
        <v>0.30989959364993203</v>
      </c>
      <c r="E433" s="191" t="s">
        <v>536</v>
      </c>
      <c r="G433" s="193"/>
      <c r="H433" s="193"/>
      <c r="I433" s="193"/>
      <c r="J433" s="193"/>
      <c r="K433" s="193"/>
      <c r="L433" s="193"/>
      <c r="M433" s="193"/>
      <c r="N433" s="193"/>
      <c r="O433" s="193"/>
      <c r="P433" s="193"/>
      <c r="Q433" s="193"/>
      <c r="R433" s="193"/>
      <c r="S433" s="193"/>
      <c r="T433" s="193"/>
      <c r="U433" s="193"/>
      <c r="V433" s="193"/>
    </row>
    <row r="434" spans="1:22" s="191" customFormat="1">
      <c r="A434" s="193" t="s">
        <v>545</v>
      </c>
      <c r="B434" s="193">
        <v>1968</v>
      </c>
      <c r="C434" s="196">
        <v>9.4932544745666902</v>
      </c>
      <c r="D434" s="196">
        <v>5.2748707515224202</v>
      </c>
      <c r="E434" s="191" t="s">
        <v>536</v>
      </c>
      <c r="G434" s="193"/>
      <c r="H434" s="193"/>
      <c r="I434" s="193"/>
      <c r="J434" s="193"/>
      <c r="K434" s="193"/>
      <c r="L434" s="193"/>
      <c r="M434" s="193"/>
      <c r="N434" s="193"/>
      <c r="O434" s="193"/>
      <c r="P434" s="193"/>
      <c r="Q434" s="193"/>
      <c r="R434" s="193"/>
      <c r="S434" s="193"/>
      <c r="T434" s="193"/>
      <c r="U434" s="193"/>
      <c r="V434" s="193"/>
    </row>
    <row r="435" spans="1:22" s="191" customFormat="1">
      <c r="A435" s="193" t="s">
        <v>545</v>
      </c>
      <c r="B435" s="193">
        <v>1969</v>
      </c>
      <c r="C435" s="196">
        <v>8.4111170748949409</v>
      </c>
      <c r="D435" s="196">
        <v>6.6114422546173603</v>
      </c>
      <c r="E435" s="191" t="s">
        <v>536</v>
      </c>
      <c r="G435" s="193"/>
      <c r="H435" s="193"/>
      <c r="I435" s="193"/>
      <c r="J435" s="193"/>
      <c r="K435" s="193"/>
      <c r="L435" s="193"/>
      <c r="M435" s="193"/>
      <c r="N435" s="193"/>
      <c r="O435" s="193"/>
      <c r="P435" s="193"/>
      <c r="Q435" s="193"/>
      <c r="R435" s="193"/>
      <c r="S435" s="193"/>
      <c r="T435" s="193"/>
      <c r="U435" s="193"/>
      <c r="V435" s="193"/>
    </row>
    <row r="436" spans="1:22" s="191" customFormat="1">
      <c r="A436" s="193" t="s">
        <v>545</v>
      </c>
      <c r="B436" s="193">
        <v>1970</v>
      </c>
      <c r="C436" s="196">
        <v>6.7665040302296298</v>
      </c>
      <c r="D436" s="196">
        <v>4.6799766578512703</v>
      </c>
      <c r="E436" s="191" t="s">
        <v>536</v>
      </c>
      <c r="G436" s="193"/>
      <c r="H436" s="193"/>
      <c r="I436" s="193"/>
      <c r="J436" s="193"/>
      <c r="K436" s="193"/>
      <c r="L436" s="193"/>
      <c r="M436" s="193"/>
      <c r="N436" s="193"/>
      <c r="O436" s="193"/>
      <c r="P436" s="193"/>
      <c r="Q436" s="193"/>
      <c r="R436" s="193"/>
      <c r="S436" s="193"/>
      <c r="T436" s="193"/>
      <c r="U436" s="193"/>
      <c r="V436" s="193"/>
    </row>
    <row r="437" spans="1:22" s="191" customFormat="1">
      <c r="A437" s="193" t="s">
        <v>545</v>
      </c>
      <c r="B437" s="193">
        <v>1971</v>
      </c>
      <c r="C437" s="196">
        <v>6.3711804773038603</v>
      </c>
      <c r="D437" s="196">
        <v>2.9431753890094101</v>
      </c>
      <c r="E437" s="191" t="s">
        <v>536</v>
      </c>
      <c r="G437" s="193"/>
      <c r="H437" s="193"/>
      <c r="I437" s="193"/>
      <c r="J437" s="193"/>
      <c r="K437" s="193"/>
      <c r="L437" s="193"/>
      <c r="M437" s="193"/>
      <c r="N437" s="193"/>
      <c r="O437" s="193"/>
      <c r="P437" s="193"/>
      <c r="Q437" s="193"/>
      <c r="R437" s="193"/>
      <c r="S437" s="193"/>
      <c r="T437" s="193"/>
      <c r="U437" s="193"/>
      <c r="V437" s="193"/>
    </row>
    <row r="438" spans="1:22" s="191" customFormat="1">
      <c r="A438" s="193" t="s">
        <v>545</v>
      </c>
      <c r="B438" s="193">
        <v>1972</v>
      </c>
      <c r="C438" s="196">
        <v>6.3936538287903204</v>
      </c>
      <c r="D438" s="196">
        <v>4.1273531916070398</v>
      </c>
      <c r="E438" s="191" t="s">
        <v>536</v>
      </c>
      <c r="G438" s="193"/>
      <c r="H438" s="193"/>
      <c r="I438" s="193"/>
      <c r="J438" s="193"/>
      <c r="K438" s="193"/>
      <c r="L438" s="193"/>
      <c r="M438" s="193"/>
      <c r="N438" s="193"/>
      <c r="O438" s="193"/>
      <c r="P438" s="193"/>
      <c r="Q438" s="193"/>
      <c r="R438" s="193"/>
      <c r="S438" s="193"/>
      <c r="T438" s="193"/>
      <c r="U438" s="193"/>
      <c r="V438" s="193"/>
    </row>
    <row r="439" spans="1:22" s="191" customFormat="1">
      <c r="A439" s="193" t="s">
        <v>545</v>
      </c>
      <c r="B439" s="193">
        <v>1973</v>
      </c>
      <c r="C439" s="196">
        <v>6.0079869190487498</v>
      </c>
      <c r="D439" s="196">
        <v>4.5384784766398196</v>
      </c>
      <c r="E439" s="191" t="s">
        <v>536</v>
      </c>
      <c r="G439" s="193"/>
      <c r="H439" s="193"/>
      <c r="I439" s="193"/>
      <c r="J439" s="193"/>
      <c r="K439" s="193"/>
      <c r="L439" s="193"/>
      <c r="M439" s="193"/>
      <c r="N439" s="193"/>
      <c r="O439" s="193"/>
      <c r="P439" s="193"/>
      <c r="Q439" s="193"/>
      <c r="R439" s="193"/>
      <c r="S439" s="193"/>
      <c r="T439" s="193"/>
      <c r="U439" s="193"/>
      <c r="V439" s="193"/>
    </row>
    <row r="440" spans="1:22" s="191" customFormat="1">
      <c r="A440" s="193" t="s">
        <v>545</v>
      </c>
      <c r="B440" s="193">
        <v>1974</v>
      </c>
      <c r="C440" s="196">
        <v>6.7487645958668701</v>
      </c>
      <c r="D440" s="196">
        <v>0.82730443342453597</v>
      </c>
      <c r="E440" s="191" t="s">
        <v>536</v>
      </c>
      <c r="G440" s="193"/>
      <c r="H440" s="193"/>
      <c r="I440" s="193"/>
      <c r="J440" s="193"/>
      <c r="K440" s="193"/>
      <c r="L440" s="193"/>
      <c r="M440" s="193"/>
      <c r="N440" s="193"/>
      <c r="O440" s="193"/>
      <c r="P440" s="193"/>
      <c r="Q440" s="193"/>
      <c r="R440" s="193"/>
      <c r="S440" s="193"/>
      <c r="T440" s="193"/>
      <c r="U440" s="193"/>
      <c r="V440" s="193"/>
    </row>
    <row r="441" spans="1:22" s="191" customFormat="1">
      <c r="A441" s="193" t="s">
        <v>545</v>
      </c>
      <c r="B441" s="193">
        <v>1975</v>
      </c>
      <c r="C441" s="196">
        <v>9.9453910916155603</v>
      </c>
      <c r="D441" s="196">
        <v>-0.544631318820332</v>
      </c>
      <c r="E441" s="191" t="s">
        <v>536</v>
      </c>
      <c r="G441" s="193"/>
      <c r="H441" s="193"/>
      <c r="I441" s="193"/>
      <c r="J441" s="193"/>
      <c r="K441" s="193"/>
      <c r="L441" s="193"/>
      <c r="M441" s="193"/>
      <c r="N441" s="193"/>
      <c r="O441" s="193"/>
      <c r="P441" s="193"/>
      <c r="Q441" s="193"/>
      <c r="R441" s="193"/>
      <c r="S441" s="193"/>
      <c r="T441" s="193"/>
      <c r="U441" s="193"/>
      <c r="V441" s="193"/>
    </row>
    <row r="442" spans="1:22" s="191" customFormat="1">
      <c r="A442" s="193" t="s">
        <v>545</v>
      </c>
      <c r="B442" s="193">
        <v>1976</v>
      </c>
      <c r="C442" s="196">
        <v>10.7298562015137</v>
      </c>
      <c r="D442" s="196">
        <v>4.8289867983698302</v>
      </c>
      <c r="E442" s="191" t="s">
        <v>536</v>
      </c>
      <c r="G442" s="193"/>
      <c r="H442" s="193"/>
      <c r="I442" s="193"/>
      <c r="J442" s="193"/>
      <c r="K442" s="193"/>
      <c r="L442" s="193"/>
      <c r="M442" s="193"/>
      <c r="N442" s="193"/>
      <c r="O442" s="193"/>
      <c r="P442" s="193"/>
      <c r="Q442" s="193"/>
      <c r="R442" s="193"/>
      <c r="S442" s="193"/>
      <c r="T442" s="193"/>
      <c r="U442" s="193"/>
      <c r="V442" s="193"/>
    </row>
    <row r="443" spans="1:22" s="191" customFormat="1">
      <c r="A443" s="193" t="s">
        <v>545</v>
      </c>
      <c r="B443" s="193">
        <v>1977</v>
      </c>
      <c r="C443" s="196">
        <v>11.8767476374934</v>
      </c>
      <c r="D443" s="196">
        <v>2.87756310339411</v>
      </c>
      <c r="E443" s="191" t="s">
        <v>536</v>
      </c>
      <c r="G443" s="193"/>
      <c r="H443" s="193"/>
      <c r="I443" s="193"/>
      <c r="J443" s="193"/>
      <c r="K443" s="193"/>
      <c r="L443" s="193"/>
      <c r="M443" s="193"/>
      <c r="N443" s="193"/>
      <c r="O443" s="193"/>
      <c r="P443" s="193"/>
      <c r="Q443" s="193"/>
      <c r="R443" s="193"/>
      <c r="S443" s="193"/>
      <c r="T443" s="193"/>
      <c r="U443" s="193"/>
      <c r="V443" s="193"/>
    </row>
    <row r="444" spans="1:22" s="191" customFormat="1">
      <c r="A444" s="193" t="s">
        <v>545</v>
      </c>
      <c r="B444" s="193">
        <v>1978</v>
      </c>
      <c r="C444" s="196">
        <v>13.2706983863361</v>
      </c>
      <c r="D444" s="196">
        <v>2.8084290062738</v>
      </c>
      <c r="E444" s="191" t="s">
        <v>536</v>
      </c>
      <c r="G444" s="193"/>
      <c r="H444" s="193"/>
      <c r="I444" s="193"/>
      <c r="J444" s="193"/>
      <c r="K444" s="193"/>
      <c r="L444" s="193"/>
      <c r="M444" s="193"/>
      <c r="N444" s="193"/>
      <c r="O444" s="193"/>
      <c r="P444" s="193"/>
      <c r="Q444" s="193"/>
      <c r="R444" s="193"/>
      <c r="S444" s="193"/>
      <c r="T444" s="193"/>
      <c r="U444" s="193"/>
      <c r="V444" s="193"/>
    </row>
    <row r="445" spans="1:22" s="191" customFormat="1">
      <c r="A445" s="193" t="s">
        <v>545</v>
      </c>
      <c r="B445" s="193">
        <v>1979</v>
      </c>
      <c r="C445" s="196">
        <v>13.9685677390097</v>
      </c>
      <c r="D445" s="196">
        <v>4.0185490535070301</v>
      </c>
      <c r="E445" s="191" t="s">
        <v>536</v>
      </c>
      <c r="G445" s="193"/>
      <c r="H445" s="193"/>
      <c r="I445" s="193"/>
      <c r="J445" s="193"/>
      <c r="K445" s="193"/>
      <c r="L445" s="193"/>
      <c r="M445" s="193"/>
      <c r="N445" s="193"/>
      <c r="O445" s="193"/>
      <c r="P445" s="193"/>
      <c r="Q445" s="193"/>
      <c r="R445" s="193"/>
      <c r="S445" s="193"/>
      <c r="T445" s="193"/>
      <c r="U445" s="193"/>
      <c r="V445" s="193"/>
    </row>
    <row r="446" spans="1:22" s="191" customFormat="1">
      <c r="A446" s="193" t="s">
        <v>545</v>
      </c>
      <c r="B446" s="193">
        <v>1980</v>
      </c>
      <c r="C446" s="196">
        <v>14.914025588460399</v>
      </c>
      <c r="D446" s="196">
        <v>1.1425799572585</v>
      </c>
      <c r="E446" s="191" t="s">
        <v>536</v>
      </c>
      <c r="G446" s="193"/>
      <c r="H446" s="193"/>
      <c r="I446" s="193"/>
      <c r="J446" s="193"/>
      <c r="K446" s="193"/>
      <c r="L446" s="193"/>
      <c r="M446" s="193"/>
      <c r="N446" s="193"/>
      <c r="O446" s="193"/>
      <c r="P446" s="193"/>
      <c r="Q446" s="193"/>
      <c r="R446" s="193"/>
      <c r="S446" s="193"/>
      <c r="T446" s="193"/>
      <c r="U446" s="193"/>
      <c r="V446" s="193"/>
    </row>
    <row r="447" spans="1:22" s="191" customFormat="1">
      <c r="A447" s="193" t="s">
        <v>545</v>
      </c>
      <c r="B447" s="193">
        <v>1981</v>
      </c>
      <c r="C447" s="196">
        <v>16.6507727472261</v>
      </c>
      <c r="D447" s="196">
        <v>0.11029933059203401</v>
      </c>
      <c r="E447" s="191" t="s">
        <v>536</v>
      </c>
      <c r="G447" s="193"/>
      <c r="H447" s="193"/>
      <c r="I447" s="193"/>
      <c r="J447" s="193"/>
      <c r="K447" s="193"/>
      <c r="L447" s="193"/>
      <c r="M447" s="193"/>
      <c r="N447" s="193"/>
      <c r="O447" s="193"/>
      <c r="P447" s="193"/>
      <c r="Q447" s="193"/>
      <c r="R447" s="193"/>
      <c r="S447" s="193"/>
      <c r="T447" s="193"/>
      <c r="U447" s="193"/>
      <c r="V447" s="193"/>
    </row>
    <row r="448" spans="1:22" s="191" customFormat="1">
      <c r="A448" s="193" t="s">
        <v>545</v>
      </c>
      <c r="B448" s="193">
        <v>1982</v>
      </c>
      <c r="C448" s="196">
        <v>18.332781722367699</v>
      </c>
      <c r="D448" s="196">
        <v>-0.78816639681305001</v>
      </c>
      <c r="E448" s="191" t="s">
        <v>536</v>
      </c>
      <c r="G448" s="193"/>
      <c r="H448" s="193"/>
      <c r="I448" s="193"/>
      <c r="J448" s="193"/>
      <c r="K448" s="193"/>
      <c r="L448" s="193"/>
      <c r="M448" s="193"/>
      <c r="N448" s="193"/>
      <c r="O448" s="193"/>
      <c r="P448" s="193"/>
      <c r="Q448" s="193"/>
      <c r="R448" s="193"/>
      <c r="S448" s="193"/>
      <c r="T448" s="193"/>
      <c r="U448" s="193"/>
      <c r="V448" s="193"/>
    </row>
    <row r="449" spans="1:22" s="191" customFormat="1">
      <c r="A449" s="193" t="s">
        <v>545</v>
      </c>
      <c r="B449" s="193">
        <v>1983</v>
      </c>
      <c r="C449" s="196">
        <v>19.448532248104499</v>
      </c>
      <c r="D449" s="196">
        <v>1.55466809928657</v>
      </c>
      <c r="E449" s="191" t="s">
        <v>536</v>
      </c>
      <c r="G449" s="193"/>
      <c r="H449" s="193"/>
      <c r="I449" s="193"/>
      <c r="J449" s="193"/>
      <c r="K449" s="193"/>
      <c r="L449" s="193"/>
      <c r="M449" s="193"/>
      <c r="N449" s="193"/>
      <c r="O449" s="193"/>
      <c r="P449" s="193"/>
      <c r="Q449" s="193"/>
      <c r="R449" s="193"/>
      <c r="S449" s="193"/>
      <c r="T449" s="193"/>
      <c r="U449" s="193"/>
      <c r="V449" s="193"/>
    </row>
    <row r="450" spans="1:22" s="191" customFormat="1">
      <c r="A450" s="193" t="s">
        <v>545</v>
      </c>
      <c r="B450" s="193">
        <v>1984</v>
      </c>
      <c r="C450" s="196">
        <v>19.8407853936151</v>
      </c>
      <c r="D450" s="196">
        <v>2.8260872782050099</v>
      </c>
      <c r="E450" s="191" t="s">
        <v>536</v>
      </c>
      <c r="G450" s="193"/>
      <c r="H450" s="193"/>
      <c r="I450" s="193"/>
      <c r="J450" s="193"/>
      <c r="K450" s="193"/>
      <c r="L450" s="193"/>
      <c r="M450" s="193"/>
      <c r="N450" s="193"/>
      <c r="O450" s="193"/>
      <c r="P450" s="193"/>
      <c r="Q450" s="193"/>
      <c r="R450" s="193"/>
      <c r="S450" s="193"/>
      <c r="T450" s="193"/>
      <c r="U450" s="193"/>
      <c r="V450" s="193"/>
    </row>
    <row r="451" spans="1:22" s="191" customFormat="1">
      <c r="A451" s="193" t="s">
        <v>545</v>
      </c>
      <c r="B451" s="193">
        <v>1985</v>
      </c>
      <c r="C451" s="196">
        <v>20.377673668114301</v>
      </c>
      <c r="D451" s="196">
        <v>2.1922846948048802</v>
      </c>
      <c r="E451" s="191" t="s">
        <v>536</v>
      </c>
      <c r="G451" s="193"/>
      <c r="H451" s="193"/>
      <c r="I451" s="193"/>
      <c r="J451" s="193"/>
      <c r="K451" s="193"/>
      <c r="L451" s="193"/>
      <c r="M451" s="193"/>
      <c r="N451" s="193"/>
      <c r="O451" s="193"/>
      <c r="P451" s="193"/>
      <c r="Q451" s="193"/>
      <c r="R451" s="193"/>
      <c r="S451" s="193"/>
      <c r="T451" s="193"/>
      <c r="U451" s="193"/>
      <c r="V451" s="193"/>
    </row>
    <row r="452" spans="1:22" s="191" customFormat="1">
      <c r="A452" s="193" t="s">
        <v>545</v>
      </c>
      <c r="B452" s="193">
        <v>1986</v>
      </c>
      <c r="C452" s="196">
        <v>20.383172794153101</v>
      </c>
      <c r="D452" s="196">
        <v>2.41731919217096</v>
      </c>
      <c r="E452" s="191" t="s">
        <v>536</v>
      </c>
      <c r="G452" s="193"/>
      <c r="H452" s="193"/>
      <c r="I452" s="193"/>
      <c r="J452" s="193"/>
      <c r="K452" s="193"/>
      <c r="L452" s="193"/>
      <c r="M452" s="193"/>
      <c r="N452" s="193"/>
      <c r="O452" s="193"/>
      <c r="P452" s="193"/>
      <c r="Q452" s="193"/>
      <c r="R452" s="193"/>
      <c r="S452" s="193"/>
      <c r="T452" s="193"/>
      <c r="U452" s="193"/>
      <c r="V452" s="193"/>
    </row>
    <row r="453" spans="1:22" s="191" customFormat="1">
      <c r="A453" s="193" t="s">
        <v>545</v>
      </c>
      <c r="B453" s="193">
        <v>1987</v>
      </c>
      <c r="C453" s="196">
        <v>21.1429908356589</v>
      </c>
      <c r="D453" s="196">
        <v>1.46935582225283</v>
      </c>
      <c r="E453" s="191" t="s">
        <v>536</v>
      </c>
      <c r="G453" s="193"/>
      <c r="H453" s="193"/>
      <c r="I453" s="193"/>
      <c r="J453" s="193"/>
      <c r="K453" s="193"/>
      <c r="L453" s="193"/>
      <c r="M453" s="193"/>
      <c r="N453" s="193"/>
      <c r="O453" s="193"/>
      <c r="P453" s="193"/>
      <c r="Q453" s="193"/>
      <c r="R453" s="193"/>
      <c r="S453" s="193"/>
      <c r="T453" s="193"/>
      <c r="U453" s="193"/>
      <c r="V453" s="193"/>
    </row>
    <row r="454" spans="1:22" s="191" customFormat="1">
      <c r="A454" s="193" t="s">
        <v>545</v>
      </c>
      <c r="B454" s="193">
        <v>1988</v>
      </c>
      <c r="C454" s="196">
        <v>21.6240219113926</v>
      </c>
      <c r="D454" s="196">
        <v>3.73561271474219</v>
      </c>
      <c r="E454" s="191" t="s">
        <v>536</v>
      </c>
      <c r="G454" s="193"/>
      <c r="H454" s="193"/>
      <c r="I454" s="193"/>
      <c r="J454" s="193"/>
      <c r="K454" s="193"/>
      <c r="L454" s="193"/>
      <c r="M454" s="193"/>
      <c r="N454" s="193"/>
      <c r="O454" s="193"/>
      <c r="P454" s="193"/>
      <c r="Q454" s="193"/>
      <c r="R454" s="193"/>
      <c r="S454" s="193"/>
      <c r="T454" s="193"/>
      <c r="U454" s="193"/>
      <c r="V454" s="193"/>
    </row>
    <row r="455" spans="1:22" s="191" customFormat="1">
      <c r="A455" s="193" t="s">
        <v>545</v>
      </c>
      <c r="B455" s="193">
        <v>1989</v>
      </c>
      <c r="C455" s="196">
        <v>20.8884834827732</v>
      </c>
      <c r="D455" s="196">
        <v>3.9130241683713201</v>
      </c>
      <c r="E455" s="191" t="s">
        <v>536</v>
      </c>
      <c r="G455" s="193"/>
      <c r="H455" s="193"/>
      <c r="I455" s="193"/>
      <c r="J455" s="193"/>
      <c r="K455" s="193"/>
      <c r="L455" s="193"/>
      <c r="M455" s="193"/>
      <c r="N455" s="193"/>
      <c r="O455" s="193"/>
      <c r="P455" s="193"/>
      <c r="Q455" s="193"/>
      <c r="R455" s="193"/>
      <c r="S455" s="193"/>
      <c r="T455" s="193"/>
      <c r="U455" s="193"/>
      <c r="V455" s="193"/>
    </row>
    <row r="456" spans="1:22" s="191" customFormat="1">
      <c r="A456" s="193" t="s">
        <v>545</v>
      </c>
      <c r="B456" s="193">
        <v>1990</v>
      </c>
      <c r="C456" s="196">
        <v>21.214101714423901</v>
      </c>
      <c r="D456" s="196">
        <v>5.7234299850911903</v>
      </c>
      <c r="E456" s="191" t="s">
        <v>536</v>
      </c>
      <c r="G456" s="193"/>
      <c r="H456" s="193"/>
      <c r="I456" s="193"/>
      <c r="J456" s="193"/>
      <c r="K456" s="193"/>
      <c r="L456" s="193"/>
      <c r="M456" s="193"/>
      <c r="N456" s="193"/>
      <c r="O456" s="193"/>
      <c r="P456" s="193"/>
      <c r="Q456" s="193"/>
      <c r="R456" s="193"/>
      <c r="S456" s="193"/>
      <c r="T456" s="193"/>
      <c r="U456" s="193"/>
      <c r="V456" s="193"/>
    </row>
    <row r="457" spans="1:22" s="191" customFormat="1">
      <c r="A457" s="193" t="s">
        <v>545</v>
      </c>
      <c r="B457" s="193">
        <v>1991</v>
      </c>
      <c r="C457" s="196">
        <v>19.522981109691202</v>
      </c>
      <c r="D457" s="196">
        <v>5.0114026576872002</v>
      </c>
      <c r="E457" s="191" t="s">
        <v>536</v>
      </c>
      <c r="G457" s="193"/>
      <c r="H457" s="193"/>
      <c r="I457" s="193"/>
      <c r="J457" s="193"/>
      <c r="K457" s="193"/>
      <c r="L457" s="193"/>
      <c r="M457" s="193"/>
      <c r="N457" s="193"/>
      <c r="O457" s="193"/>
      <c r="P457" s="193"/>
      <c r="Q457" s="193"/>
      <c r="R457" s="193"/>
      <c r="S457" s="193"/>
      <c r="T457" s="193"/>
      <c r="U457" s="193"/>
      <c r="V457" s="193"/>
    </row>
    <row r="458" spans="1:22" s="191" customFormat="1">
      <c r="A458" s="193" t="s">
        <v>545</v>
      </c>
      <c r="B458" s="193">
        <v>1992</v>
      </c>
      <c r="C458" s="196">
        <v>18.838583702888201</v>
      </c>
      <c r="D458" s="196">
        <v>2.3058166544852998</v>
      </c>
      <c r="E458" s="191" t="s">
        <v>536</v>
      </c>
      <c r="G458" s="193"/>
      <c r="H458" s="193"/>
      <c r="I458" s="193"/>
      <c r="J458" s="193"/>
      <c r="K458" s="193"/>
      <c r="L458" s="193"/>
      <c r="M458" s="193"/>
      <c r="N458" s="193"/>
      <c r="O458" s="193"/>
      <c r="P458" s="193"/>
      <c r="Q458" s="193"/>
      <c r="R458" s="193"/>
      <c r="S458" s="193"/>
      <c r="T458" s="193"/>
      <c r="U458" s="193"/>
      <c r="V458" s="193"/>
    </row>
    <row r="459" spans="1:22" s="191" customFormat="1">
      <c r="A459" s="193" t="s">
        <v>545</v>
      </c>
      <c r="B459" s="193">
        <v>1993</v>
      </c>
      <c r="C459" s="196">
        <v>20.680250396282901</v>
      </c>
      <c r="D459" s="196">
        <v>-0.78878283736043597</v>
      </c>
      <c r="E459" s="191" t="s">
        <v>536</v>
      </c>
      <c r="G459" s="193"/>
      <c r="H459" s="193"/>
      <c r="I459" s="193"/>
      <c r="J459" s="193"/>
      <c r="K459" s="193"/>
      <c r="L459" s="193"/>
      <c r="M459" s="193"/>
      <c r="N459" s="193"/>
      <c r="O459" s="193"/>
      <c r="P459" s="193"/>
      <c r="Q459" s="193"/>
      <c r="R459" s="193"/>
      <c r="S459" s="193"/>
      <c r="T459" s="193"/>
      <c r="U459" s="193"/>
      <c r="V459" s="193"/>
    </row>
    <row r="460" spans="1:22" s="191" customFormat="1">
      <c r="A460" s="193" t="s">
        <v>545</v>
      </c>
      <c r="B460" s="193">
        <v>1994</v>
      </c>
      <c r="C460" s="196">
        <v>20.4573449196517</v>
      </c>
      <c r="D460" s="196">
        <v>2.6260657707294599</v>
      </c>
      <c r="E460" s="191" t="s">
        <v>536</v>
      </c>
      <c r="G460" s="193"/>
      <c r="H460" s="193"/>
      <c r="I460" s="193"/>
      <c r="J460" s="193"/>
      <c r="K460" s="193"/>
      <c r="L460" s="193"/>
      <c r="M460" s="193"/>
      <c r="N460" s="193"/>
      <c r="O460" s="193"/>
      <c r="P460" s="193"/>
      <c r="Q460" s="193"/>
      <c r="R460" s="193"/>
      <c r="S460" s="193"/>
      <c r="T460" s="193"/>
      <c r="U460" s="193"/>
      <c r="V460" s="193"/>
    </row>
    <row r="461" spans="1:22" s="191" customFormat="1">
      <c r="A461" s="193" t="s">
        <v>545</v>
      </c>
      <c r="B461" s="193">
        <v>1995</v>
      </c>
      <c r="C461" s="196">
        <v>20.866153659718901</v>
      </c>
      <c r="D461" s="196">
        <v>1.8394327998847899</v>
      </c>
      <c r="E461" s="191" t="s">
        <v>536</v>
      </c>
      <c r="G461" s="193"/>
      <c r="H461" s="193"/>
      <c r="I461" s="193"/>
      <c r="J461" s="193"/>
      <c r="K461" s="193"/>
      <c r="L461" s="193"/>
      <c r="M461" s="193"/>
      <c r="N461" s="193"/>
      <c r="O461" s="193"/>
      <c r="P461" s="193"/>
      <c r="Q461" s="193"/>
      <c r="R461" s="193"/>
      <c r="S461" s="193"/>
      <c r="T461" s="193"/>
      <c r="U461" s="193"/>
      <c r="V461" s="193"/>
    </row>
    <row r="462" spans="1:22" s="191" customFormat="1">
      <c r="A462" s="193" t="s">
        <v>545</v>
      </c>
      <c r="B462" s="193">
        <v>1996</v>
      </c>
      <c r="C462" s="196">
        <v>22.705705698663099</v>
      </c>
      <c r="D462" s="196">
        <v>0.95156314125774999</v>
      </c>
      <c r="E462" s="191" t="s">
        <v>536</v>
      </c>
      <c r="G462" s="193"/>
      <c r="H462" s="193"/>
      <c r="I462" s="193"/>
      <c r="J462" s="193"/>
      <c r="K462" s="193"/>
      <c r="L462" s="193"/>
      <c r="M462" s="193"/>
      <c r="N462" s="193"/>
      <c r="O462" s="193"/>
      <c r="P462" s="193"/>
      <c r="Q462" s="193"/>
      <c r="R462" s="193"/>
      <c r="S462" s="193"/>
      <c r="T462" s="193"/>
      <c r="U462" s="193"/>
      <c r="V462" s="193"/>
    </row>
    <row r="463" spans="1:22" s="191" customFormat="1">
      <c r="A463" s="193" t="s">
        <v>545</v>
      </c>
      <c r="B463" s="193">
        <v>1997</v>
      </c>
      <c r="C463" s="196">
        <v>23.997946105739398</v>
      </c>
      <c r="D463" s="196">
        <v>1.71199980545458</v>
      </c>
      <c r="E463" s="191" t="s">
        <v>536</v>
      </c>
      <c r="G463" s="193"/>
      <c r="H463" s="193"/>
      <c r="I463" s="193"/>
      <c r="J463" s="193"/>
      <c r="K463" s="193"/>
      <c r="L463" s="193"/>
      <c r="M463" s="193"/>
      <c r="N463" s="193"/>
      <c r="O463" s="193"/>
      <c r="P463" s="193"/>
      <c r="Q463" s="193"/>
      <c r="R463" s="193"/>
      <c r="S463" s="193"/>
      <c r="T463" s="193"/>
      <c r="U463" s="193"/>
      <c r="V463" s="193"/>
    </row>
    <row r="464" spans="1:22" s="191" customFormat="1">
      <c r="A464" s="193" t="s">
        <v>545</v>
      </c>
      <c r="B464" s="193">
        <v>1998</v>
      </c>
      <c r="C464" s="196">
        <v>24.829798852171301</v>
      </c>
      <c r="D464" s="196">
        <v>1.9773666262468299</v>
      </c>
      <c r="E464" s="191" t="s">
        <v>536</v>
      </c>
      <c r="G464" s="193"/>
      <c r="H464" s="193"/>
      <c r="I464" s="193"/>
      <c r="J464" s="193"/>
      <c r="K464" s="193"/>
      <c r="L464" s="193"/>
      <c r="M464" s="193"/>
      <c r="N464" s="193"/>
      <c r="O464" s="193"/>
      <c r="P464" s="193"/>
      <c r="Q464" s="193"/>
      <c r="R464" s="193"/>
      <c r="S464" s="193"/>
      <c r="T464" s="193"/>
      <c r="U464" s="193"/>
      <c r="V464" s="193"/>
    </row>
    <row r="465" spans="1:22" s="191" customFormat="1">
      <c r="A465" s="193" t="s">
        <v>545</v>
      </c>
      <c r="B465" s="193">
        <v>1999</v>
      </c>
      <c r="C465" s="196">
        <v>35.2037773359841</v>
      </c>
      <c r="D465" s="196">
        <v>1.93168560720931</v>
      </c>
      <c r="E465" s="191" t="s">
        <v>537</v>
      </c>
      <c r="G465" s="193"/>
      <c r="H465" s="193"/>
      <c r="I465" s="193"/>
      <c r="J465" s="193"/>
      <c r="K465" s="193"/>
      <c r="L465" s="193"/>
      <c r="M465" s="193"/>
      <c r="N465" s="193"/>
      <c r="O465" s="193"/>
      <c r="P465" s="193"/>
      <c r="Q465" s="193"/>
      <c r="R465" s="193"/>
      <c r="S465" s="193"/>
      <c r="T465" s="193"/>
      <c r="U465" s="193"/>
      <c r="V465" s="193"/>
    </row>
    <row r="466" spans="1:22" s="191" customFormat="1">
      <c r="A466" s="193" t="s">
        <v>545</v>
      </c>
      <c r="B466" s="193">
        <v>2000</v>
      </c>
      <c r="C466" s="196">
        <v>34.695752529102698</v>
      </c>
      <c r="D466" s="196">
        <v>3.2242838077780398</v>
      </c>
      <c r="E466" s="191" t="s">
        <v>537</v>
      </c>
      <c r="G466" s="193"/>
      <c r="H466" s="193"/>
      <c r="I466" s="193"/>
      <c r="J466" s="193"/>
      <c r="K466" s="193"/>
      <c r="L466" s="193"/>
      <c r="M466" s="193"/>
      <c r="N466" s="193"/>
      <c r="O466" s="193"/>
      <c r="P466" s="193"/>
      <c r="Q466" s="193"/>
      <c r="R466" s="193"/>
      <c r="S466" s="193"/>
      <c r="T466" s="193"/>
      <c r="U466" s="193"/>
      <c r="V466" s="193"/>
    </row>
    <row r="467" spans="1:22" s="191" customFormat="1">
      <c r="A467" s="193" t="s">
        <v>545</v>
      </c>
      <c r="B467" s="193">
        <v>2001</v>
      </c>
      <c r="C467" s="196">
        <v>32.997988651209504</v>
      </c>
      <c r="D467" s="196">
        <v>1.15079441968611</v>
      </c>
      <c r="E467" s="191" t="s">
        <v>537</v>
      </c>
      <c r="G467" s="193"/>
      <c r="H467" s="193"/>
      <c r="I467" s="193"/>
      <c r="J467" s="193"/>
      <c r="K467" s="193"/>
      <c r="L467" s="193"/>
      <c r="M467" s="193"/>
      <c r="N467" s="193"/>
      <c r="O467" s="193"/>
      <c r="P467" s="193"/>
      <c r="Q467" s="193"/>
      <c r="R467" s="193"/>
      <c r="S467" s="193"/>
      <c r="T467" s="193"/>
      <c r="U467" s="193"/>
      <c r="V467" s="193"/>
    </row>
    <row r="468" spans="1:22" s="191" customFormat="1">
      <c r="A468" s="193" t="s">
        <v>545</v>
      </c>
      <c r="B468" s="193">
        <v>2002</v>
      </c>
      <c r="C468" s="196">
        <v>33.566908123817001</v>
      </c>
      <c r="D468" s="196">
        <v>6.2734746477222103E-3</v>
      </c>
      <c r="E468" s="191" t="s">
        <v>537</v>
      </c>
      <c r="G468" s="193"/>
      <c r="H468" s="193"/>
      <c r="I468" s="193"/>
      <c r="J468" s="193"/>
      <c r="K468" s="193"/>
      <c r="L468" s="193"/>
      <c r="M468" s="193"/>
      <c r="N468" s="193"/>
      <c r="O468" s="193"/>
      <c r="P468" s="193"/>
      <c r="Q468" s="193"/>
      <c r="R468" s="193"/>
      <c r="S468" s="193"/>
      <c r="T468" s="193"/>
      <c r="U468" s="193"/>
      <c r="V468" s="193"/>
    </row>
    <row r="469" spans="1:22" s="191" customFormat="1">
      <c r="A469" s="193" t="s">
        <v>545</v>
      </c>
      <c r="B469" s="193">
        <v>2003</v>
      </c>
      <c r="C469" s="196">
        <v>35.479891255997799</v>
      </c>
      <c r="D469" s="196">
        <v>-0.231146278674221</v>
      </c>
      <c r="E469" s="191" t="s">
        <v>537</v>
      </c>
      <c r="G469" s="193"/>
      <c r="H469" s="193"/>
      <c r="I469" s="193"/>
      <c r="J469" s="193"/>
      <c r="K469" s="193"/>
      <c r="L469" s="193"/>
      <c r="M469" s="193"/>
      <c r="N469" s="193"/>
      <c r="O469" s="193"/>
      <c r="P469" s="193"/>
      <c r="Q469" s="193"/>
      <c r="R469" s="193"/>
      <c r="S469" s="193"/>
      <c r="T469" s="193"/>
      <c r="U469" s="193"/>
      <c r="V469" s="193"/>
    </row>
    <row r="470" spans="1:22" s="191" customFormat="1">
      <c r="A470" s="193" t="s">
        <v>545</v>
      </c>
      <c r="B470" s="193">
        <v>2004</v>
      </c>
      <c r="C470" s="196">
        <v>36.732726258659497</v>
      </c>
      <c r="D470" s="196">
        <v>1.1762159214883501</v>
      </c>
      <c r="E470" s="191" t="s">
        <v>537</v>
      </c>
      <c r="G470" s="193"/>
      <c r="H470" s="193"/>
      <c r="I470" s="193"/>
      <c r="J470" s="193"/>
      <c r="K470" s="193"/>
      <c r="L470" s="193"/>
      <c r="M470" s="193"/>
      <c r="N470" s="193"/>
      <c r="O470" s="193"/>
      <c r="P470" s="193"/>
      <c r="Q470" s="193"/>
      <c r="R470" s="193"/>
      <c r="S470" s="193"/>
      <c r="T470" s="193"/>
      <c r="U470" s="193"/>
      <c r="V470" s="193"/>
    </row>
    <row r="471" spans="1:22" s="191" customFormat="1">
      <c r="A471" s="193" t="s">
        <v>545</v>
      </c>
      <c r="B471" s="193">
        <v>2005</v>
      </c>
      <c r="C471" s="196">
        <v>39.508450669001498</v>
      </c>
      <c r="D471" s="196">
        <v>0.73207977164726501</v>
      </c>
      <c r="E471" s="191" t="s">
        <v>537</v>
      </c>
      <c r="G471" s="193"/>
      <c r="H471" s="193"/>
      <c r="I471" s="193"/>
      <c r="J471" s="193"/>
      <c r="K471" s="193"/>
      <c r="L471" s="193"/>
      <c r="M471" s="193"/>
      <c r="N471" s="193"/>
      <c r="O471" s="193"/>
      <c r="P471" s="193"/>
      <c r="Q471" s="193"/>
      <c r="R471" s="193"/>
      <c r="S471" s="193"/>
      <c r="T471" s="193"/>
      <c r="U471" s="193"/>
      <c r="V471" s="193"/>
    </row>
    <row r="472" spans="1:22" s="191" customFormat="1">
      <c r="A472" s="193" t="s">
        <v>545</v>
      </c>
      <c r="B472" s="193">
        <v>2006</v>
      </c>
      <c r="C472" s="196">
        <v>39.582635419000397</v>
      </c>
      <c r="D472" s="196">
        <v>3.1758986417531401</v>
      </c>
      <c r="E472" s="191" t="s">
        <v>537</v>
      </c>
      <c r="G472" s="193"/>
      <c r="H472" s="193"/>
      <c r="I472" s="193"/>
      <c r="J472" s="193"/>
      <c r="K472" s="193"/>
      <c r="L472" s="193"/>
      <c r="M472" s="193"/>
      <c r="N472" s="193"/>
      <c r="O472" s="193"/>
      <c r="P472" s="193"/>
      <c r="Q472" s="193"/>
      <c r="R472" s="193"/>
      <c r="S472" s="193"/>
      <c r="T472" s="193"/>
      <c r="U472" s="193"/>
      <c r="V472" s="193"/>
    </row>
    <row r="473" spans="1:22" s="191" customFormat="1">
      <c r="A473" s="193" t="s">
        <v>545</v>
      </c>
      <c r="B473" s="193">
        <v>2007</v>
      </c>
      <c r="C473" s="196">
        <v>38.711308788402903</v>
      </c>
      <c r="D473" s="196">
        <v>2.5164822926042798</v>
      </c>
      <c r="E473" s="191" t="s">
        <v>537</v>
      </c>
      <c r="G473" s="193"/>
      <c r="H473" s="193"/>
      <c r="I473" s="193"/>
      <c r="J473" s="193"/>
      <c r="K473" s="193"/>
      <c r="L473" s="193"/>
      <c r="M473" s="193"/>
      <c r="N473" s="193"/>
      <c r="O473" s="193"/>
      <c r="P473" s="193"/>
      <c r="Q473" s="193"/>
      <c r="R473" s="193"/>
      <c r="S473" s="193"/>
      <c r="T473" s="193"/>
      <c r="U473" s="193"/>
      <c r="V473" s="193"/>
    </row>
    <row r="474" spans="1:22" s="191" customFormat="1">
      <c r="A474" s="193" t="s">
        <v>545</v>
      </c>
      <c r="B474" s="193">
        <v>2008</v>
      </c>
      <c r="C474" s="196">
        <v>38.712917701738903</v>
      </c>
      <c r="D474" s="196">
        <v>1.24810326772242</v>
      </c>
      <c r="E474" s="191" t="s">
        <v>537</v>
      </c>
      <c r="G474" s="193"/>
      <c r="H474" s="193"/>
      <c r="I474" s="193"/>
      <c r="J474" s="193"/>
      <c r="K474" s="193"/>
      <c r="L474" s="193"/>
      <c r="M474" s="193"/>
      <c r="N474" s="193"/>
      <c r="O474" s="193"/>
      <c r="P474" s="193"/>
      <c r="Q474" s="193"/>
      <c r="R474" s="193"/>
      <c r="S474" s="193"/>
      <c r="T474" s="193"/>
      <c r="U474" s="193"/>
      <c r="V474" s="193"/>
    </row>
    <row r="475" spans="1:22" s="191" customFormat="1">
      <c r="A475" s="193" t="s">
        <v>545</v>
      </c>
      <c r="B475" s="193">
        <v>2009</v>
      </c>
      <c r="C475" s="196">
        <v>43.718769366600696</v>
      </c>
      <c r="D475" s="196">
        <v>-5.2968337730870596</v>
      </c>
      <c r="E475" s="191" t="s">
        <v>537</v>
      </c>
      <c r="G475" s="193"/>
      <c r="H475" s="193"/>
      <c r="I475" s="193"/>
      <c r="J475" s="193"/>
      <c r="K475" s="193"/>
      <c r="L475" s="193"/>
      <c r="M475" s="193"/>
      <c r="N475" s="193"/>
      <c r="O475" s="193"/>
      <c r="P475" s="193"/>
      <c r="Q475" s="193"/>
      <c r="R475" s="193"/>
      <c r="S475" s="193"/>
      <c r="T475" s="193"/>
      <c r="U475" s="193"/>
      <c r="V475" s="193"/>
    </row>
    <row r="476" spans="1:22" s="191" customFormat="1">
      <c r="A476" s="193" t="s">
        <v>546</v>
      </c>
      <c r="B476" s="193">
        <v>1970</v>
      </c>
      <c r="C476" s="196">
        <v>18.822100968682498</v>
      </c>
      <c r="D476" s="196">
        <v>7.9549273500049402</v>
      </c>
      <c r="E476" s="191" t="s">
        <v>536</v>
      </c>
      <c r="G476" s="193"/>
      <c r="H476" s="193"/>
      <c r="I476" s="193"/>
      <c r="J476" s="193"/>
      <c r="K476" s="193"/>
      <c r="L476" s="193"/>
      <c r="M476" s="193"/>
      <c r="N476" s="193"/>
      <c r="O476" s="193"/>
      <c r="P476" s="193"/>
      <c r="Q476" s="193"/>
      <c r="R476" s="193"/>
      <c r="S476" s="193"/>
      <c r="T476" s="193"/>
      <c r="U476" s="193"/>
      <c r="V476" s="193"/>
    </row>
    <row r="477" spans="1:22" s="191" customFormat="1">
      <c r="A477" s="193" t="s">
        <v>546</v>
      </c>
      <c r="B477" s="193">
        <v>1971</v>
      </c>
      <c r="C477" s="196">
        <v>19.004789781798799</v>
      </c>
      <c r="D477" s="196">
        <v>7.1178743430570002</v>
      </c>
      <c r="E477" s="191" t="s">
        <v>536</v>
      </c>
      <c r="G477" s="193"/>
      <c r="H477" s="193"/>
      <c r="I477" s="193"/>
      <c r="J477" s="193"/>
      <c r="K477" s="193"/>
      <c r="L477" s="193"/>
      <c r="M477" s="193"/>
      <c r="N477" s="193"/>
      <c r="O477" s="193"/>
      <c r="P477" s="193"/>
      <c r="Q477" s="193"/>
      <c r="R477" s="193"/>
      <c r="S477" s="193"/>
      <c r="T477" s="193"/>
      <c r="U477" s="193"/>
      <c r="V477" s="193"/>
    </row>
    <row r="478" spans="1:22" s="191" customFormat="1">
      <c r="A478" s="193" t="s">
        <v>546</v>
      </c>
      <c r="B478" s="193">
        <v>1972</v>
      </c>
      <c r="C478" s="196">
        <v>20.1204135162908</v>
      </c>
      <c r="D478" s="196">
        <v>12.4435858862144</v>
      </c>
      <c r="E478" s="191" t="s">
        <v>536</v>
      </c>
      <c r="G478" s="193"/>
      <c r="H478" s="193"/>
      <c r="I478" s="193"/>
      <c r="J478" s="193"/>
      <c r="K478" s="193"/>
      <c r="L478" s="193"/>
      <c r="M478" s="193"/>
      <c r="N478" s="193"/>
      <c r="O478" s="193"/>
      <c r="P478" s="193"/>
      <c r="Q478" s="193"/>
      <c r="R478" s="193"/>
      <c r="S478" s="193"/>
      <c r="T478" s="193"/>
      <c r="U478" s="193"/>
      <c r="V478" s="193"/>
    </row>
    <row r="479" spans="1:22" s="191" customFormat="1">
      <c r="A479" s="193" t="s">
        <v>546</v>
      </c>
      <c r="B479" s="193">
        <v>1973</v>
      </c>
      <c r="C479" s="196">
        <v>16.555721547987901</v>
      </c>
      <c r="D479" s="196">
        <v>3.9224629418472201</v>
      </c>
      <c r="E479" s="191" t="s">
        <v>536</v>
      </c>
      <c r="G479" s="193"/>
      <c r="H479" s="193"/>
      <c r="I479" s="193"/>
      <c r="J479" s="193"/>
      <c r="K479" s="193"/>
      <c r="L479" s="193"/>
      <c r="M479" s="193"/>
      <c r="N479" s="193"/>
      <c r="O479" s="193"/>
      <c r="P479" s="193"/>
      <c r="Q479" s="193"/>
      <c r="R479" s="193"/>
      <c r="S479" s="193"/>
      <c r="T479" s="193"/>
      <c r="U479" s="193"/>
      <c r="V479" s="193"/>
    </row>
    <row r="480" spans="1:22" s="191" customFormat="1">
      <c r="A480" s="193" t="s">
        <v>546</v>
      </c>
      <c r="B480" s="193">
        <v>1974</v>
      </c>
      <c r="C480" s="196">
        <v>17.477994366680399</v>
      </c>
      <c r="D480" s="196">
        <v>-3.6383585692341498</v>
      </c>
      <c r="E480" s="191" t="s">
        <v>536</v>
      </c>
      <c r="G480" s="193"/>
      <c r="H480" s="193"/>
      <c r="I480" s="193"/>
      <c r="J480" s="193"/>
      <c r="K480" s="193"/>
      <c r="L480" s="193"/>
      <c r="M480" s="193"/>
      <c r="N480" s="193"/>
      <c r="O480" s="193"/>
      <c r="P480" s="193"/>
      <c r="Q480" s="193"/>
      <c r="R480" s="193"/>
      <c r="S480" s="193"/>
      <c r="T480" s="193"/>
      <c r="U480" s="193"/>
      <c r="V480" s="193"/>
    </row>
    <row r="481" spans="1:22" s="191" customFormat="1">
      <c r="A481" s="193" t="s">
        <v>546</v>
      </c>
      <c r="B481" s="193">
        <v>1975</v>
      </c>
      <c r="C481" s="196">
        <v>18.176321507537601</v>
      </c>
      <c r="D481" s="196">
        <v>6.0499787453695202</v>
      </c>
      <c r="E481" s="191" t="s">
        <v>536</v>
      </c>
      <c r="G481" s="193"/>
      <c r="H481" s="193"/>
      <c r="I481" s="193"/>
      <c r="J481" s="193"/>
      <c r="K481" s="193"/>
      <c r="L481" s="193"/>
      <c r="M481" s="193"/>
      <c r="N481" s="193"/>
      <c r="O481" s="193"/>
      <c r="P481" s="193"/>
      <c r="Q481" s="193"/>
      <c r="R481" s="193"/>
      <c r="S481" s="193"/>
      <c r="T481" s="193"/>
      <c r="U481" s="193"/>
      <c r="V481" s="193"/>
    </row>
    <row r="482" spans="1:22" s="191" customFormat="1">
      <c r="A482" s="193" t="s">
        <v>546</v>
      </c>
      <c r="B482" s="193">
        <v>1976</v>
      </c>
      <c r="C482" s="196">
        <v>20.804360217315001</v>
      </c>
      <c r="D482" s="196">
        <v>6.3604999069474504</v>
      </c>
      <c r="E482" s="191" t="s">
        <v>536</v>
      </c>
      <c r="G482" s="193"/>
      <c r="H482" s="193"/>
      <c r="I482" s="193"/>
      <c r="J482" s="193"/>
      <c r="K482" s="193"/>
      <c r="L482" s="193"/>
      <c r="M482" s="193"/>
      <c r="N482" s="193"/>
      <c r="O482" s="193"/>
      <c r="P482" s="193"/>
      <c r="Q482" s="193"/>
      <c r="R482" s="193"/>
      <c r="S482" s="193"/>
      <c r="T482" s="193"/>
      <c r="U482" s="193"/>
      <c r="V482" s="193"/>
    </row>
    <row r="483" spans="1:22" s="191" customFormat="1">
      <c r="A483" s="193" t="s">
        <v>546</v>
      </c>
      <c r="B483" s="193">
        <v>1977</v>
      </c>
      <c r="C483" s="196">
        <v>23.2328527741372</v>
      </c>
      <c r="D483" s="196">
        <v>3.4281791751911399</v>
      </c>
      <c r="E483" s="191" t="s">
        <v>536</v>
      </c>
      <c r="G483" s="193"/>
      <c r="H483" s="193"/>
      <c r="I483" s="193"/>
      <c r="J483" s="193"/>
      <c r="K483" s="193"/>
      <c r="L483" s="193"/>
      <c r="M483" s="193"/>
      <c r="N483" s="193"/>
      <c r="O483" s="193"/>
      <c r="P483" s="193"/>
      <c r="Q483" s="193"/>
      <c r="R483" s="193"/>
      <c r="S483" s="193"/>
      <c r="T483" s="193"/>
      <c r="U483" s="193"/>
      <c r="V483" s="193"/>
    </row>
    <row r="484" spans="1:22" s="191" customFormat="1">
      <c r="A484" s="193" t="s">
        <v>546</v>
      </c>
      <c r="B484" s="193">
        <v>1978</v>
      </c>
      <c r="C484" s="196">
        <v>23.651987110633701</v>
      </c>
      <c r="D484" s="196">
        <v>6.6967713389638703</v>
      </c>
      <c r="E484" s="191" t="s">
        <v>536</v>
      </c>
      <c r="G484" s="193"/>
      <c r="H484" s="193"/>
      <c r="I484" s="193"/>
      <c r="J484" s="193"/>
      <c r="K484" s="193"/>
      <c r="L484" s="193"/>
      <c r="M484" s="193"/>
      <c r="N484" s="193"/>
      <c r="O484" s="193"/>
      <c r="P484" s="193"/>
      <c r="Q484" s="193"/>
      <c r="R484" s="193"/>
      <c r="S484" s="193"/>
      <c r="T484" s="193"/>
      <c r="U484" s="193"/>
      <c r="V484" s="193"/>
    </row>
    <row r="485" spans="1:22" s="191" customFormat="1">
      <c r="A485" s="193" t="s">
        <v>546</v>
      </c>
      <c r="B485" s="193">
        <v>1979</v>
      </c>
      <c r="C485" s="196">
        <v>23.133294864397001</v>
      </c>
      <c r="D485" s="196">
        <v>3.6907390015733701</v>
      </c>
      <c r="E485" s="191" t="s">
        <v>536</v>
      </c>
      <c r="G485" s="193"/>
      <c r="H485" s="193"/>
      <c r="I485" s="193"/>
      <c r="J485" s="193"/>
      <c r="K485" s="193"/>
      <c r="L485" s="193"/>
      <c r="M485" s="193"/>
      <c r="N485" s="193"/>
      <c r="O485" s="193"/>
      <c r="P485" s="193"/>
      <c r="Q485" s="193"/>
      <c r="R485" s="193"/>
      <c r="S485" s="193"/>
      <c r="T485" s="193"/>
      <c r="U485" s="193"/>
      <c r="V485" s="193"/>
    </row>
    <row r="486" spans="1:22" s="191" customFormat="1">
      <c r="A486" s="193" t="s">
        <v>546</v>
      </c>
      <c r="B486" s="193">
        <v>1980</v>
      </c>
      <c r="C486" s="196">
        <v>24.592685154034701</v>
      </c>
      <c r="D486" s="196">
        <v>0.67700000000000005</v>
      </c>
      <c r="E486" s="191" t="s">
        <v>536</v>
      </c>
      <c r="G486" s="193"/>
      <c r="H486" s="193"/>
      <c r="I486" s="193"/>
      <c r="J486" s="193"/>
      <c r="K486" s="193"/>
      <c r="L486" s="193"/>
      <c r="M486" s="193"/>
      <c r="N486" s="193"/>
      <c r="O486" s="193"/>
      <c r="P486" s="193"/>
      <c r="Q486" s="193"/>
      <c r="R486" s="193"/>
      <c r="S486" s="193"/>
      <c r="T486" s="193"/>
      <c r="U486" s="193"/>
      <c r="V486" s="193"/>
    </row>
    <row r="487" spans="1:22" s="191" customFormat="1">
      <c r="A487" s="193" t="s">
        <v>546</v>
      </c>
      <c r="B487" s="193">
        <v>1981</v>
      </c>
      <c r="C487" s="196">
        <v>28.773887907499599</v>
      </c>
      <c r="D487" s="196">
        <v>-1.554</v>
      </c>
      <c r="E487" s="191" t="s">
        <v>536</v>
      </c>
      <c r="G487" s="193"/>
      <c r="H487" s="193"/>
      <c r="I487" s="193"/>
      <c r="J487" s="193"/>
      <c r="K487" s="193"/>
      <c r="L487" s="193"/>
      <c r="M487" s="193"/>
      <c r="N487" s="193"/>
      <c r="O487" s="193"/>
      <c r="P487" s="193"/>
      <c r="Q487" s="193"/>
      <c r="R487" s="193"/>
      <c r="S487" s="193"/>
      <c r="T487" s="193"/>
      <c r="U487" s="193"/>
      <c r="V487" s="193"/>
    </row>
    <row r="488" spans="1:22" s="191" customFormat="1">
      <c r="A488" s="193" t="s">
        <v>546</v>
      </c>
      <c r="B488" s="193">
        <v>1982</v>
      </c>
      <c r="C488" s="196">
        <v>29.634241529634298</v>
      </c>
      <c r="D488" s="196">
        <v>-1.133</v>
      </c>
      <c r="E488" s="191" t="s">
        <v>536</v>
      </c>
      <c r="G488" s="193"/>
      <c r="H488" s="193"/>
      <c r="I488" s="193"/>
      <c r="J488" s="193"/>
      <c r="K488" s="193"/>
      <c r="L488" s="193"/>
      <c r="M488" s="193"/>
      <c r="N488" s="193"/>
      <c r="O488" s="193"/>
      <c r="P488" s="193"/>
      <c r="Q488" s="193"/>
      <c r="R488" s="193"/>
      <c r="S488" s="193"/>
      <c r="T488" s="193"/>
      <c r="U488" s="193"/>
      <c r="V488" s="193"/>
    </row>
    <row r="489" spans="1:22" s="191" customFormat="1">
      <c r="A489" s="193" t="s">
        <v>546</v>
      </c>
      <c r="B489" s="193">
        <v>1983</v>
      </c>
      <c r="C489" s="196">
        <v>33.959588133959699</v>
      </c>
      <c r="D489" s="196">
        <v>-1.079</v>
      </c>
      <c r="E489" s="191" t="s">
        <v>537</v>
      </c>
      <c r="G489" s="193"/>
      <c r="H489" s="193"/>
      <c r="I489" s="193"/>
      <c r="J489" s="193"/>
      <c r="K489" s="193"/>
      <c r="L489" s="193"/>
      <c r="M489" s="193"/>
      <c r="N489" s="193"/>
      <c r="O489" s="193"/>
      <c r="P489" s="193"/>
      <c r="Q489" s="193"/>
      <c r="R489" s="193"/>
      <c r="S489" s="193"/>
      <c r="T489" s="193"/>
      <c r="U489" s="193"/>
      <c r="V489" s="193"/>
    </row>
    <row r="490" spans="1:22" s="191" customFormat="1">
      <c r="A490" s="193" t="s">
        <v>546</v>
      </c>
      <c r="B490" s="193">
        <v>1984</v>
      </c>
      <c r="C490" s="196">
        <v>40.503248040503401</v>
      </c>
      <c r="D490" s="196">
        <v>2.0110000000000001</v>
      </c>
      <c r="E490" s="191" t="s">
        <v>537</v>
      </c>
      <c r="G490" s="193"/>
      <c r="H490" s="193"/>
      <c r="I490" s="193"/>
      <c r="J490" s="193"/>
      <c r="K490" s="193"/>
      <c r="L490" s="193"/>
      <c r="M490" s="193"/>
      <c r="N490" s="193"/>
      <c r="O490" s="193"/>
      <c r="P490" s="193"/>
      <c r="Q490" s="193"/>
      <c r="R490" s="193"/>
      <c r="S490" s="193"/>
      <c r="T490" s="193"/>
      <c r="U490" s="193"/>
      <c r="V490" s="193"/>
    </row>
    <row r="491" spans="1:22" s="191" customFormat="1">
      <c r="A491" s="193" t="s">
        <v>546</v>
      </c>
      <c r="B491" s="193">
        <v>1985</v>
      </c>
      <c r="C491" s="196">
        <v>47.132628047132599</v>
      </c>
      <c r="D491" s="196">
        <v>2.5099999999999998</v>
      </c>
      <c r="E491" s="191" t="s">
        <v>537</v>
      </c>
      <c r="G491" s="193"/>
      <c r="H491" s="193"/>
      <c r="I491" s="193"/>
      <c r="J491" s="193"/>
      <c r="K491" s="193"/>
      <c r="L491" s="193"/>
      <c r="M491" s="193"/>
      <c r="N491" s="193"/>
      <c r="O491" s="193"/>
      <c r="P491" s="193"/>
      <c r="Q491" s="193"/>
      <c r="R491" s="193"/>
      <c r="S491" s="193"/>
      <c r="T491" s="193"/>
      <c r="U491" s="193"/>
      <c r="V491" s="193"/>
    </row>
    <row r="492" spans="1:22" s="191" customFormat="1">
      <c r="A492" s="193" t="s">
        <v>546</v>
      </c>
      <c r="B492" s="193">
        <v>1986</v>
      </c>
      <c r="C492" s="196">
        <v>47.660039947660103</v>
      </c>
      <c r="D492" s="196">
        <v>0.51800000000000002</v>
      </c>
      <c r="E492" s="191" t="s">
        <v>537</v>
      </c>
      <c r="G492" s="193"/>
      <c r="H492" s="193"/>
      <c r="I492" s="193"/>
      <c r="J492" s="193"/>
      <c r="K492" s="193"/>
      <c r="L492" s="193"/>
      <c r="M492" s="193"/>
      <c r="N492" s="193"/>
      <c r="O492" s="193"/>
      <c r="P492" s="193"/>
      <c r="Q492" s="193"/>
      <c r="R492" s="193"/>
      <c r="S492" s="193"/>
      <c r="T492" s="193"/>
      <c r="U492" s="193"/>
      <c r="V492" s="193"/>
    </row>
    <row r="493" spans="1:22" s="191" customFormat="1">
      <c r="A493" s="193" t="s">
        <v>546</v>
      </c>
      <c r="B493" s="193">
        <v>1987</v>
      </c>
      <c r="C493" s="196">
        <v>52.987777652987802</v>
      </c>
      <c r="D493" s="196">
        <v>-2.2589999999999999</v>
      </c>
      <c r="E493" s="191" t="s">
        <v>537</v>
      </c>
      <c r="G493" s="193"/>
      <c r="H493" s="193"/>
      <c r="I493" s="193"/>
      <c r="J493" s="193"/>
      <c r="K493" s="193"/>
      <c r="L493" s="193"/>
      <c r="M493" s="193"/>
      <c r="N493" s="193"/>
      <c r="O493" s="193"/>
      <c r="P493" s="193"/>
      <c r="Q493" s="193"/>
      <c r="R493" s="193"/>
      <c r="S493" s="193"/>
      <c r="T493" s="193"/>
      <c r="U493" s="193"/>
      <c r="V493" s="193"/>
    </row>
    <row r="494" spans="1:22" s="191" customFormat="1">
      <c r="A494" s="193" t="s">
        <v>546</v>
      </c>
      <c r="B494" s="193">
        <v>1988</v>
      </c>
      <c r="C494" s="196">
        <v>62.663144762663102</v>
      </c>
      <c r="D494" s="196">
        <v>4.2880000000000003</v>
      </c>
      <c r="E494" s="191" t="s">
        <v>538</v>
      </c>
      <c r="G494" s="193"/>
      <c r="H494" s="193"/>
      <c r="I494" s="193"/>
      <c r="J494" s="193"/>
      <c r="K494" s="193"/>
      <c r="L494" s="193"/>
      <c r="M494" s="193"/>
      <c r="N494" s="193"/>
      <c r="O494" s="193"/>
      <c r="P494" s="193"/>
      <c r="Q494" s="193"/>
      <c r="R494" s="193"/>
      <c r="S494" s="193"/>
      <c r="T494" s="193"/>
      <c r="U494" s="193"/>
      <c r="V494" s="193"/>
    </row>
    <row r="495" spans="1:22" s="191" customFormat="1">
      <c r="A495" s="193" t="s">
        <v>546</v>
      </c>
      <c r="B495" s="193">
        <v>1989</v>
      </c>
      <c r="C495" s="196">
        <v>65.840295465840299</v>
      </c>
      <c r="D495" s="196">
        <v>3.8</v>
      </c>
      <c r="E495" s="191" t="s">
        <v>538</v>
      </c>
      <c r="G495" s="193"/>
      <c r="H495" s="193"/>
      <c r="I495" s="193"/>
      <c r="J495" s="193"/>
      <c r="K495" s="193"/>
      <c r="L495" s="193"/>
      <c r="M495" s="193"/>
      <c r="N495" s="193"/>
      <c r="O495" s="193"/>
      <c r="P495" s="193"/>
      <c r="Q495" s="193"/>
      <c r="R495" s="193"/>
      <c r="S495" s="193"/>
      <c r="T495" s="193"/>
      <c r="U495" s="193"/>
      <c r="V495" s="193"/>
    </row>
    <row r="496" spans="1:22" s="191" customFormat="1">
      <c r="A496" s="193" t="s">
        <v>546</v>
      </c>
      <c r="B496" s="193">
        <v>1990</v>
      </c>
      <c r="C496" s="196">
        <v>89.066840389066499</v>
      </c>
      <c r="D496" s="196">
        <v>0</v>
      </c>
      <c r="E496" s="191" t="s">
        <v>538</v>
      </c>
      <c r="G496" s="193"/>
      <c r="H496" s="193"/>
      <c r="I496" s="193"/>
      <c r="J496" s="193"/>
      <c r="K496" s="193"/>
      <c r="L496" s="193"/>
      <c r="M496" s="193"/>
      <c r="N496" s="193"/>
      <c r="O496" s="193"/>
      <c r="P496" s="193"/>
      <c r="Q496" s="193"/>
      <c r="R496" s="193"/>
      <c r="S496" s="193"/>
      <c r="T496" s="193"/>
      <c r="U496" s="193"/>
      <c r="V496" s="193"/>
    </row>
    <row r="497" spans="1:22" s="191" customFormat="1">
      <c r="A497" s="193" t="s">
        <v>546</v>
      </c>
      <c r="B497" s="193">
        <v>1991</v>
      </c>
      <c r="C497" s="196">
        <v>91.124768591124607</v>
      </c>
      <c r="D497" s="196">
        <v>3.1</v>
      </c>
      <c r="E497" s="191" t="s">
        <v>535</v>
      </c>
      <c r="G497" s="193"/>
      <c r="H497" s="193"/>
      <c r="I497" s="193"/>
      <c r="J497" s="193"/>
      <c r="K497" s="193"/>
      <c r="L497" s="193"/>
      <c r="M497" s="193"/>
      <c r="N497" s="193"/>
      <c r="O497" s="193"/>
      <c r="P497" s="193"/>
      <c r="Q497" s="193"/>
      <c r="R497" s="193"/>
      <c r="S497" s="193"/>
      <c r="T497" s="193"/>
      <c r="U497" s="193"/>
      <c r="V497" s="193"/>
    </row>
    <row r="498" spans="1:22" s="191" customFormat="1">
      <c r="A498" s="193" t="s">
        <v>546</v>
      </c>
      <c r="B498" s="193">
        <v>1992</v>
      </c>
      <c r="C498" s="196">
        <v>97.609643697609698</v>
      </c>
      <c r="D498" s="196">
        <v>0.7</v>
      </c>
      <c r="E498" s="191" t="s">
        <v>535</v>
      </c>
      <c r="G498" s="193"/>
      <c r="H498" s="193"/>
      <c r="I498" s="193"/>
      <c r="J498" s="193"/>
      <c r="K498" s="193"/>
      <c r="L498" s="193"/>
      <c r="M498" s="193"/>
      <c r="N498" s="193"/>
      <c r="O498" s="193"/>
      <c r="P498" s="193"/>
      <c r="Q498" s="193"/>
      <c r="R498" s="193"/>
      <c r="S498" s="193"/>
      <c r="T498" s="193"/>
      <c r="U498" s="193"/>
      <c r="V498" s="193"/>
    </row>
    <row r="499" spans="1:22" s="191" customFormat="1">
      <c r="A499" s="193" t="s">
        <v>546</v>
      </c>
      <c r="B499" s="193">
        <v>1993</v>
      </c>
      <c r="C499" s="196">
        <v>97.608000000000004</v>
      </c>
      <c r="D499" s="196">
        <v>-1.6</v>
      </c>
      <c r="E499" s="191" t="s">
        <v>535</v>
      </c>
      <c r="G499" s="193"/>
      <c r="H499" s="193"/>
      <c r="I499" s="193"/>
      <c r="J499" s="193"/>
      <c r="K499" s="193"/>
      <c r="L499" s="193"/>
      <c r="M499" s="193"/>
      <c r="N499" s="193"/>
      <c r="O499" s="193"/>
      <c r="P499" s="193"/>
      <c r="Q499" s="193"/>
      <c r="R499" s="193"/>
      <c r="S499" s="193"/>
      <c r="T499" s="193"/>
      <c r="U499" s="193"/>
      <c r="V499" s="193"/>
    </row>
    <row r="500" spans="1:22" s="191" customFormat="1">
      <c r="A500" s="193" t="s">
        <v>546</v>
      </c>
      <c r="B500" s="193">
        <v>1994</v>
      </c>
      <c r="C500" s="196">
        <v>103.197</v>
      </c>
      <c r="D500" s="196">
        <v>2</v>
      </c>
      <c r="E500" s="191" t="s">
        <v>535</v>
      </c>
      <c r="G500" s="193"/>
      <c r="H500" s="193"/>
      <c r="I500" s="193"/>
      <c r="J500" s="193"/>
      <c r="K500" s="193"/>
      <c r="L500" s="193"/>
      <c r="M500" s="193"/>
      <c r="N500" s="193"/>
      <c r="O500" s="193"/>
      <c r="P500" s="193"/>
      <c r="Q500" s="193"/>
      <c r="R500" s="193"/>
      <c r="S500" s="193"/>
      <c r="T500" s="193"/>
      <c r="U500" s="193"/>
      <c r="V500" s="193"/>
    </row>
    <row r="501" spans="1:22" s="191" customFormat="1">
      <c r="A501" s="193" t="s">
        <v>546</v>
      </c>
      <c r="B501" s="193">
        <v>1995</v>
      </c>
      <c r="C501" s="196">
        <v>104.806</v>
      </c>
      <c r="D501" s="196">
        <v>2.1</v>
      </c>
      <c r="E501" s="191" t="s">
        <v>535</v>
      </c>
      <c r="G501" s="193"/>
      <c r="H501" s="193"/>
      <c r="I501" s="193"/>
      <c r="J501" s="193"/>
      <c r="K501" s="193"/>
      <c r="L501" s="193"/>
      <c r="M501" s="193"/>
      <c r="N501" s="193"/>
      <c r="O501" s="193"/>
      <c r="P501" s="193"/>
      <c r="Q501" s="193"/>
      <c r="R501" s="193"/>
      <c r="S501" s="193"/>
      <c r="T501" s="193"/>
      <c r="U501" s="193"/>
      <c r="V501" s="193"/>
    </row>
    <row r="502" spans="1:22" s="191" customFormat="1">
      <c r="A502" s="193" t="s">
        <v>546</v>
      </c>
      <c r="B502" s="193">
        <v>1996</v>
      </c>
      <c r="C502" s="196">
        <v>108.105</v>
      </c>
      <c r="D502" s="196">
        <v>2.3580000000000001</v>
      </c>
      <c r="E502" s="191" t="s">
        <v>535</v>
      </c>
      <c r="G502" s="193"/>
      <c r="H502" s="193"/>
      <c r="I502" s="193"/>
      <c r="J502" s="193"/>
      <c r="K502" s="193"/>
      <c r="L502" s="193"/>
      <c r="M502" s="193"/>
      <c r="N502" s="193"/>
      <c r="O502" s="193"/>
      <c r="P502" s="193"/>
      <c r="Q502" s="193"/>
      <c r="R502" s="193"/>
      <c r="S502" s="193"/>
      <c r="T502" s="193"/>
      <c r="U502" s="193"/>
      <c r="V502" s="193"/>
    </row>
    <row r="503" spans="1:22" s="191" customFormat="1">
      <c r="A503" s="193" t="s">
        <v>546</v>
      </c>
      <c r="B503" s="193">
        <v>1997</v>
      </c>
      <c r="C503" s="196">
        <v>105.22</v>
      </c>
      <c r="D503" s="196">
        <v>3.6379999999999999</v>
      </c>
      <c r="E503" s="191" t="s">
        <v>535</v>
      </c>
      <c r="G503" s="193"/>
      <c r="H503" s="193"/>
      <c r="I503" s="193"/>
      <c r="J503" s="193"/>
      <c r="K503" s="193"/>
      <c r="L503" s="193"/>
      <c r="M503" s="193"/>
      <c r="N503" s="193"/>
      <c r="O503" s="193"/>
      <c r="P503" s="193"/>
      <c r="Q503" s="193"/>
      <c r="R503" s="193"/>
      <c r="S503" s="193"/>
      <c r="T503" s="193"/>
      <c r="U503" s="193"/>
      <c r="V503" s="193"/>
    </row>
    <row r="504" spans="1:22" s="191" customFormat="1">
      <c r="A504" s="193" t="s">
        <v>546</v>
      </c>
      <c r="B504" s="193">
        <v>1998</v>
      </c>
      <c r="C504" s="196">
        <v>103.746</v>
      </c>
      <c r="D504" s="196">
        <v>3.3639999999999999</v>
      </c>
      <c r="E504" s="191" t="s">
        <v>535</v>
      </c>
      <c r="G504" s="193"/>
      <c r="H504" s="193"/>
      <c r="I504" s="193"/>
      <c r="J504" s="193"/>
      <c r="K504" s="193"/>
      <c r="L504" s="193"/>
      <c r="M504" s="193"/>
      <c r="N504" s="193"/>
      <c r="O504" s="193"/>
      <c r="P504" s="193"/>
      <c r="Q504" s="193"/>
      <c r="R504" s="193"/>
      <c r="S504" s="193"/>
      <c r="T504" s="193"/>
      <c r="U504" s="193"/>
      <c r="V504" s="193"/>
    </row>
    <row r="505" spans="1:22" s="191" customFormat="1">
      <c r="A505" s="193" t="s">
        <v>546</v>
      </c>
      <c r="B505" s="193">
        <v>1999</v>
      </c>
      <c r="C505" s="196">
        <v>103.56100000000001</v>
      </c>
      <c r="D505" s="196">
        <v>3.42</v>
      </c>
      <c r="E505" s="191" t="s">
        <v>535</v>
      </c>
      <c r="G505" s="193"/>
      <c r="H505" s="193"/>
      <c r="I505" s="193"/>
      <c r="J505" s="193"/>
      <c r="K505" s="193"/>
      <c r="L505" s="193"/>
      <c r="M505" s="193"/>
      <c r="N505" s="193"/>
      <c r="O505" s="193"/>
      <c r="P505" s="193"/>
      <c r="Q505" s="193"/>
      <c r="R505" s="193"/>
      <c r="S505" s="193"/>
      <c r="T505" s="193"/>
      <c r="U505" s="193"/>
      <c r="V505" s="193"/>
    </row>
    <row r="506" spans="1:22" s="191" customFormat="1">
      <c r="A506" s="193" t="s">
        <v>546</v>
      </c>
      <c r="B506" s="193">
        <v>2000</v>
      </c>
      <c r="C506" s="196">
        <v>108.926</v>
      </c>
      <c r="D506" s="196">
        <v>4.4770000000000003</v>
      </c>
      <c r="E506" s="191" t="s">
        <v>535</v>
      </c>
      <c r="G506" s="193"/>
      <c r="H506" s="193"/>
      <c r="I506" s="193"/>
      <c r="J506" s="193"/>
      <c r="K506" s="193"/>
      <c r="L506" s="193"/>
      <c r="M506" s="193"/>
      <c r="N506" s="193"/>
      <c r="O506" s="193"/>
      <c r="P506" s="193"/>
      <c r="Q506" s="193"/>
      <c r="R506" s="193"/>
      <c r="S506" s="193"/>
      <c r="T506" s="193"/>
      <c r="U506" s="193"/>
      <c r="V506" s="193"/>
    </row>
    <row r="507" spans="1:22" s="191" customFormat="1">
      <c r="A507" s="193" t="s">
        <v>546</v>
      </c>
      <c r="B507" s="193">
        <v>2001</v>
      </c>
      <c r="C507" s="196">
        <v>109.684</v>
      </c>
      <c r="D507" s="196">
        <v>4.1970000000000001</v>
      </c>
      <c r="E507" s="191" t="s">
        <v>535</v>
      </c>
      <c r="G507" s="193"/>
      <c r="H507" s="193"/>
      <c r="I507" s="193"/>
      <c r="J507" s="193"/>
      <c r="K507" s="193"/>
      <c r="L507" s="193"/>
      <c r="M507" s="193"/>
      <c r="N507" s="193"/>
      <c r="O507" s="193"/>
      <c r="P507" s="193"/>
      <c r="Q507" s="193"/>
      <c r="R507" s="193"/>
      <c r="S507" s="193"/>
      <c r="T507" s="193"/>
      <c r="U507" s="193"/>
      <c r="V507" s="193"/>
    </row>
    <row r="508" spans="1:22" s="191" customFormat="1">
      <c r="A508" s="193" t="s">
        <v>546</v>
      </c>
      <c r="B508" s="193">
        <v>2002</v>
      </c>
      <c r="C508" s="196">
        <v>109.199</v>
      </c>
      <c r="D508" s="196">
        <v>3.4390000000000001</v>
      </c>
      <c r="E508" s="191" t="s">
        <v>535</v>
      </c>
      <c r="G508" s="193"/>
      <c r="H508" s="193"/>
      <c r="I508" s="193"/>
      <c r="J508" s="193"/>
      <c r="K508" s="193"/>
      <c r="L508" s="193"/>
      <c r="M508" s="193"/>
      <c r="N508" s="193"/>
      <c r="O508" s="193"/>
      <c r="P508" s="193"/>
      <c r="Q508" s="193"/>
      <c r="R508" s="193"/>
      <c r="S508" s="193"/>
      <c r="T508" s="193"/>
      <c r="U508" s="193"/>
      <c r="V508" s="193"/>
    </row>
    <row r="509" spans="1:22" s="191" customFormat="1">
      <c r="A509" s="193" t="s">
        <v>546</v>
      </c>
      <c r="B509" s="193">
        <v>2003</v>
      </c>
      <c r="C509" s="196">
        <v>106.407</v>
      </c>
      <c r="D509" s="196">
        <v>5.5819999999999999</v>
      </c>
      <c r="E509" s="191" t="s">
        <v>535</v>
      </c>
      <c r="G509" s="193"/>
      <c r="H509" s="193"/>
      <c r="I509" s="193"/>
      <c r="J509" s="193"/>
      <c r="K509" s="193"/>
      <c r="L509" s="193"/>
      <c r="M509" s="193"/>
      <c r="N509" s="193"/>
      <c r="O509" s="193"/>
      <c r="P509" s="193"/>
      <c r="Q509" s="193"/>
      <c r="R509" s="193"/>
      <c r="S509" s="193"/>
      <c r="T509" s="193"/>
      <c r="U509" s="193"/>
      <c r="V509" s="193"/>
    </row>
    <row r="510" spans="1:22" s="191" customFormat="1">
      <c r="A510" s="193" t="s">
        <v>546</v>
      </c>
      <c r="B510" s="193">
        <v>2004</v>
      </c>
      <c r="C510" s="196">
        <v>108.282</v>
      </c>
      <c r="D510" s="196">
        <v>4.9160000000000004</v>
      </c>
      <c r="E510" s="191" t="s">
        <v>535</v>
      </c>
      <c r="G510" s="193"/>
      <c r="H510" s="193"/>
      <c r="I510" s="193"/>
      <c r="J510" s="193"/>
      <c r="K510" s="193"/>
      <c r="L510" s="193"/>
      <c r="M510" s="193"/>
      <c r="N510" s="193"/>
      <c r="O510" s="193"/>
      <c r="P510" s="193"/>
      <c r="Q510" s="193"/>
      <c r="R510" s="193"/>
      <c r="S510" s="193"/>
      <c r="T510" s="193"/>
      <c r="U510" s="193"/>
      <c r="V510" s="193"/>
    </row>
    <row r="511" spans="1:22" s="191" customFormat="1">
      <c r="A511" s="193" t="s">
        <v>546</v>
      </c>
      <c r="B511" s="193">
        <v>2005</v>
      </c>
      <c r="C511" s="196">
        <v>108.991</v>
      </c>
      <c r="D511" s="196">
        <v>2.8980000000000001</v>
      </c>
      <c r="E511" s="191" t="s">
        <v>535</v>
      </c>
      <c r="G511" s="193"/>
      <c r="H511" s="193"/>
      <c r="I511" s="193"/>
      <c r="J511" s="193"/>
      <c r="K511" s="193"/>
      <c r="L511" s="193"/>
      <c r="M511" s="193"/>
      <c r="N511" s="193"/>
      <c r="O511" s="193"/>
      <c r="P511" s="193"/>
      <c r="Q511" s="193"/>
      <c r="R511" s="193"/>
      <c r="S511" s="193"/>
      <c r="T511" s="193"/>
      <c r="U511" s="193"/>
      <c r="V511" s="193"/>
    </row>
    <row r="512" spans="1:22" s="191" customFormat="1">
      <c r="A512" s="193" t="s">
        <v>546</v>
      </c>
      <c r="B512" s="193">
        <v>2006</v>
      </c>
      <c r="C512" s="196">
        <v>106.10299999999999</v>
      </c>
      <c r="D512" s="196">
        <v>4.4969999999999999</v>
      </c>
      <c r="E512" s="191" t="s">
        <v>535</v>
      </c>
      <c r="G512" s="193"/>
      <c r="H512" s="193"/>
      <c r="I512" s="193"/>
      <c r="J512" s="193"/>
      <c r="K512" s="193"/>
      <c r="L512" s="193"/>
      <c r="M512" s="193"/>
      <c r="N512" s="193"/>
      <c r="O512" s="193"/>
      <c r="P512" s="193"/>
      <c r="Q512" s="193"/>
      <c r="R512" s="193"/>
      <c r="S512" s="193"/>
      <c r="T512" s="193"/>
      <c r="U512" s="193"/>
      <c r="V512" s="193"/>
    </row>
    <row r="513" spans="1:22" s="191" customFormat="1">
      <c r="A513" s="193" t="s">
        <v>546</v>
      </c>
      <c r="B513" s="193">
        <v>2007</v>
      </c>
      <c r="C513" s="196">
        <v>105.03</v>
      </c>
      <c r="D513" s="196">
        <v>4.0359999999999996</v>
      </c>
      <c r="E513" s="191" t="s">
        <v>535</v>
      </c>
      <c r="G513" s="193"/>
      <c r="H513" s="193"/>
      <c r="I513" s="193"/>
      <c r="J513" s="193"/>
      <c r="K513" s="193"/>
      <c r="L513" s="193"/>
      <c r="M513" s="193"/>
      <c r="N513" s="193"/>
      <c r="O513" s="193"/>
      <c r="P513" s="193"/>
      <c r="Q513" s="193"/>
      <c r="R513" s="193"/>
      <c r="S513" s="193"/>
      <c r="T513" s="193"/>
      <c r="U513" s="193"/>
      <c r="V513" s="193"/>
    </row>
    <row r="514" spans="1:22" s="191" customFormat="1">
      <c r="A514" s="193" t="s">
        <v>546</v>
      </c>
      <c r="B514" s="193">
        <v>2008</v>
      </c>
      <c r="C514" s="196">
        <v>107.872</v>
      </c>
      <c r="D514" s="196">
        <v>2.9329999999999998</v>
      </c>
      <c r="E514" s="191" t="s">
        <v>535</v>
      </c>
      <c r="G514" s="193"/>
      <c r="H514" s="193"/>
      <c r="I514" s="193"/>
      <c r="J514" s="193"/>
      <c r="K514" s="193"/>
      <c r="L514" s="193"/>
      <c r="M514" s="193"/>
      <c r="N514" s="193"/>
      <c r="O514" s="193"/>
      <c r="P514" s="193"/>
      <c r="Q514" s="193"/>
      <c r="R514" s="193"/>
      <c r="S514" s="193"/>
      <c r="T514" s="193"/>
      <c r="U514" s="193"/>
      <c r="V514" s="193"/>
    </row>
    <row r="515" spans="1:22" s="191" customFormat="1">
      <c r="A515" s="193" t="s">
        <v>546</v>
      </c>
      <c r="B515" s="193">
        <v>2009</v>
      </c>
      <c r="C515" s="196">
        <v>100</v>
      </c>
      <c r="D515" s="196">
        <v>-0.753</v>
      </c>
      <c r="E515" s="191" t="s">
        <v>535</v>
      </c>
      <c r="G515" s="193"/>
      <c r="H515" s="193"/>
      <c r="I515" s="193"/>
      <c r="J515" s="193"/>
      <c r="K515" s="193"/>
      <c r="L515" s="193"/>
      <c r="M515" s="193"/>
      <c r="N515" s="193"/>
      <c r="O515" s="193"/>
      <c r="P515" s="193"/>
      <c r="Q515" s="193"/>
      <c r="R515" s="193"/>
      <c r="S515" s="193"/>
      <c r="T515" s="193"/>
      <c r="U515" s="193"/>
      <c r="V515" s="193"/>
    </row>
    <row r="516" spans="1:22" s="191" customFormat="1">
      <c r="A516" s="193" t="s">
        <v>547</v>
      </c>
      <c r="B516" s="193">
        <v>1947</v>
      </c>
      <c r="C516" s="196">
        <v>20.590530728046101</v>
      </c>
      <c r="D516" s="196">
        <v>1.8947368421052599</v>
      </c>
      <c r="E516" s="191" t="s">
        <v>536</v>
      </c>
      <c r="G516" s="193"/>
      <c r="H516" s="193"/>
      <c r="I516" s="193"/>
      <c r="J516" s="193"/>
      <c r="K516" s="193"/>
      <c r="L516" s="193"/>
      <c r="M516" s="193"/>
      <c r="N516" s="193"/>
      <c r="O516" s="193"/>
      <c r="P516" s="193"/>
      <c r="Q516" s="193"/>
      <c r="R516" s="193"/>
      <c r="S516" s="193"/>
      <c r="T516" s="193"/>
      <c r="U516" s="193"/>
      <c r="V516" s="193"/>
    </row>
    <row r="517" spans="1:22" s="191" customFormat="1">
      <c r="A517" s="193" t="s">
        <v>547</v>
      </c>
      <c r="B517" s="193">
        <v>1948</v>
      </c>
      <c r="C517" s="196">
        <v>21.017088509657501</v>
      </c>
      <c r="D517" s="196">
        <v>4.8608090474119301</v>
      </c>
      <c r="E517" s="191" t="s">
        <v>536</v>
      </c>
      <c r="G517" s="193"/>
      <c r="H517" s="193"/>
      <c r="I517" s="193"/>
      <c r="J517" s="193"/>
      <c r="K517" s="193"/>
      <c r="L517" s="193"/>
      <c r="M517" s="193"/>
      <c r="N517" s="193"/>
      <c r="O517" s="193"/>
      <c r="P517" s="193"/>
      <c r="Q517" s="193"/>
      <c r="R517" s="193"/>
      <c r="S517" s="193"/>
      <c r="T517" s="193"/>
      <c r="U517" s="193"/>
      <c r="V517" s="193"/>
    </row>
    <row r="518" spans="1:22" s="191" customFormat="1">
      <c r="A518" s="193" t="s">
        <v>547</v>
      </c>
      <c r="B518" s="193">
        <v>1949</v>
      </c>
      <c r="C518" s="196">
        <v>27.543229960148398</v>
      </c>
      <c r="D518" s="196">
        <v>5.2369594524525498</v>
      </c>
      <c r="E518" s="191" t="s">
        <v>536</v>
      </c>
      <c r="G518" s="193"/>
      <c r="H518" s="193"/>
      <c r="I518" s="193"/>
      <c r="J518" s="193"/>
      <c r="K518" s="193"/>
      <c r="L518" s="193"/>
      <c r="M518" s="193"/>
      <c r="N518" s="193"/>
      <c r="O518" s="193"/>
      <c r="P518" s="193"/>
      <c r="Q518" s="193"/>
      <c r="R518" s="193"/>
      <c r="S518" s="193"/>
      <c r="T518" s="193"/>
      <c r="U518" s="193"/>
      <c r="V518" s="193"/>
    </row>
    <row r="519" spans="1:22" s="191" customFormat="1">
      <c r="A519" s="193" t="s">
        <v>547</v>
      </c>
      <c r="B519" s="193">
        <v>1950</v>
      </c>
      <c r="C519" s="196">
        <v>37.684479287297599</v>
      </c>
      <c r="D519" s="196">
        <v>0.81789515175403305</v>
      </c>
      <c r="E519" s="191" t="s">
        <v>537</v>
      </c>
      <c r="G519" s="193"/>
      <c r="H519" s="193"/>
      <c r="I519" s="193"/>
      <c r="J519" s="193"/>
      <c r="K519" s="193"/>
      <c r="L519" s="193"/>
      <c r="M519" s="193"/>
      <c r="N519" s="193"/>
      <c r="O519" s="193"/>
      <c r="P519" s="193"/>
      <c r="Q519" s="193"/>
      <c r="R519" s="193"/>
      <c r="S519" s="193"/>
      <c r="T519" s="193"/>
      <c r="U519" s="193"/>
      <c r="V519" s="193"/>
    </row>
    <row r="520" spans="1:22" s="191" customFormat="1">
      <c r="A520" s="193" t="s">
        <v>547</v>
      </c>
      <c r="B520" s="193">
        <v>1951</v>
      </c>
      <c r="C520" s="196">
        <v>45.606414632627299</v>
      </c>
      <c r="D520" s="196">
        <v>2.5119734141335202</v>
      </c>
      <c r="E520" s="191" t="s">
        <v>537</v>
      </c>
      <c r="G520" s="193"/>
      <c r="H520" s="193"/>
      <c r="I520" s="193"/>
      <c r="J520" s="193"/>
      <c r="K520" s="193"/>
      <c r="L520" s="193"/>
      <c r="M520" s="193"/>
      <c r="N520" s="193"/>
      <c r="O520" s="193"/>
      <c r="P520" s="193"/>
      <c r="Q520" s="193"/>
      <c r="R520" s="193"/>
      <c r="S520" s="193"/>
      <c r="T520" s="193"/>
      <c r="U520" s="193"/>
      <c r="V520" s="193"/>
    </row>
    <row r="521" spans="1:22" s="191" customFormat="1">
      <c r="A521" s="193" t="s">
        <v>547</v>
      </c>
      <c r="B521" s="193">
        <v>1952</v>
      </c>
      <c r="C521" s="196">
        <v>47.428865452534403</v>
      </c>
      <c r="D521" s="196">
        <v>2.52669717772693</v>
      </c>
      <c r="E521" s="191" t="s">
        <v>537</v>
      </c>
      <c r="G521" s="193"/>
      <c r="H521" s="193"/>
      <c r="I521" s="193"/>
      <c r="J521" s="193"/>
      <c r="K521" s="193"/>
      <c r="L521" s="193"/>
      <c r="M521" s="193"/>
      <c r="N521" s="193"/>
      <c r="O521" s="193"/>
      <c r="P521" s="193"/>
      <c r="Q521" s="193"/>
      <c r="R521" s="193"/>
      <c r="S521" s="193"/>
      <c r="T521" s="193"/>
      <c r="U521" s="193"/>
      <c r="V521" s="193"/>
    </row>
    <row r="522" spans="1:22" s="191" customFormat="1">
      <c r="A522" s="193" t="s">
        <v>547</v>
      </c>
      <c r="B522" s="193">
        <v>1953</v>
      </c>
      <c r="C522" s="196">
        <v>49.222756791946502</v>
      </c>
      <c r="D522" s="196">
        <v>2.6969217892680999</v>
      </c>
      <c r="E522" s="191" t="s">
        <v>537</v>
      </c>
      <c r="G522" s="193"/>
      <c r="H522" s="193"/>
      <c r="I522" s="193"/>
      <c r="J522" s="193"/>
      <c r="K522" s="193"/>
      <c r="L522" s="193"/>
      <c r="M522" s="193"/>
      <c r="N522" s="193"/>
      <c r="O522" s="193"/>
      <c r="P522" s="193"/>
      <c r="Q522" s="193"/>
      <c r="R522" s="193"/>
      <c r="S522" s="193"/>
      <c r="T522" s="193"/>
      <c r="U522" s="193"/>
      <c r="V522" s="193"/>
    </row>
    <row r="523" spans="1:22" s="191" customFormat="1">
      <c r="A523" s="193" t="s">
        <v>547</v>
      </c>
      <c r="B523" s="193">
        <v>1954</v>
      </c>
      <c r="C523" s="196">
        <v>55.983426375468497</v>
      </c>
      <c r="D523" s="196">
        <v>0.89649551752242196</v>
      </c>
      <c r="E523" s="191" t="s">
        <v>537</v>
      </c>
      <c r="G523" s="193"/>
      <c r="H523" s="193"/>
      <c r="I523" s="193"/>
      <c r="J523" s="193"/>
      <c r="K523" s="193"/>
      <c r="L523" s="193"/>
      <c r="M523" s="193"/>
      <c r="N523" s="193"/>
      <c r="O523" s="193"/>
      <c r="P523" s="193"/>
      <c r="Q523" s="193"/>
      <c r="R523" s="193"/>
      <c r="S523" s="193"/>
      <c r="T523" s="193"/>
      <c r="U523" s="193"/>
      <c r="V523" s="193"/>
    </row>
    <row r="524" spans="1:22" s="191" customFormat="1">
      <c r="A524" s="193" t="s">
        <v>547</v>
      </c>
      <c r="B524" s="193">
        <v>1955</v>
      </c>
      <c r="C524" s="196">
        <v>63.8198680452563</v>
      </c>
      <c r="D524" s="196">
        <v>2.6027643152037401</v>
      </c>
      <c r="E524" s="191" t="s">
        <v>538</v>
      </c>
      <c r="G524" s="193"/>
      <c r="H524" s="193"/>
      <c r="I524" s="193"/>
      <c r="J524" s="193"/>
      <c r="K524" s="193"/>
      <c r="L524" s="193"/>
      <c r="M524" s="193"/>
      <c r="N524" s="193"/>
      <c r="O524" s="193"/>
      <c r="P524" s="193"/>
      <c r="Q524" s="193"/>
      <c r="R524" s="193"/>
      <c r="S524" s="193"/>
      <c r="T524" s="193"/>
      <c r="U524" s="193"/>
      <c r="V524" s="193"/>
    </row>
    <row r="525" spans="1:22" s="191" customFormat="1">
      <c r="A525" s="193" t="s">
        <v>547</v>
      </c>
      <c r="B525" s="193">
        <v>1956</v>
      </c>
      <c r="C525" s="196">
        <v>67.314450614522997</v>
      </c>
      <c r="D525" s="196">
        <v>-1.3033589923023099</v>
      </c>
      <c r="E525" s="191" t="s">
        <v>538</v>
      </c>
      <c r="G525" s="193"/>
      <c r="H525" s="193"/>
      <c r="I525" s="193"/>
      <c r="J525" s="193"/>
      <c r="K525" s="193"/>
      <c r="L525" s="193"/>
      <c r="M525" s="193"/>
      <c r="N525" s="193"/>
      <c r="O525" s="193"/>
      <c r="P525" s="193"/>
      <c r="Q525" s="193"/>
      <c r="R525" s="193"/>
      <c r="S525" s="193"/>
      <c r="T525" s="193"/>
      <c r="U525" s="193"/>
      <c r="V525" s="193"/>
    </row>
    <row r="526" spans="1:22" s="191" customFormat="1">
      <c r="A526" s="193" t="s">
        <v>547</v>
      </c>
      <c r="B526" s="193">
        <v>1957</v>
      </c>
      <c r="C526" s="196">
        <v>70.149163804752902</v>
      </c>
      <c r="D526" s="196">
        <v>-0.150669148276172</v>
      </c>
      <c r="E526" s="191" t="s">
        <v>538</v>
      </c>
      <c r="G526" s="193"/>
      <c r="H526" s="193"/>
      <c r="I526" s="193"/>
      <c r="J526" s="193"/>
      <c r="K526" s="193"/>
      <c r="L526" s="193"/>
      <c r="M526" s="193"/>
      <c r="N526" s="193"/>
      <c r="O526" s="193"/>
      <c r="P526" s="193"/>
      <c r="Q526" s="193"/>
      <c r="R526" s="193"/>
      <c r="S526" s="193"/>
      <c r="T526" s="193"/>
      <c r="U526" s="193"/>
      <c r="V526" s="193"/>
    </row>
    <row r="527" spans="1:22" s="191" customFormat="1">
      <c r="A527" s="193" t="s">
        <v>547</v>
      </c>
      <c r="B527" s="193">
        <v>1958</v>
      </c>
      <c r="C527" s="196">
        <v>72.794230814560507</v>
      </c>
      <c r="D527" s="196">
        <v>-2.0592934493165198</v>
      </c>
      <c r="E527" s="191" t="s">
        <v>538</v>
      </c>
      <c r="G527" s="193"/>
      <c r="H527" s="193"/>
      <c r="I527" s="193"/>
      <c r="J527" s="193"/>
      <c r="K527" s="193"/>
      <c r="L527" s="193"/>
      <c r="M527" s="193"/>
      <c r="N527" s="193"/>
      <c r="O527" s="193"/>
      <c r="P527" s="193"/>
      <c r="Q527" s="193"/>
      <c r="R527" s="193"/>
      <c r="S527" s="193"/>
      <c r="T527" s="193"/>
      <c r="U527" s="193"/>
      <c r="V527" s="193"/>
    </row>
    <row r="528" spans="1:22" s="191" customFormat="1">
      <c r="A528" s="193" t="s">
        <v>547</v>
      </c>
      <c r="B528" s="193">
        <v>1959</v>
      </c>
      <c r="C528" s="196">
        <v>70.336696455056398</v>
      </c>
      <c r="D528" s="196">
        <v>4.0511147362697102</v>
      </c>
      <c r="E528" s="191" t="s">
        <v>538</v>
      </c>
      <c r="G528" s="193"/>
      <c r="H528" s="193"/>
      <c r="I528" s="193"/>
      <c r="J528" s="193"/>
      <c r="K528" s="193"/>
      <c r="L528" s="193"/>
      <c r="M528" s="193"/>
      <c r="N528" s="193"/>
      <c r="O528" s="193"/>
      <c r="P528" s="193"/>
      <c r="Q528" s="193"/>
      <c r="R528" s="193"/>
      <c r="S528" s="193"/>
      <c r="T528" s="193"/>
      <c r="U528" s="193"/>
      <c r="V528" s="193"/>
    </row>
    <row r="529" spans="1:22" s="191" customFormat="1">
      <c r="A529" s="193" t="s">
        <v>547</v>
      </c>
      <c r="B529" s="193">
        <v>1960</v>
      </c>
      <c r="C529" s="196">
        <v>73.639081134041803</v>
      </c>
      <c r="D529" s="196">
        <v>5.6266875707691</v>
      </c>
      <c r="E529" s="191" t="s">
        <v>538</v>
      </c>
      <c r="G529" s="193"/>
      <c r="H529" s="193"/>
      <c r="I529" s="193"/>
      <c r="J529" s="193"/>
      <c r="K529" s="193"/>
      <c r="L529" s="193"/>
      <c r="M529" s="193"/>
      <c r="N529" s="193"/>
      <c r="O529" s="193"/>
      <c r="P529" s="193"/>
      <c r="Q529" s="193"/>
      <c r="R529" s="193"/>
      <c r="S529" s="193"/>
      <c r="T529" s="193"/>
      <c r="U529" s="193"/>
      <c r="V529" s="193"/>
    </row>
    <row r="530" spans="1:22" s="191" customFormat="1">
      <c r="A530" s="193" t="s">
        <v>547</v>
      </c>
      <c r="B530" s="193">
        <v>1961</v>
      </c>
      <c r="C530" s="196">
        <v>73.660388546967795</v>
      </c>
      <c r="D530" s="196">
        <v>4.7744701904840499</v>
      </c>
      <c r="E530" s="191" t="s">
        <v>538</v>
      </c>
      <c r="G530" s="193"/>
      <c r="H530" s="193"/>
      <c r="I530" s="193"/>
      <c r="J530" s="193"/>
      <c r="K530" s="193"/>
      <c r="L530" s="193"/>
      <c r="M530" s="193"/>
      <c r="N530" s="193"/>
      <c r="O530" s="193"/>
      <c r="P530" s="193"/>
      <c r="Q530" s="193"/>
      <c r="R530" s="193"/>
      <c r="S530" s="193"/>
      <c r="T530" s="193"/>
      <c r="U530" s="193"/>
      <c r="V530" s="193"/>
    </row>
    <row r="531" spans="1:22" s="191" customFormat="1">
      <c r="A531" s="193" t="s">
        <v>547</v>
      </c>
      <c r="B531" s="193">
        <v>1962</v>
      </c>
      <c r="C531" s="196">
        <v>73.513124821433706</v>
      </c>
      <c r="D531" s="196">
        <v>3.2583031638595998</v>
      </c>
      <c r="E531" s="191" t="s">
        <v>538</v>
      </c>
      <c r="G531" s="193"/>
      <c r="H531" s="193"/>
      <c r="I531" s="193"/>
      <c r="J531" s="193"/>
      <c r="K531" s="193"/>
      <c r="L531" s="193"/>
      <c r="M531" s="193"/>
      <c r="N531" s="193"/>
      <c r="O531" s="193"/>
      <c r="P531" s="193"/>
      <c r="Q531" s="193"/>
      <c r="R531" s="193"/>
      <c r="S531" s="193"/>
      <c r="T531" s="193"/>
      <c r="U531" s="193"/>
      <c r="V531" s="193"/>
    </row>
    <row r="532" spans="1:22" s="191" customFormat="1">
      <c r="A532" s="193" t="s">
        <v>547</v>
      </c>
      <c r="B532" s="193">
        <v>1963</v>
      </c>
      <c r="C532" s="196">
        <v>74.475065290139099</v>
      </c>
      <c r="D532" s="196">
        <v>4.7332317073170804</v>
      </c>
      <c r="E532" s="191" t="s">
        <v>538</v>
      </c>
      <c r="G532" s="193"/>
      <c r="H532" s="193"/>
      <c r="I532" s="193"/>
      <c r="J532" s="193"/>
      <c r="K532" s="193"/>
      <c r="L532" s="193"/>
      <c r="M532" s="193"/>
      <c r="N532" s="193"/>
      <c r="O532" s="193"/>
      <c r="P532" s="193"/>
      <c r="Q532" s="193"/>
      <c r="R532" s="193"/>
      <c r="S532" s="193"/>
      <c r="T532" s="193"/>
      <c r="U532" s="193"/>
      <c r="V532" s="193"/>
    </row>
    <row r="533" spans="1:22" s="191" customFormat="1">
      <c r="A533" s="193" t="s">
        <v>547</v>
      </c>
      <c r="B533" s="193">
        <v>1964</v>
      </c>
      <c r="C533" s="196">
        <v>70.889501535793499</v>
      </c>
      <c r="D533" s="196">
        <v>3.91529000800523</v>
      </c>
      <c r="E533" s="191" t="s">
        <v>538</v>
      </c>
      <c r="G533" s="193"/>
      <c r="H533" s="193"/>
      <c r="I533" s="193"/>
      <c r="J533" s="193"/>
      <c r="K533" s="193"/>
      <c r="L533" s="193"/>
      <c r="M533" s="193"/>
      <c r="N533" s="193"/>
      <c r="O533" s="193"/>
      <c r="P533" s="193"/>
      <c r="Q533" s="193"/>
      <c r="R533" s="193"/>
      <c r="S533" s="193"/>
      <c r="T533" s="193"/>
      <c r="U533" s="193"/>
      <c r="V533" s="193"/>
    </row>
    <row r="534" spans="1:22" s="191" customFormat="1">
      <c r="A534" s="193" t="s">
        <v>547</v>
      </c>
      <c r="B534" s="193">
        <v>1965</v>
      </c>
      <c r="C534" s="196">
        <v>73.418363953061501</v>
      </c>
      <c r="D534" s="196">
        <v>1.7438195952097499</v>
      </c>
      <c r="E534" s="191" t="s">
        <v>538</v>
      </c>
      <c r="G534" s="193"/>
      <c r="H534" s="193"/>
      <c r="I534" s="193"/>
      <c r="J534" s="193"/>
      <c r="K534" s="193"/>
      <c r="L534" s="193"/>
      <c r="M534" s="193"/>
      <c r="N534" s="193"/>
      <c r="O534" s="193"/>
      <c r="P534" s="193"/>
      <c r="Q534" s="193"/>
      <c r="R534" s="193"/>
      <c r="S534" s="193"/>
      <c r="T534" s="193"/>
      <c r="U534" s="193"/>
      <c r="V534" s="193"/>
    </row>
    <row r="535" spans="1:22" s="191" customFormat="1">
      <c r="A535" s="193" t="s">
        <v>547</v>
      </c>
      <c r="B535" s="193">
        <v>1966</v>
      </c>
      <c r="C535" s="196">
        <v>78.054638246772697</v>
      </c>
      <c r="D535" s="196">
        <v>0.853524229074898</v>
      </c>
      <c r="E535" s="191" t="s">
        <v>538</v>
      </c>
      <c r="G535" s="193"/>
      <c r="H535" s="193"/>
      <c r="I535" s="193"/>
      <c r="J535" s="193"/>
      <c r="K535" s="193"/>
      <c r="L535" s="193"/>
      <c r="M535" s="193"/>
      <c r="N535" s="193"/>
      <c r="O535" s="193"/>
      <c r="P535" s="193"/>
      <c r="Q535" s="193"/>
      <c r="R535" s="193"/>
      <c r="S535" s="193"/>
      <c r="T535" s="193"/>
      <c r="U535" s="193"/>
      <c r="V535" s="193"/>
    </row>
    <row r="536" spans="1:22" s="191" customFormat="1">
      <c r="A536" s="193" t="s">
        <v>547</v>
      </c>
      <c r="B536" s="193">
        <v>1967</v>
      </c>
      <c r="C536" s="196">
        <v>76.972958165660998</v>
      </c>
      <c r="D536" s="196">
        <v>5.9309309309309297</v>
      </c>
      <c r="E536" s="191" t="s">
        <v>538</v>
      </c>
      <c r="G536" s="193"/>
      <c r="H536" s="193"/>
      <c r="I536" s="193"/>
      <c r="J536" s="193"/>
      <c r="K536" s="193"/>
      <c r="L536" s="193"/>
      <c r="M536" s="193"/>
      <c r="N536" s="193"/>
      <c r="O536" s="193"/>
      <c r="P536" s="193"/>
      <c r="Q536" s="193"/>
      <c r="R536" s="193"/>
      <c r="S536" s="193"/>
      <c r="T536" s="193"/>
      <c r="U536" s="193"/>
      <c r="V536" s="193"/>
    </row>
    <row r="537" spans="1:22" s="191" customFormat="1">
      <c r="A537" s="193" t="s">
        <v>547</v>
      </c>
      <c r="B537" s="193">
        <v>1968</v>
      </c>
      <c r="C537" s="196">
        <v>66.104765615906601</v>
      </c>
      <c r="D537" s="196">
        <v>8.2662199600541193</v>
      </c>
      <c r="E537" s="191" t="s">
        <v>538</v>
      </c>
      <c r="G537" s="193"/>
      <c r="H537" s="193"/>
      <c r="I537" s="193"/>
      <c r="J537" s="193"/>
      <c r="K537" s="193"/>
      <c r="L537" s="193"/>
      <c r="M537" s="193"/>
      <c r="N537" s="193"/>
      <c r="O537" s="193"/>
      <c r="P537" s="193"/>
      <c r="Q537" s="193"/>
      <c r="R537" s="193"/>
      <c r="S537" s="193"/>
      <c r="T537" s="193"/>
      <c r="U537" s="193"/>
      <c r="V537" s="193"/>
    </row>
    <row r="538" spans="1:22" s="191" customFormat="1">
      <c r="A538" s="193" t="s">
        <v>547</v>
      </c>
      <c r="B538" s="193">
        <v>1969</v>
      </c>
      <c r="C538" s="196">
        <v>63.585673342706002</v>
      </c>
      <c r="D538" s="196">
        <v>6.0164246607950398</v>
      </c>
      <c r="E538" s="191" t="s">
        <v>538</v>
      </c>
      <c r="G538" s="193"/>
      <c r="H538" s="193"/>
      <c r="I538" s="193"/>
      <c r="J538" s="193"/>
      <c r="K538" s="193"/>
      <c r="L538" s="193"/>
      <c r="M538" s="193"/>
      <c r="N538" s="193"/>
      <c r="O538" s="193"/>
      <c r="P538" s="193"/>
      <c r="Q538" s="193"/>
      <c r="R538" s="193"/>
      <c r="S538" s="193"/>
      <c r="T538" s="193"/>
      <c r="U538" s="193"/>
      <c r="V538" s="193"/>
    </row>
    <row r="539" spans="1:22" s="191" customFormat="1">
      <c r="A539" s="193" t="s">
        <v>547</v>
      </c>
      <c r="B539" s="193">
        <v>1970</v>
      </c>
      <c r="C539" s="196">
        <v>62.237488734334299</v>
      </c>
      <c r="D539" s="196">
        <v>2.6606792029188799</v>
      </c>
      <c r="E539" s="191" t="s">
        <v>538</v>
      </c>
      <c r="G539" s="193"/>
      <c r="H539" s="193"/>
      <c r="I539" s="193"/>
      <c r="J539" s="193"/>
      <c r="K539" s="193"/>
      <c r="L539" s="193"/>
      <c r="M539" s="193"/>
      <c r="N539" s="193"/>
      <c r="O539" s="193"/>
      <c r="P539" s="193"/>
      <c r="Q539" s="193"/>
      <c r="R539" s="193"/>
      <c r="S539" s="193"/>
      <c r="T539" s="193"/>
      <c r="U539" s="193"/>
      <c r="V539" s="193"/>
    </row>
    <row r="540" spans="1:22" s="191" customFormat="1">
      <c r="A540" s="193" t="s">
        <v>547</v>
      </c>
      <c r="B540" s="193">
        <v>1971</v>
      </c>
      <c r="C540" s="196">
        <v>59.672946351726097</v>
      </c>
      <c r="D540" s="196">
        <v>3.4665646016731402</v>
      </c>
      <c r="E540" s="191" t="s">
        <v>537</v>
      </c>
      <c r="G540" s="193"/>
      <c r="H540" s="193"/>
      <c r="I540" s="193"/>
      <c r="J540" s="193"/>
      <c r="K540" s="193"/>
      <c r="L540" s="193"/>
      <c r="M540" s="193"/>
      <c r="N540" s="193"/>
      <c r="O540" s="193"/>
      <c r="P540" s="193"/>
      <c r="Q540" s="193"/>
      <c r="R540" s="193"/>
      <c r="S540" s="193"/>
      <c r="T540" s="193"/>
      <c r="U540" s="193"/>
      <c r="V540" s="193"/>
    </row>
    <row r="541" spans="1:22" s="191" customFormat="1">
      <c r="A541" s="193" t="s">
        <v>547</v>
      </c>
      <c r="B541" s="193">
        <v>1972</v>
      </c>
      <c r="C541" s="196">
        <v>55.882553734172198</v>
      </c>
      <c r="D541" s="196">
        <v>6.4894572742165701</v>
      </c>
      <c r="E541" s="191" t="s">
        <v>537</v>
      </c>
      <c r="G541" s="193"/>
      <c r="H541" s="193"/>
      <c r="I541" s="193"/>
      <c r="J541" s="193"/>
      <c r="K541" s="193"/>
      <c r="L541" s="193"/>
      <c r="M541" s="193"/>
      <c r="N541" s="193"/>
      <c r="O541" s="193"/>
      <c r="P541" s="193"/>
      <c r="Q541" s="193"/>
      <c r="R541" s="193"/>
      <c r="S541" s="193"/>
      <c r="T541" s="193"/>
      <c r="U541" s="193"/>
      <c r="V541" s="193"/>
    </row>
    <row r="542" spans="1:22" s="191" customFormat="1">
      <c r="A542" s="193" t="s">
        <v>547</v>
      </c>
      <c r="B542" s="193">
        <v>1973</v>
      </c>
      <c r="C542" s="196">
        <v>52.061764183872697</v>
      </c>
      <c r="D542" s="196">
        <v>4.7243312986948496</v>
      </c>
      <c r="E542" s="191" t="s">
        <v>537</v>
      </c>
      <c r="G542" s="193"/>
      <c r="H542" s="193"/>
      <c r="I542" s="193"/>
      <c r="J542" s="193"/>
      <c r="K542" s="193"/>
      <c r="L542" s="193"/>
      <c r="M542" s="193"/>
      <c r="N542" s="193"/>
      <c r="O542" s="193"/>
      <c r="P542" s="193"/>
      <c r="Q542" s="193"/>
      <c r="R542" s="193"/>
      <c r="S542" s="193"/>
      <c r="T542" s="193"/>
      <c r="U542" s="193"/>
      <c r="V542" s="193"/>
    </row>
    <row r="543" spans="1:22" s="191" customFormat="1">
      <c r="A543" s="193" t="s">
        <v>547</v>
      </c>
      <c r="B543" s="193">
        <v>1974</v>
      </c>
      <c r="C543" s="196">
        <v>65.459173987377397</v>
      </c>
      <c r="D543" s="196">
        <v>4.2600578116855496</v>
      </c>
      <c r="E543" s="191" t="s">
        <v>538</v>
      </c>
      <c r="G543" s="193"/>
      <c r="H543" s="193"/>
      <c r="I543" s="193"/>
      <c r="J543" s="193"/>
      <c r="K543" s="193"/>
      <c r="L543" s="193"/>
      <c r="M543" s="193"/>
      <c r="N543" s="193"/>
      <c r="O543" s="193"/>
      <c r="P543" s="193"/>
      <c r="Q543" s="193"/>
      <c r="R543" s="193"/>
      <c r="S543" s="193"/>
      <c r="T543" s="193"/>
      <c r="U543" s="193"/>
      <c r="V543" s="193"/>
    </row>
    <row r="544" spans="1:22" s="191" customFormat="1">
      <c r="A544" s="193" t="s">
        <v>547</v>
      </c>
      <c r="B544" s="193">
        <v>1975</v>
      </c>
      <c r="C544" s="196">
        <v>72.359516304464094</v>
      </c>
      <c r="D544" s="196">
        <v>5.65403145168621</v>
      </c>
      <c r="E544" s="191" t="s">
        <v>538</v>
      </c>
      <c r="G544" s="193"/>
      <c r="H544" s="193"/>
      <c r="I544" s="193"/>
      <c r="J544" s="193"/>
      <c r="K544" s="193"/>
      <c r="L544" s="193"/>
      <c r="M544" s="193"/>
      <c r="N544" s="193"/>
      <c r="O544" s="193"/>
      <c r="P544" s="193"/>
      <c r="Q544" s="193"/>
      <c r="R544" s="193"/>
      <c r="S544" s="193"/>
      <c r="T544" s="193"/>
      <c r="U544" s="193"/>
      <c r="V544" s="193"/>
    </row>
    <row r="545" spans="1:22" s="191" customFormat="1">
      <c r="A545" s="193" t="s">
        <v>547</v>
      </c>
      <c r="B545" s="193">
        <v>1976</v>
      </c>
      <c r="C545" s="196">
        <v>77.639291608744699</v>
      </c>
      <c r="D545" s="196">
        <v>1.39808999397746</v>
      </c>
      <c r="E545" s="191" t="s">
        <v>538</v>
      </c>
      <c r="G545" s="193"/>
      <c r="H545" s="193"/>
      <c r="I545" s="193"/>
      <c r="J545" s="193"/>
      <c r="K545" s="193"/>
      <c r="L545" s="193"/>
      <c r="M545" s="193"/>
      <c r="N545" s="193"/>
      <c r="O545" s="193"/>
      <c r="P545" s="193"/>
      <c r="Q545" s="193"/>
      <c r="R545" s="193"/>
      <c r="S545" s="193"/>
      <c r="T545" s="193"/>
      <c r="U545" s="193"/>
      <c r="V545" s="193"/>
    </row>
    <row r="546" spans="1:22" s="191" customFormat="1">
      <c r="A546" s="193" t="s">
        <v>547</v>
      </c>
      <c r="B546" s="193">
        <v>1977</v>
      </c>
      <c r="C546" s="196">
        <v>74.143981563572197</v>
      </c>
      <c r="D546" s="196">
        <v>8.2092401680030598</v>
      </c>
      <c r="E546" s="191" t="s">
        <v>538</v>
      </c>
      <c r="G546" s="193"/>
      <c r="H546" s="193"/>
      <c r="I546" s="193"/>
      <c r="J546" s="193"/>
      <c r="K546" s="193"/>
      <c r="L546" s="193"/>
      <c r="M546" s="193"/>
      <c r="N546" s="193"/>
      <c r="O546" s="193"/>
      <c r="P546" s="193"/>
      <c r="Q546" s="193"/>
      <c r="R546" s="193"/>
      <c r="S546" s="193"/>
      <c r="T546" s="193"/>
      <c r="U546" s="193"/>
      <c r="V546" s="193"/>
    </row>
    <row r="547" spans="1:22" s="191" customFormat="1">
      <c r="A547" s="193" t="s">
        <v>547</v>
      </c>
      <c r="B547" s="193">
        <v>1978</v>
      </c>
      <c r="C547" s="196">
        <v>76.471918336709507</v>
      </c>
      <c r="D547" s="196">
        <v>7.1904649886301204</v>
      </c>
      <c r="E547" s="191" t="s">
        <v>538</v>
      </c>
      <c r="G547" s="193"/>
      <c r="H547" s="193"/>
      <c r="I547" s="193"/>
      <c r="J547" s="193"/>
      <c r="K547" s="193"/>
      <c r="L547" s="193"/>
      <c r="M547" s="193"/>
      <c r="N547" s="193"/>
      <c r="O547" s="193"/>
      <c r="P547" s="193"/>
      <c r="Q547" s="193"/>
      <c r="R547" s="193"/>
      <c r="S547" s="193"/>
      <c r="T547" s="193"/>
      <c r="U547" s="193"/>
      <c r="V547" s="193"/>
    </row>
    <row r="548" spans="1:22" s="191" customFormat="1">
      <c r="A548" s="193" t="s">
        <v>547</v>
      </c>
      <c r="B548" s="193">
        <v>1979</v>
      </c>
      <c r="C548" s="196">
        <v>82.606185356979296</v>
      </c>
      <c r="D548" s="196">
        <v>3.0724213606437401</v>
      </c>
      <c r="E548" s="191" t="s">
        <v>538</v>
      </c>
      <c r="G548" s="193"/>
      <c r="H548" s="193"/>
      <c r="I548" s="193"/>
      <c r="J548" s="193"/>
      <c r="K548" s="193"/>
      <c r="L548" s="193"/>
      <c r="M548" s="193"/>
      <c r="N548" s="193"/>
      <c r="O548" s="193"/>
      <c r="P548" s="193"/>
      <c r="Q548" s="193"/>
      <c r="R548" s="193"/>
      <c r="S548" s="193"/>
      <c r="T548" s="193"/>
      <c r="U548" s="193"/>
      <c r="V548" s="193"/>
    </row>
    <row r="549" spans="1:22" s="191" customFormat="1">
      <c r="A549" s="193" t="s">
        <v>547</v>
      </c>
      <c r="B549" s="193">
        <v>1980</v>
      </c>
      <c r="C549" s="196">
        <v>84.351209967879896</v>
      </c>
      <c r="D549" s="196">
        <v>2.9</v>
      </c>
      <c r="E549" s="191" t="s">
        <v>538</v>
      </c>
      <c r="G549" s="193"/>
      <c r="H549" s="193"/>
      <c r="I549" s="193"/>
      <c r="J549" s="193"/>
      <c r="K549" s="193"/>
      <c r="L549" s="193"/>
      <c r="M549" s="193"/>
      <c r="N549" s="193"/>
      <c r="O549" s="193"/>
      <c r="P549" s="193"/>
      <c r="Q549" s="193"/>
      <c r="R549" s="193"/>
      <c r="S549" s="193"/>
      <c r="T549" s="193"/>
      <c r="U549" s="193"/>
      <c r="V549" s="193"/>
    </row>
    <row r="550" spans="1:22" s="191" customFormat="1">
      <c r="A550" s="193" t="s">
        <v>547</v>
      </c>
      <c r="B550" s="193">
        <v>1981</v>
      </c>
      <c r="C550" s="196">
        <v>89.752758709987006</v>
      </c>
      <c r="D550" s="196">
        <v>2.5</v>
      </c>
      <c r="E550" s="191" t="s">
        <v>538</v>
      </c>
      <c r="G550" s="193"/>
      <c r="H550" s="193"/>
      <c r="I550" s="193"/>
      <c r="J550" s="193"/>
      <c r="K550" s="193"/>
      <c r="L550" s="193"/>
      <c r="M550" s="193"/>
      <c r="N550" s="193"/>
      <c r="O550" s="193"/>
      <c r="P550" s="193"/>
      <c r="Q550" s="193"/>
      <c r="R550" s="193"/>
      <c r="S550" s="193"/>
      <c r="T550" s="193"/>
      <c r="U550" s="193"/>
      <c r="V550" s="193"/>
    </row>
    <row r="551" spans="1:22" s="191" customFormat="1">
      <c r="A551" s="193" t="s">
        <v>547</v>
      </c>
      <c r="B551" s="193">
        <v>1982</v>
      </c>
      <c r="C551" s="196">
        <v>87.201731911025604</v>
      </c>
      <c r="D551" s="196">
        <v>1.5</v>
      </c>
      <c r="E551" s="191" t="s">
        <v>538</v>
      </c>
      <c r="G551" s="193"/>
      <c r="H551" s="193"/>
      <c r="I551" s="193"/>
      <c r="J551" s="193"/>
      <c r="K551" s="193"/>
      <c r="L551" s="193"/>
      <c r="M551" s="193"/>
      <c r="N551" s="193"/>
      <c r="O551" s="193"/>
      <c r="P551" s="193"/>
      <c r="Q551" s="193"/>
      <c r="R551" s="193"/>
      <c r="S551" s="193"/>
      <c r="T551" s="193"/>
      <c r="U551" s="193"/>
      <c r="V551" s="193"/>
    </row>
    <row r="552" spans="1:22" s="191" customFormat="1">
      <c r="A552" s="193" t="s">
        <v>547</v>
      </c>
      <c r="B552" s="193">
        <v>1983</v>
      </c>
      <c r="C552" s="196">
        <v>96.491902890548999</v>
      </c>
      <c r="D552" s="196">
        <v>-0.7</v>
      </c>
      <c r="E552" s="191" t="s">
        <v>535</v>
      </c>
      <c r="G552" s="193"/>
      <c r="H552" s="193"/>
      <c r="I552" s="193"/>
      <c r="J552" s="193"/>
      <c r="K552" s="193"/>
      <c r="L552" s="193"/>
      <c r="M552" s="193"/>
      <c r="N552" s="193"/>
      <c r="O552" s="193"/>
      <c r="P552" s="193"/>
      <c r="Q552" s="193"/>
      <c r="R552" s="193"/>
      <c r="S552" s="193"/>
      <c r="T552" s="193"/>
      <c r="U552" s="193"/>
      <c r="V552" s="193"/>
    </row>
    <row r="553" spans="1:22" s="191" customFormat="1">
      <c r="A553" s="193" t="s">
        <v>547</v>
      </c>
      <c r="B553" s="193">
        <v>1984</v>
      </c>
      <c r="C553" s="196">
        <v>101.60412646234001</v>
      </c>
      <c r="D553" s="196">
        <v>3.2</v>
      </c>
      <c r="E553" s="191" t="s">
        <v>535</v>
      </c>
      <c r="G553" s="193"/>
      <c r="H553" s="193"/>
      <c r="I553" s="193"/>
      <c r="J553" s="193"/>
      <c r="K553" s="193"/>
      <c r="L553" s="193"/>
      <c r="M553" s="193"/>
      <c r="N553" s="193"/>
      <c r="O553" s="193"/>
      <c r="P553" s="193"/>
      <c r="Q553" s="193"/>
      <c r="R553" s="193"/>
      <c r="S553" s="193"/>
      <c r="T553" s="193"/>
      <c r="U553" s="193"/>
      <c r="V553" s="193"/>
    </row>
    <row r="554" spans="1:22" s="191" customFormat="1">
      <c r="A554" s="193" t="s">
        <v>547</v>
      </c>
      <c r="B554" s="193">
        <v>1985</v>
      </c>
      <c r="C554" s="196">
        <v>102.963176069486</v>
      </c>
      <c r="D554" s="196">
        <v>1.9</v>
      </c>
      <c r="E554" s="191" t="s">
        <v>535</v>
      </c>
      <c r="G554" s="193"/>
      <c r="H554" s="193"/>
      <c r="I554" s="193"/>
      <c r="J554" s="193"/>
      <c r="K554" s="193"/>
      <c r="L554" s="193"/>
      <c r="M554" s="193"/>
      <c r="N554" s="193"/>
      <c r="O554" s="193"/>
      <c r="P554" s="193"/>
      <c r="Q554" s="193"/>
      <c r="R554" s="193"/>
      <c r="S554" s="193"/>
      <c r="T554" s="193"/>
      <c r="U554" s="193"/>
      <c r="V554" s="193"/>
    </row>
    <row r="555" spans="1:22" s="191" customFormat="1">
      <c r="A555" s="193" t="s">
        <v>547</v>
      </c>
      <c r="B555" s="193">
        <v>1986</v>
      </c>
      <c r="C555" s="196">
        <v>109.678571315794</v>
      </c>
      <c r="D555" s="196">
        <v>0.4</v>
      </c>
      <c r="E555" s="191" t="s">
        <v>535</v>
      </c>
      <c r="G555" s="193"/>
      <c r="H555" s="193"/>
      <c r="I555" s="193"/>
      <c r="J555" s="193"/>
      <c r="K555" s="193"/>
      <c r="L555" s="193"/>
      <c r="M555" s="193"/>
      <c r="N555" s="193"/>
      <c r="O555" s="193"/>
      <c r="P555" s="193"/>
      <c r="Q555" s="193"/>
      <c r="R555" s="193"/>
      <c r="S555" s="193"/>
      <c r="T555" s="193"/>
      <c r="U555" s="193"/>
      <c r="V555" s="193"/>
    </row>
    <row r="556" spans="1:22" s="191" customFormat="1">
      <c r="A556" s="193" t="s">
        <v>547</v>
      </c>
      <c r="B556" s="193">
        <v>1987</v>
      </c>
      <c r="C556" s="196">
        <v>112.430132889981</v>
      </c>
      <c r="D556" s="196">
        <v>3.6</v>
      </c>
      <c r="E556" s="191" t="s">
        <v>535</v>
      </c>
      <c r="G556" s="193"/>
      <c r="H556" s="193"/>
      <c r="I556" s="193"/>
      <c r="J556" s="193"/>
      <c r="K556" s="193"/>
      <c r="L556" s="193"/>
      <c r="M556" s="193"/>
      <c r="N556" s="193"/>
      <c r="O556" s="193"/>
      <c r="P556" s="193"/>
      <c r="Q556" s="193"/>
      <c r="R556" s="193"/>
      <c r="S556" s="193"/>
      <c r="T556" s="193"/>
      <c r="U556" s="193"/>
      <c r="V556" s="193"/>
    </row>
    <row r="557" spans="1:22" s="191" customFormat="1">
      <c r="A557" s="193" t="s">
        <v>547</v>
      </c>
      <c r="B557" s="193">
        <v>1988</v>
      </c>
      <c r="C557" s="196">
        <v>108.33424911885299</v>
      </c>
      <c r="D557" s="196">
        <v>3</v>
      </c>
      <c r="E557" s="191" t="s">
        <v>535</v>
      </c>
      <c r="G557" s="193"/>
      <c r="H557" s="193"/>
      <c r="I557" s="193"/>
      <c r="J557" s="193"/>
      <c r="K557" s="193"/>
      <c r="L557" s="193"/>
      <c r="M557" s="193"/>
      <c r="N557" s="193"/>
      <c r="O557" s="193"/>
      <c r="P557" s="193"/>
      <c r="Q557" s="193"/>
      <c r="R557" s="193"/>
      <c r="S557" s="193"/>
      <c r="T557" s="193"/>
      <c r="U557" s="193"/>
      <c r="V557" s="193"/>
    </row>
    <row r="558" spans="1:22" s="191" customFormat="1">
      <c r="A558" s="193" t="s">
        <v>547</v>
      </c>
      <c r="B558" s="193">
        <v>1989</v>
      </c>
      <c r="C558" s="196">
        <v>97.678635090652307</v>
      </c>
      <c r="D558" s="196">
        <v>5.6</v>
      </c>
      <c r="E558" s="191" t="s">
        <v>535</v>
      </c>
      <c r="G558" s="193"/>
      <c r="H558" s="193"/>
      <c r="I558" s="193"/>
      <c r="J558" s="193"/>
      <c r="K558" s="193"/>
      <c r="L558" s="193"/>
      <c r="M558" s="193"/>
      <c r="N558" s="193"/>
      <c r="O558" s="193"/>
      <c r="P558" s="193"/>
      <c r="Q558" s="193"/>
      <c r="R558" s="193"/>
      <c r="S558" s="193"/>
      <c r="T558" s="193"/>
      <c r="U558" s="193"/>
      <c r="V558" s="193"/>
    </row>
    <row r="559" spans="1:22" s="191" customFormat="1">
      <c r="A559" s="193" t="s">
        <v>547</v>
      </c>
      <c r="B559" s="193">
        <v>1990</v>
      </c>
      <c r="C559" s="196">
        <v>87.709369665154497</v>
      </c>
      <c r="D559" s="196">
        <v>7.7</v>
      </c>
      <c r="E559" s="191" t="s">
        <v>538</v>
      </c>
      <c r="G559" s="193"/>
      <c r="H559" s="193"/>
      <c r="I559" s="193"/>
      <c r="J559" s="193"/>
      <c r="K559" s="193"/>
      <c r="L559" s="193"/>
      <c r="M559" s="193"/>
      <c r="N559" s="193"/>
      <c r="O559" s="193"/>
      <c r="P559" s="193"/>
      <c r="Q559" s="193"/>
      <c r="R559" s="193"/>
      <c r="S559" s="193"/>
      <c r="T559" s="193"/>
      <c r="U559" s="193"/>
      <c r="V559" s="193"/>
    </row>
    <row r="560" spans="1:22" s="191" customFormat="1">
      <c r="A560" s="193" t="s">
        <v>547</v>
      </c>
      <c r="B560" s="193">
        <v>1991</v>
      </c>
      <c r="C560" s="196">
        <v>85.521356891445194</v>
      </c>
      <c r="D560" s="196">
        <v>1.6</v>
      </c>
      <c r="E560" s="191" t="s">
        <v>538</v>
      </c>
      <c r="G560" s="193"/>
      <c r="H560" s="193"/>
      <c r="I560" s="193"/>
      <c r="J560" s="193"/>
      <c r="K560" s="193"/>
      <c r="L560" s="193"/>
      <c r="M560" s="193"/>
      <c r="N560" s="193"/>
      <c r="O560" s="193"/>
      <c r="P560" s="193"/>
      <c r="Q560" s="193"/>
      <c r="R560" s="193"/>
      <c r="S560" s="193"/>
      <c r="T560" s="193"/>
      <c r="U560" s="193"/>
      <c r="V560" s="193"/>
    </row>
    <row r="561" spans="1:22" s="191" customFormat="1">
      <c r="A561" s="193" t="s">
        <v>547</v>
      </c>
      <c r="B561" s="193">
        <v>1992</v>
      </c>
      <c r="C561" s="196">
        <v>83.554872395598395</v>
      </c>
      <c r="D561" s="196">
        <v>3.6</v>
      </c>
      <c r="E561" s="191" t="s">
        <v>538</v>
      </c>
      <c r="G561" s="193"/>
      <c r="H561" s="193"/>
      <c r="I561" s="193"/>
      <c r="J561" s="193"/>
      <c r="K561" s="193"/>
      <c r="L561" s="193"/>
      <c r="M561" s="193"/>
      <c r="N561" s="193"/>
      <c r="O561" s="193"/>
      <c r="P561" s="193"/>
      <c r="Q561" s="193"/>
      <c r="R561" s="193"/>
      <c r="S561" s="193"/>
      <c r="T561" s="193"/>
      <c r="U561" s="193"/>
      <c r="V561" s="193"/>
    </row>
    <row r="562" spans="1:22" s="191" customFormat="1">
      <c r="A562" s="193" t="s">
        <v>547</v>
      </c>
      <c r="B562" s="193">
        <v>1993</v>
      </c>
      <c r="C562" s="196">
        <v>83.270773098799296</v>
      </c>
      <c r="D562" s="196">
        <v>2.2999999999999998</v>
      </c>
      <c r="E562" s="191" t="s">
        <v>538</v>
      </c>
      <c r="G562" s="193"/>
      <c r="H562" s="193"/>
      <c r="I562" s="193"/>
      <c r="J562" s="193"/>
      <c r="K562" s="193"/>
      <c r="L562" s="193"/>
      <c r="M562" s="193"/>
      <c r="N562" s="193"/>
      <c r="O562" s="193"/>
      <c r="P562" s="193"/>
      <c r="Q562" s="193"/>
      <c r="R562" s="193"/>
      <c r="S562" s="193"/>
      <c r="T562" s="193"/>
      <c r="U562" s="193"/>
      <c r="V562" s="193"/>
    </row>
    <row r="563" spans="1:22" s="191" customFormat="1">
      <c r="A563" s="193" t="s">
        <v>547</v>
      </c>
      <c r="B563" s="193">
        <v>1994</v>
      </c>
      <c r="C563" s="196">
        <v>79.801497055440905</v>
      </c>
      <c r="D563" s="196">
        <v>5.9</v>
      </c>
      <c r="E563" s="191" t="s">
        <v>538</v>
      </c>
      <c r="G563" s="193"/>
      <c r="H563" s="193"/>
      <c r="I563" s="193"/>
      <c r="J563" s="193"/>
      <c r="K563" s="193"/>
      <c r="L563" s="193"/>
      <c r="M563" s="193"/>
      <c r="N563" s="193"/>
      <c r="O563" s="193"/>
      <c r="P563" s="193"/>
      <c r="Q563" s="193"/>
      <c r="R563" s="193"/>
      <c r="S563" s="193"/>
      <c r="T563" s="193"/>
      <c r="U563" s="193"/>
      <c r="V563" s="193"/>
    </row>
    <row r="564" spans="1:22" s="191" customFormat="1">
      <c r="A564" s="193" t="s">
        <v>547</v>
      </c>
      <c r="B564" s="193">
        <v>1995</v>
      </c>
      <c r="C564" s="196">
        <v>72.953657329379595</v>
      </c>
      <c r="D564" s="196">
        <v>9.6</v>
      </c>
      <c r="E564" s="191" t="s">
        <v>538</v>
      </c>
      <c r="G564" s="193"/>
      <c r="H564" s="193"/>
      <c r="I564" s="193"/>
      <c r="J564" s="193"/>
      <c r="K564" s="193"/>
      <c r="L564" s="193"/>
      <c r="M564" s="193"/>
      <c r="N564" s="193"/>
      <c r="O564" s="193"/>
      <c r="P564" s="193"/>
      <c r="Q564" s="193"/>
      <c r="R564" s="193"/>
      <c r="S564" s="193"/>
      <c r="T564" s="193"/>
      <c r="U564" s="193"/>
      <c r="V564" s="193"/>
    </row>
    <row r="565" spans="1:22" s="191" customFormat="1">
      <c r="A565" s="193" t="s">
        <v>547</v>
      </c>
      <c r="B565" s="193">
        <v>1996</v>
      </c>
      <c r="C565" s="196">
        <v>65.548644710450802</v>
      </c>
      <c r="D565" s="196">
        <v>8.1</v>
      </c>
      <c r="E565" s="191" t="s">
        <v>538</v>
      </c>
      <c r="G565" s="193"/>
      <c r="H565" s="193"/>
      <c r="I565" s="193"/>
      <c r="J565" s="193"/>
      <c r="K565" s="193"/>
      <c r="L565" s="193"/>
      <c r="M565" s="193"/>
      <c r="N565" s="193"/>
      <c r="O565" s="193"/>
      <c r="P565" s="193"/>
      <c r="Q565" s="193"/>
      <c r="R565" s="193"/>
      <c r="S565" s="193"/>
      <c r="T565" s="193"/>
      <c r="U565" s="193"/>
      <c r="V565" s="193"/>
    </row>
    <row r="566" spans="1:22" s="191" customFormat="1">
      <c r="A566" s="193" t="s">
        <v>547</v>
      </c>
      <c r="B566" s="193">
        <v>1997</v>
      </c>
      <c r="C566" s="196">
        <v>58.165691493955002</v>
      </c>
      <c r="D566" s="196">
        <v>11.5</v>
      </c>
      <c r="E566" s="191" t="s">
        <v>537</v>
      </c>
      <c r="G566" s="193"/>
      <c r="H566" s="193"/>
      <c r="I566" s="193"/>
      <c r="J566" s="193"/>
      <c r="K566" s="193"/>
      <c r="L566" s="193"/>
      <c r="M566" s="193"/>
      <c r="N566" s="193"/>
      <c r="O566" s="193"/>
      <c r="P566" s="193"/>
      <c r="Q566" s="193"/>
      <c r="R566" s="193"/>
      <c r="S566" s="193"/>
      <c r="T566" s="193"/>
      <c r="U566" s="193"/>
      <c r="V566" s="193"/>
    </row>
    <row r="567" spans="1:22" s="191" customFormat="1">
      <c r="A567" s="193" t="s">
        <v>547</v>
      </c>
      <c r="B567" s="193">
        <v>1998</v>
      </c>
      <c r="C567" s="196">
        <v>48.762876337345602</v>
      </c>
      <c r="D567" s="196">
        <v>8.4</v>
      </c>
      <c r="E567" s="191" t="s">
        <v>537</v>
      </c>
      <c r="G567" s="193"/>
      <c r="H567" s="193"/>
      <c r="I567" s="193"/>
      <c r="J567" s="193"/>
      <c r="K567" s="193"/>
      <c r="L567" s="193"/>
      <c r="M567" s="193"/>
      <c r="N567" s="193"/>
      <c r="O567" s="193"/>
      <c r="P567" s="193"/>
      <c r="Q567" s="193"/>
      <c r="R567" s="193"/>
      <c r="S567" s="193"/>
      <c r="T567" s="193"/>
      <c r="U567" s="193"/>
      <c r="V567" s="193"/>
    </row>
    <row r="568" spans="1:22" s="191" customFormat="1">
      <c r="A568" s="193" t="s">
        <v>547</v>
      </c>
      <c r="B568" s="193">
        <v>1999</v>
      </c>
      <c r="C568" s="196">
        <v>43.978506484401798</v>
      </c>
      <c r="D568" s="196">
        <v>10.7</v>
      </c>
      <c r="E568" s="191" t="s">
        <v>537</v>
      </c>
      <c r="G568" s="193"/>
      <c r="H568" s="193"/>
      <c r="I568" s="193"/>
      <c r="J568" s="193"/>
      <c r="K568" s="193"/>
      <c r="L568" s="193"/>
      <c r="M568" s="193"/>
      <c r="N568" s="193"/>
      <c r="O568" s="193"/>
      <c r="P568" s="193"/>
      <c r="Q568" s="193"/>
      <c r="R568" s="193"/>
      <c r="S568" s="193"/>
      <c r="T568" s="193"/>
      <c r="U568" s="193"/>
      <c r="V568" s="193"/>
    </row>
    <row r="569" spans="1:22" s="191" customFormat="1">
      <c r="A569" s="193" t="s">
        <v>547</v>
      </c>
      <c r="B569" s="193">
        <v>2000</v>
      </c>
      <c r="C569" s="196">
        <v>34.829654211036498</v>
      </c>
      <c r="D569" s="196">
        <v>9.4</v>
      </c>
      <c r="E569" s="191" t="s">
        <v>537</v>
      </c>
      <c r="G569" s="193"/>
      <c r="H569" s="193"/>
      <c r="I569" s="193"/>
      <c r="J569" s="193"/>
      <c r="K569" s="193"/>
      <c r="L569" s="193"/>
      <c r="M569" s="193"/>
      <c r="N569" s="193"/>
      <c r="O569" s="193"/>
      <c r="P569" s="193"/>
      <c r="Q569" s="193"/>
      <c r="R569" s="193"/>
      <c r="S569" s="193"/>
      <c r="T569" s="193"/>
      <c r="U569" s="193"/>
      <c r="V569" s="193"/>
    </row>
    <row r="570" spans="1:22" s="191" customFormat="1">
      <c r="A570" s="193" t="s">
        <v>547</v>
      </c>
      <c r="B570" s="193">
        <v>2001</v>
      </c>
      <c r="C570" s="196">
        <v>30.944006161058301</v>
      </c>
      <c r="D570" s="196">
        <v>5.7</v>
      </c>
      <c r="E570" s="191" t="s">
        <v>537</v>
      </c>
      <c r="G570" s="193"/>
      <c r="H570" s="193"/>
      <c r="I570" s="193"/>
      <c r="J570" s="193"/>
      <c r="K570" s="193"/>
      <c r="L570" s="193"/>
      <c r="M570" s="193"/>
      <c r="N570" s="193"/>
      <c r="O570" s="193"/>
      <c r="P570" s="193"/>
      <c r="Q570" s="193"/>
      <c r="R570" s="193"/>
      <c r="S570" s="193"/>
      <c r="T570" s="193"/>
      <c r="U570" s="193"/>
      <c r="V570" s="193"/>
    </row>
    <row r="571" spans="1:22" s="191" customFormat="1">
      <c r="A571" s="193" t="s">
        <v>547</v>
      </c>
      <c r="B571" s="193">
        <v>2002</v>
      </c>
      <c r="C571" s="196">
        <v>27.9144673880316</v>
      </c>
      <c r="D571" s="196">
        <v>6.5</v>
      </c>
      <c r="E571" s="191" t="s">
        <v>536</v>
      </c>
      <c r="G571" s="193"/>
      <c r="H571" s="193"/>
      <c r="I571" s="193"/>
      <c r="J571" s="193"/>
      <c r="K571" s="193"/>
      <c r="L571" s="193"/>
      <c r="M571" s="193"/>
      <c r="N571" s="193"/>
      <c r="O571" s="193"/>
      <c r="P571" s="193"/>
      <c r="Q571" s="193"/>
      <c r="R571" s="193"/>
      <c r="S571" s="193"/>
      <c r="T571" s="193"/>
      <c r="U571" s="193"/>
      <c r="V571" s="193"/>
    </row>
    <row r="572" spans="1:22" s="191" customFormat="1">
      <c r="A572" s="193" t="s">
        <v>547</v>
      </c>
      <c r="B572" s="193">
        <v>2003</v>
      </c>
      <c r="C572" s="196">
        <v>26.910630818929299</v>
      </c>
      <c r="D572" s="196">
        <v>4.4000000000000004</v>
      </c>
      <c r="E572" s="191" t="s">
        <v>536</v>
      </c>
      <c r="G572" s="193"/>
      <c r="H572" s="193"/>
      <c r="I572" s="193"/>
      <c r="J572" s="193"/>
      <c r="K572" s="193"/>
      <c r="L572" s="193"/>
      <c r="M572" s="193"/>
      <c r="N572" s="193"/>
      <c r="O572" s="193"/>
      <c r="P572" s="193"/>
      <c r="Q572" s="193"/>
      <c r="R572" s="193"/>
      <c r="S572" s="193"/>
      <c r="T572" s="193"/>
      <c r="U572" s="193"/>
      <c r="V572" s="193"/>
    </row>
    <row r="573" spans="1:22" s="191" customFormat="1">
      <c r="A573" s="193" t="s">
        <v>547</v>
      </c>
      <c r="B573" s="193">
        <v>2004</v>
      </c>
      <c r="C573" s="196">
        <v>25.383351928296399</v>
      </c>
      <c r="D573" s="196">
        <v>4.5999999999999996</v>
      </c>
      <c r="E573" s="191" t="s">
        <v>536</v>
      </c>
      <c r="G573" s="193"/>
      <c r="H573" s="193"/>
      <c r="I573" s="193"/>
      <c r="J573" s="193"/>
      <c r="K573" s="193"/>
      <c r="L573" s="193"/>
      <c r="M573" s="193"/>
      <c r="N573" s="193"/>
      <c r="O573" s="193"/>
      <c r="P573" s="193"/>
      <c r="Q573" s="193"/>
      <c r="R573" s="193"/>
      <c r="S573" s="193"/>
      <c r="T573" s="193"/>
      <c r="U573" s="193"/>
      <c r="V573" s="193"/>
    </row>
    <row r="574" spans="1:22" s="191" customFormat="1">
      <c r="A574" s="193" t="s">
        <v>547</v>
      </c>
      <c r="B574" s="193">
        <v>2005</v>
      </c>
      <c r="C574" s="196">
        <v>23.5559104674034</v>
      </c>
      <c r="D574" s="196">
        <v>6.2</v>
      </c>
      <c r="E574" s="191" t="s">
        <v>536</v>
      </c>
      <c r="G574" s="193"/>
      <c r="H574" s="193"/>
      <c r="I574" s="193"/>
      <c r="J574" s="193"/>
      <c r="K574" s="193"/>
      <c r="L574" s="193"/>
      <c r="M574" s="193"/>
      <c r="N574" s="193"/>
      <c r="O574" s="193"/>
      <c r="P574" s="193"/>
      <c r="Q574" s="193"/>
      <c r="R574" s="193"/>
      <c r="S574" s="193"/>
      <c r="T574" s="193"/>
      <c r="U574" s="193"/>
      <c r="V574" s="193"/>
    </row>
    <row r="575" spans="1:22" s="191" customFormat="1">
      <c r="A575" s="193" t="s">
        <v>547</v>
      </c>
      <c r="B575" s="193">
        <v>2006</v>
      </c>
      <c r="C575" s="196">
        <v>20.319761088444501</v>
      </c>
      <c r="D575" s="196">
        <v>5.4</v>
      </c>
      <c r="E575" s="191" t="s">
        <v>536</v>
      </c>
      <c r="G575" s="193"/>
      <c r="H575" s="193"/>
      <c r="I575" s="193"/>
      <c r="J575" s="193"/>
      <c r="K575" s="193"/>
      <c r="L575" s="193"/>
      <c r="M575" s="193"/>
      <c r="N575" s="193"/>
      <c r="O575" s="193"/>
      <c r="P575" s="193"/>
      <c r="Q575" s="193"/>
      <c r="R575" s="193"/>
      <c r="S575" s="193"/>
      <c r="T575" s="193"/>
      <c r="U575" s="193"/>
      <c r="V575" s="193"/>
    </row>
    <row r="576" spans="1:22" s="191" customFormat="1">
      <c r="A576" s="193" t="s">
        <v>547</v>
      </c>
      <c r="B576" s="193">
        <v>2007</v>
      </c>
      <c r="C576" s="196">
        <v>19.793842589270501</v>
      </c>
      <c r="D576" s="196">
        <v>6</v>
      </c>
      <c r="E576" s="191" t="s">
        <v>536</v>
      </c>
      <c r="G576" s="193"/>
      <c r="H576" s="193"/>
      <c r="I576" s="193"/>
      <c r="J576" s="193"/>
      <c r="K576" s="193"/>
      <c r="L576" s="193"/>
      <c r="M576" s="193"/>
      <c r="N576" s="193"/>
      <c r="O576" s="193"/>
      <c r="P576" s="193"/>
      <c r="Q576" s="193"/>
      <c r="R576" s="193"/>
      <c r="S576" s="193"/>
      <c r="T576" s="193"/>
      <c r="U576" s="193"/>
      <c r="V576" s="193"/>
    </row>
    <row r="577" spans="1:22" s="191" customFormat="1">
      <c r="A577" s="193" t="s">
        <v>547</v>
      </c>
      <c r="B577" s="193">
        <v>2008</v>
      </c>
      <c r="C577" s="196">
        <v>27.719181557586701</v>
      </c>
      <c r="D577" s="196">
        <v>-3</v>
      </c>
      <c r="E577" s="191" t="s">
        <v>536</v>
      </c>
      <c r="G577" s="193"/>
      <c r="H577" s="193"/>
      <c r="I577" s="193"/>
      <c r="J577" s="193"/>
      <c r="K577" s="193"/>
      <c r="L577" s="193"/>
      <c r="M577" s="193"/>
      <c r="N577" s="193"/>
      <c r="O577" s="193"/>
      <c r="P577" s="193"/>
      <c r="Q577" s="193"/>
      <c r="R577" s="193"/>
      <c r="S577" s="193"/>
      <c r="T577" s="193"/>
      <c r="U577" s="193"/>
      <c r="V577" s="193"/>
    </row>
    <row r="578" spans="1:22" s="191" customFormat="1">
      <c r="A578" s="193" t="s">
        <v>547</v>
      </c>
      <c r="B578" s="193">
        <v>2009</v>
      </c>
      <c r="C578" s="196">
        <v>44.371366279069797</v>
      </c>
      <c r="D578" s="196">
        <v>-7.5</v>
      </c>
      <c r="E578" s="191" t="s">
        <v>537</v>
      </c>
      <c r="G578" s="193"/>
      <c r="H578" s="193"/>
      <c r="I578" s="193"/>
      <c r="J578" s="193"/>
      <c r="K578" s="193"/>
      <c r="L578" s="193"/>
      <c r="M578" s="193"/>
      <c r="N578" s="193"/>
      <c r="O578" s="193"/>
      <c r="P578" s="193"/>
      <c r="Q578" s="193"/>
      <c r="R578" s="193"/>
      <c r="S578" s="193"/>
      <c r="T578" s="193"/>
      <c r="U578" s="193"/>
      <c r="V578" s="193"/>
    </row>
    <row r="579" spans="1:22" s="191" customFormat="1">
      <c r="A579" s="193" t="s">
        <v>548</v>
      </c>
      <c r="B579" s="193">
        <v>1951</v>
      </c>
      <c r="C579" s="196">
        <v>26.570070816250499</v>
      </c>
      <c r="D579" s="196">
        <v>7.4655819395357499</v>
      </c>
      <c r="E579" s="191" t="s">
        <v>536</v>
      </c>
      <c r="G579" s="193"/>
      <c r="H579" s="193"/>
      <c r="I579" s="193"/>
      <c r="J579" s="193"/>
      <c r="K579" s="193"/>
      <c r="L579" s="193"/>
      <c r="M579" s="193"/>
      <c r="N579" s="193"/>
      <c r="O579" s="193"/>
      <c r="P579" s="193"/>
      <c r="Q579" s="193"/>
      <c r="R579" s="193"/>
      <c r="S579" s="193"/>
      <c r="T579" s="193"/>
      <c r="U579" s="193"/>
      <c r="V579" s="193"/>
    </row>
    <row r="580" spans="1:22" s="191" customFormat="1">
      <c r="A580" s="193" t="s">
        <v>548</v>
      </c>
      <c r="B580" s="193">
        <v>1952</v>
      </c>
      <c r="C580" s="196">
        <v>26.873811581676801</v>
      </c>
      <c r="D580" s="196">
        <v>7.4851076312108002</v>
      </c>
      <c r="E580" s="191" t="s">
        <v>536</v>
      </c>
      <c r="G580" s="193"/>
      <c r="H580" s="193"/>
      <c r="I580" s="193"/>
      <c r="J580" s="193"/>
      <c r="K580" s="193"/>
      <c r="L580" s="193"/>
      <c r="M580" s="193"/>
      <c r="N580" s="193"/>
      <c r="O580" s="193"/>
      <c r="P580" s="193"/>
      <c r="Q580" s="193"/>
      <c r="R580" s="193"/>
      <c r="S580" s="193"/>
      <c r="T580" s="193"/>
      <c r="U580" s="193"/>
      <c r="V580" s="193"/>
    </row>
    <row r="581" spans="1:22" s="191" customFormat="1">
      <c r="A581" s="193" t="s">
        <v>548</v>
      </c>
      <c r="B581" s="193">
        <v>1953</v>
      </c>
      <c r="C581" s="196">
        <v>26.7213755373193</v>
      </c>
      <c r="D581" s="196">
        <v>7.2147201914548598</v>
      </c>
      <c r="E581" s="191" t="s">
        <v>536</v>
      </c>
      <c r="G581" s="193"/>
      <c r="H581" s="193"/>
      <c r="I581" s="193"/>
      <c r="J581" s="193"/>
      <c r="K581" s="193"/>
      <c r="L581" s="193"/>
      <c r="M581" s="193"/>
      <c r="N581" s="193"/>
      <c r="O581" s="193"/>
      <c r="P581" s="193"/>
      <c r="Q581" s="193"/>
      <c r="R581" s="193"/>
      <c r="S581" s="193"/>
      <c r="T581" s="193"/>
      <c r="U581" s="193"/>
      <c r="V581" s="193"/>
    </row>
    <row r="582" spans="1:22" s="191" customFormat="1">
      <c r="A582" s="193" t="s">
        <v>548</v>
      </c>
      <c r="B582" s="193">
        <v>1954</v>
      </c>
      <c r="C582" s="196">
        <v>28.648965820742301</v>
      </c>
      <c r="D582" s="196">
        <v>5.18679511278195</v>
      </c>
      <c r="E582" s="191" t="s">
        <v>536</v>
      </c>
      <c r="G582" s="193"/>
      <c r="H582" s="193"/>
      <c r="I582" s="193"/>
      <c r="J582" s="193"/>
      <c r="K582" s="193"/>
      <c r="L582" s="193"/>
      <c r="M582" s="193"/>
      <c r="N582" s="193"/>
      <c r="O582" s="193"/>
      <c r="P582" s="193"/>
      <c r="Q582" s="193"/>
      <c r="R582" s="193"/>
      <c r="S582" s="193"/>
      <c r="T582" s="193"/>
      <c r="U582" s="193"/>
      <c r="V582" s="193"/>
    </row>
    <row r="583" spans="1:22" s="191" customFormat="1">
      <c r="A583" s="193" t="s">
        <v>548</v>
      </c>
      <c r="B583" s="193">
        <v>1955</v>
      </c>
      <c r="C583" s="196">
        <v>28.3222458754657</v>
      </c>
      <c r="D583" s="196">
        <v>5.8194188492396002</v>
      </c>
      <c r="E583" s="191" t="s">
        <v>536</v>
      </c>
      <c r="G583" s="193"/>
      <c r="H583" s="193"/>
      <c r="I583" s="193"/>
      <c r="J583" s="193"/>
      <c r="K583" s="193"/>
      <c r="L583" s="193"/>
      <c r="M583" s="193"/>
      <c r="N583" s="193"/>
      <c r="O583" s="193"/>
      <c r="P583" s="193"/>
      <c r="Q583" s="193"/>
      <c r="R583" s="193"/>
      <c r="S583" s="193"/>
      <c r="T583" s="193"/>
      <c r="U583" s="193"/>
      <c r="V583" s="193"/>
    </row>
    <row r="584" spans="1:22" s="191" customFormat="1">
      <c r="A584" s="193" t="s">
        <v>548</v>
      </c>
      <c r="B584" s="193">
        <v>1956</v>
      </c>
      <c r="C584" s="196">
        <v>27.964547677261599</v>
      </c>
      <c r="D584" s="196">
        <v>4.5340803644855301</v>
      </c>
      <c r="E584" s="191" t="s">
        <v>536</v>
      </c>
      <c r="G584" s="193"/>
      <c r="H584" s="193"/>
      <c r="I584" s="193"/>
      <c r="J584" s="193"/>
      <c r="K584" s="193"/>
      <c r="L584" s="193"/>
      <c r="M584" s="193"/>
      <c r="N584" s="193"/>
      <c r="O584" s="193"/>
      <c r="P584" s="193"/>
      <c r="Q584" s="193"/>
      <c r="R584" s="193"/>
      <c r="S584" s="193"/>
      <c r="T584" s="193"/>
      <c r="U584" s="193"/>
      <c r="V584" s="193"/>
    </row>
    <row r="585" spans="1:22" s="191" customFormat="1">
      <c r="A585" s="193" t="s">
        <v>548</v>
      </c>
      <c r="B585" s="193">
        <v>1957</v>
      </c>
      <c r="C585" s="196">
        <v>27.530885283233701</v>
      </c>
      <c r="D585" s="196">
        <v>5.9036849124312702</v>
      </c>
      <c r="E585" s="191" t="s">
        <v>536</v>
      </c>
      <c r="G585" s="193"/>
      <c r="H585" s="193"/>
      <c r="I585" s="193"/>
      <c r="J585" s="193"/>
      <c r="K585" s="193"/>
      <c r="L585" s="193"/>
      <c r="M585" s="193"/>
      <c r="N585" s="193"/>
      <c r="O585" s="193"/>
      <c r="P585" s="193"/>
      <c r="Q585" s="193"/>
      <c r="R585" s="193"/>
      <c r="S585" s="193"/>
      <c r="T585" s="193"/>
      <c r="U585" s="193"/>
      <c r="V585" s="193"/>
    </row>
    <row r="586" spans="1:22" s="191" customFormat="1">
      <c r="A586" s="193" t="s">
        <v>548</v>
      </c>
      <c r="B586" s="193">
        <v>1958</v>
      </c>
      <c r="C586" s="196">
        <v>27.005619764606099</v>
      </c>
      <c r="D586" s="196">
        <v>5.3469562868447396</v>
      </c>
      <c r="E586" s="191" t="s">
        <v>536</v>
      </c>
      <c r="G586" s="193"/>
      <c r="H586" s="193"/>
      <c r="I586" s="193"/>
      <c r="J586" s="193"/>
      <c r="K586" s="193"/>
      <c r="L586" s="193"/>
      <c r="M586" s="193"/>
      <c r="N586" s="193"/>
      <c r="O586" s="193"/>
      <c r="P586" s="193"/>
      <c r="Q586" s="193"/>
      <c r="R586" s="193"/>
      <c r="S586" s="193"/>
      <c r="T586" s="193"/>
      <c r="U586" s="193"/>
      <c r="V586" s="193"/>
    </row>
    <row r="587" spans="1:22" s="191" customFormat="1">
      <c r="A587" s="193" t="s">
        <v>548</v>
      </c>
      <c r="B587" s="193">
        <v>1959</v>
      </c>
      <c r="C587" s="196">
        <v>26.6992860352489</v>
      </c>
      <c r="D587" s="196">
        <v>6.2275634257443802</v>
      </c>
      <c r="E587" s="191" t="s">
        <v>536</v>
      </c>
      <c r="G587" s="193"/>
      <c r="H587" s="193"/>
      <c r="I587" s="193"/>
      <c r="J587" s="193"/>
      <c r="K587" s="193"/>
      <c r="L587" s="193"/>
      <c r="M587" s="193"/>
      <c r="N587" s="193"/>
      <c r="O587" s="193"/>
      <c r="P587" s="193"/>
      <c r="Q587" s="193"/>
      <c r="R587" s="193"/>
      <c r="S587" s="193"/>
      <c r="T587" s="193"/>
      <c r="U587" s="193"/>
      <c r="V587" s="193"/>
    </row>
    <row r="588" spans="1:22" s="191" customFormat="1">
      <c r="A588" s="193" t="s">
        <v>548</v>
      </c>
      <c r="B588" s="193">
        <v>1960</v>
      </c>
      <c r="C588" s="196">
        <v>24.697720515361699</v>
      </c>
      <c r="D588" s="196">
        <v>5.4219454965620297</v>
      </c>
      <c r="E588" s="191" t="s">
        <v>536</v>
      </c>
      <c r="G588" s="193"/>
      <c r="H588" s="193"/>
      <c r="I588" s="193"/>
      <c r="J588" s="193"/>
      <c r="K588" s="193"/>
      <c r="L588" s="193"/>
      <c r="M588" s="193"/>
      <c r="N588" s="193"/>
      <c r="O588" s="193"/>
      <c r="P588" s="193"/>
      <c r="Q588" s="193"/>
      <c r="R588" s="193"/>
      <c r="S588" s="193"/>
      <c r="T588" s="193"/>
      <c r="U588" s="193"/>
      <c r="V588" s="193"/>
    </row>
    <row r="589" spans="1:22" s="191" customFormat="1">
      <c r="A589" s="193" t="s">
        <v>548</v>
      </c>
      <c r="B589" s="193">
        <v>1961</v>
      </c>
      <c r="C589" s="196">
        <v>21.7431228206122</v>
      </c>
      <c r="D589" s="196">
        <v>8.4217508864203392</v>
      </c>
      <c r="E589" s="191" t="s">
        <v>536</v>
      </c>
      <c r="G589" s="193"/>
      <c r="H589" s="193"/>
      <c r="I589" s="193"/>
      <c r="J589" s="193"/>
      <c r="K589" s="193"/>
      <c r="L589" s="193"/>
      <c r="M589" s="193"/>
      <c r="N589" s="193"/>
      <c r="O589" s="193"/>
      <c r="P589" s="193"/>
      <c r="Q589" s="193"/>
      <c r="R589" s="193"/>
      <c r="S589" s="193"/>
      <c r="T589" s="193"/>
      <c r="U589" s="193"/>
      <c r="V589" s="193"/>
    </row>
    <row r="590" spans="1:22" s="191" customFormat="1">
      <c r="A590" s="193" t="s">
        <v>548</v>
      </c>
      <c r="B590" s="193">
        <v>1962</v>
      </c>
      <c r="C590" s="196">
        <v>20.759707566039001</v>
      </c>
      <c r="D590" s="196">
        <v>7.7970881264130902</v>
      </c>
      <c r="E590" s="191" t="s">
        <v>536</v>
      </c>
      <c r="G590" s="193"/>
      <c r="H590" s="193"/>
      <c r="I590" s="193"/>
      <c r="J590" s="193"/>
      <c r="K590" s="193"/>
      <c r="L590" s="193"/>
      <c r="M590" s="193"/>
      <c r="N590" s="193"/>
      <c r="O590" s="193"/>
      <c r="P590" s="193"/>
      <c r="Q590" s="193"/>
      <c r="R590" s="193"/>
      <c r="S590" s="193"/>
      <c r="T590" s="193"/>
      <c r="U590" s="193"/>
      <c r="V590" s="193"/>
    </row>
    <row r="591" spans="1:22" s="191" customFormat="1">
      <c r="A591" s="193" t="s">
        <v>548</v>
      </c>
      <c r="B591" s="193">
        <v>1963</v>
      </c>
      <c r="C591" s="196">
        <v>18.267951226855299</v>
      </c>
      <c r="D591" s="196">
        <v>7.12306034606942</v>
      </c>
      <c r="E591" s="191" t="s">
        <v>536</v>
      </c>
      <c r="G591" s="193"/>
      <c r="H591" s="193"/>
      <c r="I591" s="193"/>
      <c r="J591" s="193"/>
      <c r="K591" s="193"/>
      <c r="L591" s="193"/>
      <c r="M591" s="193"/>
      <c r="N591" s="193"/>
      <c r="O591" s="193"/>
      <c r="P591" s="193"/>
      <c r="Q591" s="193"/>
      <c r="R591" s="193"/>
      <c r="S591" s="193"/>
      <c r="T591" s="193"/>
      <c r="U591" s="193"/>
      <c r="V591" s="193"/>
    </row>
    <row r="592" spans="1:22" s="191" customFormat="1">
      <c r="A592" s="193" t="s">
        <v>548</v>
      </c>
      <c r="B592" s="193">
        <v>1964</v>
      </c>
      <c r="C592" s="196">
        <v>17.952145214521501</v>
      </c>
      <c r="D592" s="196">
        <v>3.9026738600728401</v>
      </c>
      <c r="E592" s="191" t="s">
        <v>536</v>
      </c>
      <c r="G592" s="193"/>
      <c r="H592" s="193"/>
      <c r="I592" s="193"/>
      <c r="J592" s="193"/>
      <c r="K592" s="193"/>
      <c r="L592" s="193"/>
      <c r="M592" s="193"/>
      <c r="N592" s="193"/>
      <c r="O592" s="193"/>
      <c r="P592" s="193"/>
      <c r="Q592" s="193"/>
      <c r="R592" s="193"/>
      <c r="S592" s="193"/>
      <c r="T592" s="193"/>
      <c r="U592" s="193"/>
      <c r="V592" s="193"/>
    </row>
    <row r="593" spans="1:22" s="191" customFormat="1">
      <c r="A593" s="193" t="s">
        <v>548</v>
      </c>
      <c r="B593" s="193">
        <v>1965</v>
      </c>
      <c r="C593" s="196">
        <v>17.862692976178302</v>
      </c>
      <c r="D593" s="196">
        <v>2.2485782990321801</v>
      </c>
      <c r="E593" s="191" t="s">
        <v>536</v>
      </c>
      <c r="G593" s="193"/>
      <c r="H593" s="193"/>
      <c r="I593" s="193"/>
      <c r="J593" s="193"/>
      <c r="K593" s="193"/>
      <c r="L593" s="193"/>
      <c r="M593" s="193"/>
      <c r="N593" s="193"/>
      <c r="O593" s="193"/>
      <c r="P593" s="193"/>
      <c r="Q593" s="193"/>
      <c r="R593" s="193"/>
      <c r="S593" s="193"/>
      <c r="T593" s="193"/>
      <c r="U593" s="193"/>
      <c r="V593" s="193"/>
    </row>
    <row r="594" spans="1:22" s="191" customFormat="1">
      <c r="A594" s="193" t="s">
        <v>548</v>
      </c>
      <c r="B594" s="193">
        <v>1966</v>
      </c>
      <c r="C594" s="196">
        <v>16.659971377639401</v>
      </c>
      <c r="D594" s="196">
        <v>5.2197357095843202</v>
      </c>
      <c r="E594" s="191" t="s">
        <v>536</v>
      </c>
      <c r="G594" s="193"/>
      <c r="H594" s="193"/>
      <c r="I594" s="193"/>
      <c r="J594" s="193"/>
      <c r="K594" s="193"/>
      <c r="L594" s="193"/>
      <c r="M594" s="193"/>
      <c r="N594" s="193"/>
      <c r="O594" s="193"/>
      <c r="P594" s="193"/>
      <c r="Q594" s="193"/>
      <c r="R594" s="193"/>
      <c r="S594" s="193"/>
      <c r="T594" s="193"/>
      <c r="U594" s="193"/>
      <c r="V594" s="193"/>
    </row>
    <row r="595" spans="1:22" s="191" customFormat="1">
      <c r="A595" s="193" t="s">
        <v>548</v>
      </c>
      <c r="B595" s="193">
        <v>1967</v>
      </c>
      <c r="C595" s="196">
        <v>14.263345195729499</v>
      </c>
      <c r="D595" s="196">
        <v>7.1198804731990899</v>
      </c>
      <c r="E595" s="191" t="s">
        <v>536</v>
      </c>
      <c r="G595" s="193"/>
      <c r="H595" s="193"/>
      <c r="I595" s="193"/>
      <c r="J595" s="193"/>
      <c r="K595" s="193"/>
      <c r="L595" s="193"/>
      <c r="M595" s="193"/>
      <c r="N595" s="193"/>
      <c r="O595" s="193"/>
      <c r="P595" s="193"/>
      <c r="Q595" s="193"/>
      <c r="R595" s="193"/>
      <c r="S595" s="193"/>
      <c r="T595" s="193"/>
      <c r="U595" s="193"/>
      <c r="V595" s="193"/>
    </row>
    <row r="596" spans="1:22" s="191" customFormat="1">
      <c r="A596" s="193" t="s">
        <v>548</v>
      </c>
      <c r="B596" s="193">
        <v>1968</v>
      </c>
      <c r="C596" s="196">
        <v>16.045977011494301</v>
      </c>
      <c r="D596" s="196">
        <v>8.3619326553347406</v>
      </c>
      <c r="E596" s="191" t="s">
        <v>536</v>
      </c>
      <c r="G596" s="193"/>
      <c r="H596" s="193"/>
      <c r="I596" s="193"/>
      <c r="J596" s="193"/>
      <c r="K596" s="193"/>
      <c r="L596" s="193"/>
      <c r="M596" s="193"/>
      <c r="N596" s="193"/>
      <c r="O596" s="193"/>
      <c r="P596" s="193"/>
      <c r="Q596" s="193"/>
      <c r="R596" s="193"/>
      <c r="S596" s="193"/>
      <c r="T596" s="193"/>
      <c r="U596" s="193"/>
      <c r="V596" s="193"/>
    </row>
    <row r="597" spans="1:22" s="191" customFormat="1">
      <c r="A597" s="193" t="s">
        <v>548</v>
      </c>
      <c r="B597" s="193">
        <v>1969</v>
      </c>
      <c r="C597" s="196">
        <v>15.9934235976789</v>
      </c>
      <c r="D597" s="196">
        <v>5.7183778204293896</v>
      </c>
      <c r="E597" s="191" t="s">
        <v>536</v>
      </c>
      <c r="G597" s="193"/>
      <c r="H597" s="193"/>
      <c r="I597" s="193"/>
      <c r="J597" s="193"/>
      <c r="K597" s="193"/>
      <c r="L597" s="193"/>
      <c r="M597" s="193"/>
      <c r="N597" s="193"/>
      <c r="O597" s="193"/>
      <c r="P597" s="193"/>
      <c r="Q597" s="193"/>
      <c r="R597" s="193"/>
      <c r="S597" s="193"/>
      <c r="T597" s="193"/>
      <c r="U597" s="193"/>
      <c r="V597" s="193"/>
    </row>
    <row r="598" spans="1:22" s="191" customFormat="1">
      <c r="A598" s="193" t="s">
        <v>548</v>
      </c>
      <c r="B598" s="193">
        <v>1970</v>
      </c>
      <c r="C598" s="196">
        <v>14.402266356285599</v>
      </c>
      <c r="D598" s="196">
        <v>2.24585384598794</v>
      </c>
      <c r="E598" s="191" t="s">
        <v>536</v>
      </c>
      <c r="G598" s="193"/>
      <c r="H598" s="193"/>
      <c r="I598" s="193"/>
      <c r="J598" s="193"/>
      <c r="K598" s="193"/>
      <c r="L598" s="193"/>
      <c r="M598" s="193"/>
      <c r="N598" s="193"/>
      <c r="O598" s="193"/>
      <c r="P598" s="193"/>
      <c r="Q598" s="193"/>
      <c r="R598" s="193"/>
      <c r="S598" s="193"/>
      <c r="T598" s="193"/>
      <c r="U598" s="193"/>
      <c r="V598" s="193"/>
    </row>
    <row r="599" spans="1:22" s="191" customFormat="1">
      <c r="A599" s="193" t="s">
        <v>548</v>
      </c>
      <c r="B599" s="193">
        <v>1971</v>
      </c>
      <c r="C599" s="196">
        <v>16.376975738469898</v>
      </c>
      <c r="D599" s="196">
        <v>1.89432144596611</v>
      </c>
      <c r="E599" s="191" t="s">
        <v>536</v>
      </c>
      <c r="G599" s="193"/>
      <c r="H599" s="193"/>
      <c r="I599" s="193"/>
      <c r="J599" s="193"/>
      <c r="K599" s="193"/>
      <c r="L599" s="193"/>
      <c r="M599" s="193"/>
      <c r="N599" s="193"/>
      <c r="O599" s="193"/>
      <c r="P599" s="193"/>
      <c r="Q599" s="193"/>
      <c r="R599" s="193"/>
      <c r="S599" s="193"/>
      <c r="T599" s="193"/>
      <c r="U599" s="193"/>
      <c r="V599" s="193"/>
    </row>
    <row r="600" spans="1:22" s="191" customFormat="1">
      <c r="A600" s="193" t="s">
        <v>548</v>
      </c>
      <c r="B600" s="193">
        <v>1972</v>
      </c>
      <c r="C600" s="196">
        <v>18.6433600775778</v>
      </c>
      <c r="D600" s="196">
        <v>2.9259388202527399</v>
      </c>
      <c r="E600" s="191" t="s">
        <v>536</v>
      </c>
      <c r="G600" s="193"/>
      <c r="H600" s="193"/>
      <c r="I600" s="193"/>
      <c r="J600" s="193"/>
      <c r="K600" s="193"/>
      <c r="L600" s="193"/>
      <c r="M600" s="193"/>
      <c r="N600" s="193"/>
      <c r="O600" s="193"/>
      <c r="P600" s="193"/>
      <c r="Q600" s="193"/>
      <c r="R600" s="193"/>
      <c r="S600" s="193"/>
      <c r="T600" s="193"/>
      <c r="U600" s="193"/>
      <c r="V600" s="193"/>
    </row>
    <row r="601" spans="1:22" s="191" customFormat="1">
      <c r="A601" s="193" t="s">
        <v>548</v>
      </c>
      <c r="B601" s="193">
        <v>1973</v>
      </c>
      <c r="C601" s="196">
        <v>20.198599739327499</v>
      </c>
      <c r="D601" s="196">
        <v>6.5419347525199596</v>
      </c>
      <c r="E601" s="191" t="s">
        <v>536</v>
      </c>
      <c r="G601" s="193"/>
      <c r="H601" s="193"/>
      <c r="I601" s="193"/>
      <c r="J601" s="193"/>
      <c r="K601" s="193"/>
      <c r="L601" s="193"/>
      <c r="M601" s="193"/>
      <c r="N601" s="193"/>
      <c r="O601" s="193"/>
      <c r="P601" s="193"/>
      <c r="Q601" s="193"/>
      <c r="R601" s="193"/>
      <c r="S601" s="193"/>
      <c r="T601" s="193"/>
      <c r="U601" s="193"/>
      <c r="V601" s="193"/>
    </row>
    <row r="602" spans="1:22" s="191" customFormat="1">
      <c r="A602" s="193" t="s">
        <v>548</v>
      </c>
      <c r="B602" s="193">
        <v>1974</v>
      </c>
      <c r="C602" s="196">
        <v>22.674807860726698</v>
      </c>
      <c r="D602" s="196">
        <v>4.6896156426920399</v>
      </c>
      <c r="E602" s="191" t="s">
        <v>536</v>
      </c>
      <c r="G602" s="193"/>
      <c r="H602" s="193"/>
      <c r="I602" s="193"/>
      <c r="J602" s="193"/>
      <c r="K602" s="193"/>
      <c r="L602" s="193"/>
      <c r="M602" s="193"/>
      <c r="N602" s="193"/>
      <c r="O602" s="193"/>
      <c r="P602" s="193"/>
      <c r="Q602" s="193"/>
      <c r="R602" s="193"/>
      <c r="S602" s="193"/>
      <c r="T602" s="193"/>
      <c r="U602" s="193"/>
      <c r="V602" s="193"/>
    </row>
    <row r="603" spans="1:22" s="191" customFormat="1">
      <c r="A603" s="193" t="s">
        <v>548</v>
      </c>
      <c r="B603" s="193">
        <v>1975</v>
      </c>
      <c r="C603" s="196">
        <v>27.6369806501603</v>
      </c>
      <c r="D603" s="196">
        <v>-2.1464166284178101</v>
      </c>
      <c r="E603" s="191" t="s">
        <v>536</v>
      </c>
      <c r="G603" s="193"/>
      <c r="H603" s="193"/>
      <c r="I603" s="193"/>
      <c r="J603" s="193"/>
      <c r="K603" s="193"/>
      <c r="L603" s="193"/>
      <c r="M603" s="193"/>
      <c r="N603" s="193"/>
      <c r="O603" s="193"/>
      <c r="P603" s="193"/>
      <c r="Q603" s="193"/>
      <c r="R603" s="193"/>
      <c r="S603" s="193"/>
      <c r="T603" s="193"/>
      <c r="U603" s="193"/>
      <c r="V603" s="193"/>
    </row>
    <row r="604" spans="1:22" s="191" customFormat="1">
      <c r="A604" s="193" t="s">
        <v>548</v>
      </c>
      <c r="B604" s="193">
        <v>1976</v>
      </c>
      <c r="C604" s="196">
        <v>29.992172412611001</v>
      </c>
      <c r="D604" s="196">
        <v>6.4982427221222698</v>
      </c>
      <c r="E604" s="191" t="s">
        <v>536</v>
      </c>
      <c r="G604" s="193"/>
      <c r="H604" s="193"/>
      <c r="I604" s="193"/>
      <c r="J604" s="193"/>
      <c r="K604" s="193"/>
      <c r="L604" s="193"/>
      <c r="M604" s="193"/>
      <c r="N604" s="193"/>
      <c r="O604" s="193"/>
      <c r="P604" s="193"/>
      <c r="Q604" s="193"/>
      <c r="R604" s="193"/>
      <c r="S604" s="193"/>
      <c r="T604" s="193"/>
      <c r="U604" s="193"/>
      <c r="V604" s="193"/>
    </row>
    <row r="605" spans="1:22" s="191" customFormat="1">
      <c r="A605" s="193" t="s">
        <v>548</v>
      </c>
      <c r="B605" s="193">
        <v>1977</v>
      </c>
      <c r="C605" s="196">
        <v>32.793372805553098</v>
      </c>
      <c r="D605" s="196">
        <v>2.8897169741575599</v>
      </c>
      <c r="E605" s="191" t="s">
        <v>537</v>
      </c>
      <c r="G605" s="193"/>
      <c r="H605" s="193"/>
      <c r="I605" s="193"/>
      <c r="J605" s="193"/>
      <c r="K605" s="193"/>
      <c r="L605" s="193"/>
      <c r="M605" s="193"/>
      <c r="N605" s="193"/>
      <c r="O605" s="193"/>
      <c r="P605" s="193"/>
      <c r="Q605" s="193"/>
      <c r="R605" s="193"/>
      <c r="S605" s="193"/>
      <c r="T605" s="193"/>
      <c r="U605" s="193"/>
      <c r="V605" s="193"/>
    </row>
    <row r="606" spans="1:22" s="191" customFormat="1">
      <c r="A606" s="193" t="s">
        <v>548</v>
      </c>
      <c r="B606" s="193">
        <v>1978</v>
      </c>
      <c r="C606" s="196">
        <v>46.647186034705399</v>
      </c>
      <c r="D606" s="196">
        <v>3.7281305227882902</v>
      </c>
      <c r="E606" s="191" t="s">
        <v>537</v>
      </c>
      <c r="G606" s="193"/>
      <c r="H606" s="193"/>
      <c r="I606" s="193"/>
      <c r="J606" s="193"/>
      <c r="K606" s="193"/>
      <c r="L606" s="193"/>
      <c r="M606" s="193"/>
      <c r="N606" s="193"/>
      <c r="O606" s="193"/>
      <c r="P606" s="193"/>
      <c r="Q606" s="193"/>
      <c r="R606" s="193"/>
      <c r="S606" s="193"/>
      <c r="T606" s="193"/>
      <c r="U606" s="193"/>
      <c r="V606" s="193"/>
    </row>
    <row r="607" spans="1:22" s="191" customFormat="1">
      <c r="A607" s="193" t="s">
        <v>548</v>
      </c>
      <c r="B607" s="193">
        <v>1979</v>
      </c>
      <c r="C607" s="196">
        <v>45.760646569184701</v>
      </c>
      <c r="D607" s="196">
        <v>5.6728578292512397</v>
      </c>
      <c r="E607" s="191" t="s">
        <v>537</v>
      </c>
      <c r="G607" s="193"/>
      <c r="H607" s="193"/>
      <c r="I607" s="193"/>
      <c r="J607" s="193"/>
      <c r="K607" s="193"/>
      <c r="L607" s="193"/>
      <c r="M607" s="193"/>
      <c r="N607" s="193"/>
      <c r="O607" s="193"/>
      <c r="P607" s="193"/>
      <c r="Q607" s="193"/>
      <c r="R607" s="193"/>
      <c r="S607" s="193"/>
      <c r="T607" s="193"/>
      <c r="U607" s="193"/>
      <c r="V607" s="193"/>
    </row>
    <row r="608" spans="1:22" s="191" customFormat="1">
      <c r="A608" s="193" t="s">
        <v>548</v>
      </c>
      <c r="B608" s="193">
        <v>1980</v>
      </c>
      <c r="C608" s="196">
        <v>45.6256048450036</v>
      </c>
      <c r="D608" s="196">
        <v>-1.4139999999999999</v>
      </c>
      <c r="E608" s="191" t="s">
        <v>537</v>
      </c>
      <c r="G608" s="193"/>
      <c r="H608" s="193"/>
      <c r="I608" s="193"/>
      <c r="J608" s="193"/>
      <c r="K608" s="193"/>
      <c r="L608" s="193"/>
      <c r="M608" s="193"/>
      <c r="N608" s="193"/>
      <c r="O608" s="193"/>
      <c r="P608" s="193"/>
      <c r="Q608" s="193"/>
      <c r="R608" s="193"/>
      <c r="S608" s="193"/>
      <c r="T608" s="193"/>
      <c r="U608" s="193"/>
      <c r="V608" s="193"/>
    </row>
    <row r="609" spans="1:22" s="191" customFormat="1">
      <c r="A609" s="193" t="s">
        <v>548</v>
      </c>
      <c r="B609" s="193">
        <v>1981</v>
      </c>
      <c r="C609" s="196">
        <v>52.858927208382497</v>
      </c>
      <c r="D609" s="196">
        <v>0.78100000000000003</v>
      </c>
      <c r="E609" s="191" t="s">
        <v>537</v>
      </c>
      <c r="G609" s="193"/>
      <c r="H609" s="193"/>
      <c r="I609" s="193"/>
      <c r="J609" s="193"/>
      <c r="K609" s="193"/>
      <c r="L609" s="193"/>
      <c r="M609" s="193"/>
      <c r="N609" s="193"/>
      <c r="O609" s="193"/>
      <c r="P609" s="193"/>
      <c r="Q609" s="193"/>
      <c r="R609" s="193"/>
      <c r="S609" s="193"/>
      <c r="T609" s="193"/>
      <c r="U609" s="193"/>
      <c r="V609" s="193"/>
    </row>
    <row r="610" spans="1:22" s="191" customFormat="1">
      <c r="A610" s="193" t="s">
        <v>548</v>
      </c>
      <c r="B610" s="193">
        <v>1982</v>
      </c>
      <c r="C610" s="196">
        <v>58.478675042664598</v>
      </c>
      <c r="D610" s="196">
        <v>0.66800000000000004</v>
      </c>
      <c r="E610" s="191" t="s">
        <v>537</v>
      </c>
      <c r="G610" s="193"/>
      <c r="H610" s="193"/>
      <c r="I610" s="193"/>
      <c r="J610" s="193"/>
      <c r="K610" s="193"/>
      <c r="L610" s="193"/>
      <c r="M610" s="193"/>
      <c r="N610" s="193"/>
      <c r="O610" s="193"/>
      <c r="P610" s="193"/>
      <c r="Q610" s="193"/>
      <c r="R610" s="193"/>
      <c r="S610" s="193"/>
      <c r="T610" s="193"/>
      <c r="U610" s="193"/>
      <c r="V610" s="193"/>
    </row>
    <row r="611" spans="1:22" s="191" customFormat="1">
      <c r="A611" s="193" t="s">
        <v>548</v>
      </c>
      <c r="B611" s="193">
        <v>1983</v>
      </c>
      <c r="C611" s="196">
        <v>64.306858242568396</v>
      </c>
      <c r="D611" s="196">
        <v>0.91300000000000003</v>
      </c>
      <c r="E611" s="191" t="s">
        <v>538</v>
      </c>
      <c r="G611" s="193"/>
      <c r="H611" s="193"/>
      <c r="I611" s="193"/>
      <c r="J611" s="193"/>
      <c r="K611" s="193"/>
      <c r="L611" s="193"/>
      <c r="M611" s="193"/>
      <c r="N611" s="193"/>
      <c r="O611" s="193"/>
      <c r="P611" s="193"/>
      <c r="Q611" s="193"/>
      <c r="R611" s="193"/>
      <c r="S611" s="193"/>
      <c r="T611" s="193"/>
      <c r="U611" s="193"/>
      <c r="V611" s="193"/>
    </row>
    <row r="612" spans="1:22" s="191" customFormat="1">
      <c r="A612" s="193" t="s">
        <v>548</v>
      </c>
      <c r="B612" s="193">
        <v>1984</v>
      </c>
      <c r="C612" s="196">
        <v>66.455645616926503</v>
      </c>
      <c r="D612" s="196">
        <v>3.226</v>
      </c>
      <c r="E612" s="191" t="s">
        <v>538</v>
      </c>
      <c r="G612" s="193"/>
      <c r="H612" s="193"/>
      <c r="I612" s="193"/>
      <c r="J612" s="193"/>
      <c r="K612" s="193"/>
      <c r="L612" s="193"/>
      <c r="M612" s="193"/>
      <c r="N612" s="193"/>
      <c r="O612" s="193"/>
      <c r="P612" s="193"/>
      <c r="Q612" s="193"/>
      <c r="R612" s="193"/>
      <c r="S612" s="193"/>
      <c r="T612" s="193"/>
      <c r="U612" s="193"/>
      <c r="V612" s="193"/>
    </row>
    <row r="613" spans="1:22" s="191" customFormat="1">
      <c r="A613" s="193" t="s">
        <v>548</v>
      </c>
      <c r="B613" s="193">
        <v>1985</v>
      </c>
      <c r="C613" s="196">
        <v>61.972545714138299</v>
      </c>
      <c r="D613" s="196">
        <v>2.798</v>
      </c>
      <c r="E613" s="191" t="s">
        <v>538</v>
      </c>
      <c r="G613" s="193"/>
      <c r="H613" s="193"/>
      <c r="I613" s="193"/>
      <c r="J613" s="193"/>
      <c r="K613" s="193"/>
      <c r="L613" s="193"/>
      <c r="M613" s="193"/>
      <c r="N613" s="193"/>
      <c r="O613" s="193"/>
      <c r="P613" s="193"/>
      <c r="Q613" s="193"/>
      <c r="R613" s="193"/>
      <c r="S613" s="193"/>
      <c r="T613" s="193"/>
      <c r="U613" s="193"/>
      <c r="V613" s="193"/>
    </row>
    <row r="614" spans="1:22" s="191" customFormat="1">
      <c r="A614" s="193" t="s">
        <v>548</v>
      </c>
      <c r="B614" s="193">
        <v>1986</v>
      </c>
      <c r="C614" s="196">
        <v>67.101899297897205</v>
      </c>
      <c r="D614" s="196">
        <v>2.86</v>
      </c>
      <c r="E614" s="191" t="s">
        <v>538</v>
      </c>
      <c r="G614" s="193"/>
      <c r="H614" s="193"/>
      <c r="I614" s="193"/>
      <c r="J614" s="193"/>
      <c r="K614" s="193"/>
      <c r="L614" s="193"/>
      <c r="M614" s="193"/>
      <c r="N614" s="193"/>
      <c r="O614" s="193"/>
      <c r="P614" s="193"/>
      <c r="Q614" s="193"/>
      <c r="R614" s="193"/>
      <c r="S614" s="193"/>
      <c r="T614" s="193"/>
      <c r="U614" s="193"/>
      <c r="V614" s="193"/>
    </row>
    <row r="615" spans="1:22" s="191" customFormat="1">
      <c r="A615" s="193" t="s">
        <v>548</v>
      </c>
      <c r="B615" s="193">
        <v>1987</v>
      </c>
      <c r="C615" s="196">
        <v>70.815581841023103</v>
      </c>
      <c r="D615" s="196">
        <v>3.1920000000000002</v>
      </c>
      <c r="E615" s="191" t="s">
        <v>538</v>
      </c>
      <c r="G615" s="193"/>
      <c r="H615" s="193"/>
      <c r="I615" s="193"/>
      <c r="J615" s="193"/>
      <c r="K615" s="193"/>
      <c r="L615" s="193"/>
      <c r="M615" s="193"/>
      <c r="N615" s="193"/>
      <c r="O615" s="193"/>
      <c r="P615" s="193"/>
      <c r="Q615" s="193"/>
      <c r="R615" s="193"/>
      <c r="S615" s="193"/>
      <c r="T615" s="193"/>
      <c r="U615" s="193"/>
      <c r="V615" s="193"/>
    </row>
    <row r="616" spans="1:22" s="191" customFormat="1">
      <c r="A616" s="193" t="s">
        <v>548</v>
      </c>
      <c r="B616" s="193">
        <v>1988</v>
      </c>
      <c r="C616" s="196">
        <v>73.707496065297804</v>
      </c>
      <c r="D616" s="196">
        <v>4.194</v>
      </c>
      <c r="E616" s="191" t="s">
        <v>538</v>
      </c>
      <c r="G616" s="193"/>
      <c r="H616" s="193"/>
      <c r="I616" s="193"/>
      <c r="J616" s="193"/>
      <c r="K616" s="193"/>
      <c r="L616" s="193"/>
      <c r="M616" s="193"/>
      <c r="N616" s="193"/>
      <c r="O616" s="193"/>
      <c r="P616" s="193"/>
      <c r="Q616" s="193"/>
      <c r="R616" s="193"/>
      <c r="S616" s="193"/>
      <c r="T616" s="193"/>
      <c r="U616" s="193"/>
      <c r="V616" s="193"/>
    </row>
    <row r="617" spans="1:22" s="191" customFormat="1">
      <c r="A617" s="193" t="s">
        <v>548</v>
      </c>
      <c r="B617" s="193">
        <v>1989</v>
      </c>
      <c r="C617" s="196">
        <v>76.674576582749097</v>
      </c>
      <c r="D617" s="196">
        <v>3.3879999999999999</v>
      </c>
      <c r="E617" s="191" t="s">
        <v>538</v>
      </c>
      <c r="G617" s="193"/>
      <c r="H617" s="193"/>
      <c r="I617" s="193"/>
      <c r="J617" s="193"/>
      <c r="K617" s="193"/>
      <c r="L617" s="193"/>
      <c r="M617" s="193"/>
      <c r="N617" s="193"/>
      <c r="O617" s="193"/>
      <c r="P617" s="193"/>
      <c r="Q617" s="193"/>
      <c r="R617" s="193"/>
      <c r="S617" s="193"/>
      <c r="T617" s="193"/>
      <c r="U617" s="193"/>
      <c r="V617" s="193"/>
    </row>
    <row r="618" spans="1:22" s="191" customFormat="1">
      <c r="A618" s="193" t="s">
        <v>548</v>
      </c>
      <c r="B618" s="193">
        <v>1990</v>
      </c>
      <c r="C618" s="196">
        <v>78.984275039179906</v>
      </c>
      <c r="D618" s="196">
        <v>2.0529999999999999</v>
      </c>
      <c r="E618" s="191" t="s">
        <v>538</v>
      </c>
      <c r="G618" s="193"/>
      <c r="H618" s="193"/>
      <c r="I618" s="193"/>
      <c r="J618" s="193"/>
      <c r="K618" s="193"/>
      <c r="L618" s="193"/>
      <c r="M618" s="193"/>
      <c r="N618" s="193"/>
      <c r="O618" s="193"/>
      <c r="P618" s="193"/>
      <c r="Q618" s="193"/>
      <c r="R618" s="193"/>
      <c r="S618" s="193"/>
      <c r="T618" s="193"/>
      <c r="U618" s="193"/>
      <c r="V618" s="193"/>
    </row>
    <row r="619" spans="1:22" s="191" customFormat="1">
      <c r="A619" s="193" t="s">
        <v>548</v>
      </c>
      <c r="B619" s="193">
        <v>1991</v>
      </c>
      <c r="C619" s="196">
        <v>81.949120188803704</v>
      </c>
      <c r="D619" s="196">
        <v>1.534</v>
      </c>
      <c r="E619" s="191" t="s">
        <v>538</v>
      </c>
      <c r="G619" s="193"/>
      <c r="H619" s="193"/>
      <c r="I619" s="193"/>
      <c r="J619" s="193"/>
      <c r="K619" s="193"/>
      <c r="L619" s="193"/>
      <c r="M619" s="193"/>
      <c r="N619" s="193"/>
      <c r="O619" s="193"/>
      <c r="P619" s="193"/>
      <c r="Q619" s="193"/>
      <c r="R619" s="193"/>
      <c r="S619" s="193"/>
      <c r="T619" s="193"/>
      <c r="U619" s="193"/>
      <c r="V619" s="193"/>
    </row>
    <row r="620" spans="1:22" s="191" customFormat="1">
      <c r="A620" s="193" t="s">
        <v>548</v>
      </c>
      <c r="B620" s="193">
        <v>1992</v>
      </c>
      <c r="C620" s="196">
        <v>85.4432635479032</v>
      </c>
      <c r="D620" s="196">
        <v>0.77300000000000002</v>
      </c>
      <c r="E620" s="191" t="s">
        <v>538</v>
      </c>
      <c r="G620" s="193"/>
      <c r="H620" s="193"/>
      <c r="I620" s="193"/>
      <c r="J620" s="193"/>
      <c r="K620" s="193"/>
      <c r="L620" s="193"/>
      <c r="M620" s="193"/>
      <c r="N620" s="193"/>
      <c r="O620" s="193"/>
      <c r="P620" s="193"/>
      <c r="Q620" s="193"/>
      <c r="R620" s="193"/>
      <c r="S620" s="193"/>
      <c r="T620" s="193"/>
      <c r="U620" s="193"/>
      <c r="V620" s="193"/>
    </row>
    <row r="621" spans="1:22" s="191" customFormat="1">
      <c r="A621" s="193" t="s">
        <v>548</v>
      </c>
      <c r="B621" s="193">
        <v>1993</v>
      </c>
      <c r="C621" s="196">
        <v>95.140230543245494</v>
      </c>
      <c r="D621" s="196">
        <v>-0.88800000000000001</v>
      </c>
      <c r="E621" s="191" t="s">
        <v>535</v>
      </c>
      <c r="G621" s="193"/>
      <c r="H621" s="193"/>
      <c r="I621" s="193"/>
      <c r="J621" s="193"/>
      <c r="K621" s="193"/>
      <c r="L621" s="193"/>
      <c r="M621" s="193"/>
      <c r="N621" s="193"/>
      <c r="O621" s="193"/>
      <c r="P621" s="193"/>
      <c r="Q621" s="193"/>
      <c r="R621" s="193"/>
      <c r="S621" s="193"/>
      <c r="T621" s="193"/>
      <c r="U621" s="193"/>
      <c r="V621" s="193"/>
    </row>
    <row r="622" spans="1:22" s="191" customFormat="1">
      <c r="A622" s="193" t="s">
        <v>548</v>
      </c>
      <c r="B622" s="193">
        <v>1994</v>
      </c>
      <c r="C622" s="196">
        <v>104.801115635371</v>
      </c>
      <c r="D622" s="196">
        <v>2.1520000000000001</v>
      </c>
      <c r="E622" s="191" t="s">
        <v>535</v>
      </c>
      <c r="G622" s="193"/>
      <c r="H622" s="193"/>
      <c r="I622" s="193"/>
      <c r="J622" s="193"/>
      <c r="K622" s="193"/>
      <c r="L622" s="193"/>
      <c r="M622" s="193"/>
      <c r="N622" s="193"/>
      <c r="O622" s="193"/>
      <c r="P622" s="193"/>
      <c r="Q622" s="193"/>
      <c r="R622" s="193"/>
      <c r="S622" s="193"/>
      <c r="T622" s="193"/>
      <c r="U622" s="193"/>
      <c r="V622" s="193"/>
    </row>
    <row r="623" spans="1:22" s="191" customFormat="1">
      <c r="A623" s="193" t="s">
        <v>548</v>
      </c>
      <c r="B623" s="193">
        <v>1995</v>
      </c>
      <c r="C623" s="196">
        <v>104.288665976122</v>
      </c>
      <c r="D623" s="196">
        <v>2.827</v>
      </c>
      <c r="E623" s="191" t="s">
        <v>535</v>
      </c>
      <c r="G623" s="193"/>
      <c r="H623" s="193"/>
      <c r="I623" s="193"/>
      <c r="J623" s="193"/>
      <c r="K623" s="193"/>
      <c r="L623" s="193"/>
      <c r="M623" s="193"/>
      <c r="N623" s="193"/>
      <c r="O623" s="193"/>
      <c r="P623" s="193"/>
      <c r="Q623" s="193"/>
      <c r="R623" s="193"/>
      <c r="S623" s="193"/>
      <c r="T623" s="193"/>
      <c r="U623" s="193"/>
      <c r="V623" s="193"/>
    </row>
    <row r="624" spans="1:22" s="191" customFormat="1">
      <c r="A624" s="193" t="s">
        <v>548</v>
      </c>
      <c r="B624" s="193">
        <v>1996</v>
      </c>
      <c r="C624" s="196">
        <v>103.77586721410999</v>
      </c>
      <c r="D624" s="196">
        <v>1.095</v>
      </c>
      <c r="E624" s="191" t="s">
        <v>535</v>
      </c>
      <c r="G624" s="193"/>
      <c r="H624" s="193"/>
      <c r="I624" s="193"/>
      <c r="J624" s="193"/>
      <c r="K624" s="193"/>
      <c r="L624" s="193"/>
      <c r="M624" s="193"/>
      <c r="N624" s="193"/>
      <c r="O624" s="193"/>
      <c r="P624" s="193"/>
      <c r="Q624" s="193"/>
      <c r="R624" s="193"/>
      <c r="S624" s="193"/>
      <c r="T624" s="193"/>
      <c r="U624" s="193"/>
      <c r="V624" s="193"/>
    </row>
    <row r="625" spans="1:22" s="191" customFormat="1">
      <c r="A625" s="193" t="s">
        <v>548</v>
      </c>
      <c r="B625" s="193">
        <v>1997</v>
      </c>
      <c r="C625" s="196">
        <v>101.15083468754599</v>
      </c>
      <c r="D625" s="196">
        <v>1.8720000000000001</v>
      </c>
      <c r="E625" s="191" t="s">
        <v>535</v>
      </c>
      <c r="G625" s="193"/>
      <c r="H625" s="193"/>
      <c r="I625" s="193"/>
      <c r="J625" s="193"/>
      <c r="K625" s="193"/>
      <c r="L625" s="193"/>
      <c r="M625" s="193"/>
      <c r="N625" s="193"/>
      <c r="O625" s="193"/>
      <c r="P625" s="193"/>
      <c r="Q625" s="193"/>
      <c r="R625" s="193"/>
      <c r="S625" s="193"/>
      <c r="T625" s="193"/>
      <c r="U625" s="193"/>
      <c r="V625" s="193"/>
    </row>
    <row r="626" spans="1:22" s="191" customFormat="1">
      <c r="A626" s="193" t="s">
        <v>548</v>
      </c>
      <c r="B626" s="193">
        <v>1998</v>
      </c>
      <c r="C626" s="196">
        <v>99.743655266732006</v>
      </c>
      <c r="D626" s="196">
        <v>1.401</v>
      </c>
      <c r="E626" s="191" t="s">
        <v>535</v>
      </c>
      <c r="G626" s="193"/>
      <c r="H626" s="193"/>
      <c r="I626" s="193"/>
      <c r="J626" s="193"/>
      <c r="K626" s="193"/>
      <c r="L626" s="193"/>
      <c r="M626" s="193"/>
      <c r="N626" s="193"/>
      <c r="O626" s="193"/>
      <c r="P626" s="193"/>
      <c r="Q626" s="193"/>
      <c r="R626" s="193"/>
      <c r="S626" s="193"/>
      <c r="T626" s="193"/>
      <c r="U626" s="193"/>
      <c r="V626" s="193"/>
    </row>
    <row r="627" spans="1:22" s="191" customFormat="1">
      <c r="A627" s="193" t="s">
        <v>548</v>
      </c>
      <c r="B627" s="193">
        <v>1999</v>
      </c>
      <c r="C627" s="196">
        <v>97.800974190171104</v>
      </c>
      <c r="D627" s="196">
        <v>1.464</v>
      </c>
      <c r="E627" s="191" t="s">
        <v>535</v>
      </c>
      <c r="G627" s="193"/>
      <c r="H627" s="193"/>
      <c r="I627" s="193"/>
      <c r="J627" s="193"/>
      <c r="K627" s="193"/>
      <c r="L627" s="193"/>
      <c r="M627" s="193"/>
      <c r="N627" s="193"/>
      <c r="O627" s="193"/>
      <c r="P627" s="193"/>
      <c r="Q627" s="193"/>
      <c r="R627" s="193"/>
      <c r="S627" s="193"/>
      <c r="T627" s="193"/>
      <c r="U627" s="193"/>
      <c r="V627" s="193"/>
    </row>
    <row r="628" spans="1:22" s="191" customFormat="1">
      <c r="A628" s="193" t="s">
        <v>548</v>
      </c>
      <c r="B628" s="193">
        <v>2000</v>
      </c>
      <c r="C628" s="196">
        <v>95.117122563094995</v>
      </c>
      <c r="D628" s="196">
        <v>3.6930000000000001</v>
      </c>
      <c r="E628" s="191" t="s">
        <v>535</v>
      </c>
      <c r="G628" s="193"/>
      <c r="H628" s="193"/>
      <c r="I628" s="193"/>
      <c r="J628" s="193"/>
      <c r="K628" s="193"/>
      <c r="L628" s="193"/>
      <c r="M628" s="193"/>
      <c r="N628" s="193"/>
      <c r="O628" s="193"/>
      <c r="P628" s="193"/>
      <c r="Q628" s="193"/>
      <c r="R628" s="193"/>
      <c r="S628" s="193"/>
      <c r="T628" s="193"/>
      <c r="U628" s="193"/>
      <c r="V628" s="193"/>
    </row>
    <row r="629" spans="1:22" s="191" customFormat="1">
      <c r="A629" s="193" t="s">
        <v>548</v>
      </c>
      <c r="B629" s="193">
        <v>2001</v>
      </c>
      <c r="C629" s="196">
        <v>91.710166980338798</v>
      </c>
      <c r="D629" s="196">
        <v>1.8180000000000001</v>
      </c>
      <c r="E629" s="191" t="s">
        <v>535</v>
      </c>
      <c r="G629" s="193"/>
      <c r="H629" s="193"/>
      <c r="I629" s="193"/>
      <c r="J629" s="193"/>
      <c r="K629" s="193"/>
      <c r="L629" s="193"/>
      <c r="M629" s="193"/>
      <c r="N629" s="193"/>
      <c r="O629" s="193"/>
      <c r="P629" s="193"/>
      <c r="Q629" s="193"/>
      <c r="R629" s="193"/>
      <c r="S629" s="193"/>
      <c r="T629" s="193"/>
      <c r="U629" s="193"/>
      <c r="V629" s="193"/>
    </row>
    <row r="630" spans="1:22" s="191" customFormat="1">
      <c r="A630" s="193" t="s">
        <v>548</v>
      </c>
      <c r="B630" s="193">
        <v>2002</v>
      </c>
      <c r="C630" s="196">
        <v>88.241933865027804</v>
      </c>
      <c r="D630" s="196">
        <v>0.45400000000000001</v>
      </c>
      <c r="E630" s="191" t="s">
        <v>538</v>
      </c>
      <c r="G630" s="193"/>
      <c r="H630" s="193"/>
      <c r="I630" s="193"/>
      <c r="J630" s="193"/>
      <c r="K630" s="193"/>
      <c r="L630" s="193"/>
      <c r="M630" s="193"/>
      <c r="N630" s="193"/>
      <c r="O630" s="193"/>
      <c r="P630" s="193"/>
      <c r="Q630" s="193"/>
      <c r="R630" s="193"/>
      <c r="S630" s="193"/>
      <c r="T630" s="193"/>
      <c r="U630" s="193"/>
      <c r="V630" s="193"/>
    </row>
    <row r="631" spans="1:22" s="191" customFormat="1">
      <c r="A631" s="193" t="s">
        <v>548</v>
      </c>
      <c r="B631" s="193">
        <v>2003</v>
      </c>
      <c r="C631" s="196">
        <v>86.657108623207407</v>
      </c>
      <c r="D631" s="196">
        <v>-1.7000000000000001E-2</v>
      </c>
      <c r="E631" s="191" t="s">
        <v>538</v>
      </c>
      <c r="G631" s="193"/>
      <c r="H631" s="193"/>
      <c r="I631" s="193"/>
      <c r="J631" s="193"/>
      <c r="K631" s="193"/>
      <c r="L631" s="193"/>
      <c r="M631" s="193"/>
      <c r="N631" s="193"/>
      <c r="O631" s="193"/>
      <c r="P631" s="193"/>
      <c r="Q631" s="193"/>
      <c r="R631" s="193"/>
      <c r="S631" s="193"/>
      <c r="T631" s="193"/>
      <c r="U631" s="193"/>
      <c r="V631" s="193"/>
    </row>
    <row r="632" spans="1:22" s="191" customFormat="1">
      <c r="A632" s="193" t="s">
        <v>548</v>
      </c>
      <c r="B632" s="193">
        <v>2004</v>
      </c>
      <c r="C632" s="196">
        <v>85.103734738022197</v>
      </c>
      <c r="D632" s="196">
        <v>1.532</v>
      </c>
      <c r="E632" s="191" t="s">
        <v>538</v>
      </c>
      <c r="G632" s="193"/>
      <c r="H632" s="193"/>
      <c r="I632" s="193"/>
      <c r="J632" s="193"/>
      <c r="K632" s="193"/>
      <c r="L632" s="193"/>
      <c r="M632" s="193"/>
      <c r="N632" s="193"/>
      <c r="O632" s="193"/>
      <c r="P632" s="193"/>
      <c r="Q632" s="193"/>
      <c r="R632" s="193"/>
      <c r="S632" s="193"/>
      <c r="T632" s="193"/>
      <c r="U632" s="193"/>
      <c r="V632" s="193"/>
    </row>
    <row r="633" spans="1:22" s="191" customFormat="1">
      <c r="A633" s="193" t="s">
        <v>548</v>
      </c>
      <c r="B633" s="193">
        <v>2005</v>
      </c>
      <c r="C633" s="196">
        <v>84.858237261102005</v>
      </c>
      <c r="D633" s="196">
        <v>0.65600000000000003</v>
      </c>
      <c r="E633" s="191" t="s">
        <v>538</v>
      </c>
      <c r="G633" s="193"/>
      <c r="H633" s="193"/>
      <c r="I633" s="193"/>
      <c r="J633" s="193"/>
      <c r="K633" s="193"/>
      <c r="L633" s="193"/>
      <c r="M633" s="193"/>
      <c r="N633" s="193"/>
      <c r="O633" s="193"/>
      <c r="P633" s="193"/>
      <c r="Q633" s="193"/>
      <c r="R633" s="193"/>
      <c r="S633" s="193"/>
      <c r="T633" s="193"/>
      <c r="U633" s="193"/>
      <c r="V633" s="193"/>
    </row>
    <row r="634" spans="1:22" s="191" customFormat="1">
      <c r="A634" s="193" t="s">
        <v>548</v>
      </c>
      <c r="B634" s="193">
        <v>2006</v>
      </c>
      <c r="C634" s="196">
        <v>84.621177745761997</v>
      </c>
      <c r="D634" s="196">
        <v>2.036</v>
      </c>
      <c r="E634" s="191" t="s">
        <v>538</v>
      </c>
      <c r="G634" s="193"/>
      <c r="H634" s="193"/>
      <c r="I634" s="193"/>
      <c r="J634" s="193"/>
      <c r="K634" s="193"/>
      <c r="L634" s="193"/>
      <c r="M634" s="193"/>
      <c r="N634" s="193"/>
      <c r="O634" s="193"/>
      <c r="P634" s="193"/>
      <c r="Q634" s="193"/>
      <c r="R634" s="193"/>
      <c r="S634" s="193"/>
      <c r="T634" s="193"/>
      <c r="U634" s="193"/>
      <c r="V634" s="193"/>
    </row>
    <row r="635" spans="1:22" s="191" customFormat="1">
      <c r="A635" s="193" t="s">
        <v>548</v>
      </c>
      <c r="B635" s="193">
        <v>2007</v>
      </c>
      <c r="C635" s="196">
        <v>83.407399735908697</v>
      </c>
      <c r="D635" s="196">
        <v>1.5640000000000001</v>
      </c>
      <c r="E635" s="191" t="s">
        <v>538</v>
      </c>
      <c r="G635" s="193"/>
      <c r="H635" s="193"/>
      <c r="I635" s="193"/>
      <c r="J635" s="193"/>
      <c r="K635" s="193"/>
      <c r="L635" s="193"/>
      <c r="M635" s="193"/>
      <c r="N635" s="193"/>
      <c r="O635" s="193"/>
      <c r="P635" s="193"/>
      <c r="Q635" s="193"/>
      <c r="R635" s="193"/>
      <c r="S635" s="193"/>
      <c r="T635" s="193"/>
      <c r="U635" s="193"/>
      <c r="V635" s="193"/>
    </row>
    <row r="636" spans="1:22" s="191" customFormat="1">
      <c r="A636" s="193" t="s">
        <v>548</v>
      </c>
      <c r="B636" s="193">
        <v>2008</v>
      </c>
      <c r="C636" s="196">
        <v>86.259572329924197</v>
      </c>
      <c r="D636" s="196">
        <v>-1.04</v>
      </c>
      <c r="E636" s="191" t="s">
        <v>538</v>
      </c>
      <c r="G636" s="193"/>
      <c r="H636" s="193"/>
      <c r="I636" s="193"/>
      <c r="J636" s="193"/>
      <c r="K636" s="193"/>
      <c r="L636" s="193"/>
      <c r="M636" s="193"/>
      <c r="N636" s="193"/>
      <c r="O636" s="193"/>
      <c r="P636" s="193"/>
      <c r="Q636" s="193"/>
      <c r="R636" s="193"/>
      <c r="S636" s="193"/>
      <c r="T636" s="193"/>
      <c r="U636" s="193"/>
      <c r="V636" s="193"/>
    </row>
    <row r="637" spans="1:22" s="191" customFormat="1">
      <c r="A637" s="193" t="s">
        <v>548</v>
      </c>
      <c r="B637" s="193">
        <v>2009</v>
      </c>
      <c r="C637" s="196">
        <v>97.135118206494994</v>
      </c>
      <c r="D637" s="196">
        <v>-5.1449999999999996</v>
      </c>
      <c r="E637" s="191" t="s">
        <v>535</v>
      </c>
      <c r="G637" s="193"/>
      <c r="H637" s="193"/>
      <c r="I637" s="193"/>
      <c r="J637" s="193"/>
      <c r="K637" s="193"/>
      <c r="L637" s="193"/>
      <c r="M637" s="193"/>
      <c r="N637" s="193"/>
      <c r="O637" s="193"/>
      <c r="P637" s="193"/>
      <c r="Q637" s="193"/>
      <c r="R637" s="193"/>
      <c r="S637" s="193"/>
      <c r="T637" s="193"/>
      <c r="U637" s="193"/>
      <c r="V637" s="193"/>
    </row>
    <row r="638" spans="1:22" s="191" customFormat="1">
      <c r="A638" s="193" t="s">
        <v>549</v>
      </c>
      <c r="B638" s="193">
        <v>1956</v>
      </c>
      <c r="C638" s="196">
        <v>10.615875273290699</v>
      </c>
      <c r="D638" s="196">
        <v>6.2015266591417797</v>
      </c>
      <c r="E638" s="191" t="s">
        <v>536</v>
      </c>
      <c r="G638" s="193"/>
      <c r="H638" s="193"/>
      <c r="I638" s="193"/>
      <c r="J638" s="193"/>
      <c r="K638" s="193"/>
      <c r="L638" s="193"/>
      <c r="M638" s="193"/>
      <c r="N638" s="193"/>
      <c r="O638" s="193"/>
      <c r="P638" s="193"/>
      <c r="Q638" s="193"/>
      <c r="R638" s="193"/>
      <c r="S638" s="193"/>
      <c r="T638" s="193"/>
      <c r="U638" s="193"/>
      <c r="V638" s="193"/>
    </row>
    <row r="639" spans="1:22" s="191" customFormat="1">
      <c r="A639" s="193" t="s">
        <v>549</v>
      </c>
      <c r="B639" s="193">
        <v>1957</v>
      </c>
      <c r="C639" s="196">
        <v>8.9358371015720692</v>
      </c>
      <c r="D639" s="196">
        <v>7.3282461999618196</v>
      </c>
      <c r="E639" s="191" t="s">
        <v>536</v>
      </c>
      <c r="G639" s="193"/>
      <c r="H639" s="193"/>
      <c r="I639" s="193"/>
      <c r="J639" s="193"/>
      <c r="K639" s="193"/>
      <c r="L639" s="193"/>
      <c r="M639" s="193"/>
      <c r="N639" s="193"/>
      <c r="O639" s="193"/>
      <c r="P639" s="193"/>
      <c r="Q639" s="193"/>
      <c r="R639" s="193"/>
      <c r="S639" s="193"/>
      <c r="T639" s="193"/>
      <c r="U639" s="193"/>
      <c r="V639" s="193"/>
    </row>
    <row r="640" spans="1:22" s="191" customFormat="1">
      <c r="A640" s="193" t="s">
        <v>549</v>
      </c>
      <c r="B640" s="193">
        <v>1958</v>
      </c>
      <c r="C640" s="196">
        <v>9.3208358250348802</v>
      </c>
      <c r="D640" s="196">
        <v>6.3953595711362796</v>
      </c>
      <c r="E640" s="191" t="s">
        <v>536</v>
      </c>
      <c r="G640" s="193"/>
      <c r="H640" s="193"/>
      <c r="I640" s="193"/>
      <c r="J640" s="193"/>
      <c r="K640" s="193"/>
      <c r="L640" s="193"/>
      <c r="M640" s="193"/>
      <c r="N640" s="193"/>
      <c r="O640" s="193"/>
      <c r="P640" s="193"/>
      <c r="Q640" s="193"/>
      <c r="R640" s="193"/>
      <c r="S640" s="193"/>
      <c r="T640" s="193"/>
      <c r="U640" s="193"/>
      <c r="V640" s="193"/>
    </row>
    <row r="641" spans="1:22" s="191" customFormat="1">
      <c r="A641" s="193" t="s">
        <v>549</v>
      </c>
      <c r="B641" s="193">
        <v>1959</v>
      </c>
      <c r="C641" s="196">
        <v>9.4991850071643604</v>
      </c>
      <c r="D641" s="196">
        <v>8.3429692811766998</v>
      </c>
      <c r="E641" s="191" t="s">
        <v>536</v>
      </c>
      <c r="G641" s="193"/>
      <c r="H641" s="193"/>
      <c r="I641" s="193"/>
      <c r="J641" s="193"/>
      <c r="K641" s="193"/>
      <c r="L641" s="193"/>
      <c r="M641" s="193"/>
      <c r="N641" s="193"/>
      <c r="O641" s="193"/>
      <c r="P641" s="193"/>
      <c r="Q641" s="193"/>
      <c r="R641" s="193"/>
      <c r="S641" s="193"/>
      <c r="T641" s="193"/>
      <c r="U641" s="193"/>
      <c r="V641" s="193"/>
    </row>
    <row r="642" spans="1:22" s="191" customFormat="1">
      <c r="A642" s="193" t="s">
        <v>549</v>
      </c>
      <c r="B642" s="193">
        <v>1960</v>
      </c>
      <c r="C642" s="196">
        <v>8.3716934108696606</v>
      </c>
      <c r="D642" s="196">
        <v>11.2621178279494</v>
      </c>
      <c r="E642" s="191" t="s">
        <v>536</v>
      </c>
      <c r="G642" s="193"/>
      <c r="H642" s="193"/>
      <c r="I642" s="193"/>
      <c r="J642" s="193"/>
      <c r="K642" s="193"/>
      <c r="L642" s="193"/>
      <c r="M642" s="193"/>
      <c r="N642" s="193"/>
      <c r="O642" s="193"/>
      <c r="P642" s="193"/>
      <c r="Q642" s="193"/>
      <c r="R642" s="193"/>
      <c r="S642" s="193"/>
      <c r="T642" s="193"/>
      <c r="U642" s="193"/>
      <c r="V642" s="193"/>
    </row>
    <row r="643" spans="1:22" s="191" customFormat="1">
      <c r="A643" s="193" t="s">
        <v>549</v>
      </c>
      <c r="B643" s="193">
        <v>1961</v>
      </c>
      <c r="C643" s="196">
        <v>6.3245468414656196</v>
      </c>
      <c r="D643" s="196">
        <v>9.9976967752235701</v>
      </c>
      <c r="E643" s="191" t="s">
        <v>536</v>
      </c>
      <c r="G643" s="193"/>
      <c r="H643" s="193"/>
      <c r="I643" s="193"/>
      <c r="J643" s="193"/>
      <c r="K643" s="193"/>
      <c r="L643" s="193"/>
      <c r="M643" s="193"/>
      <c r="N643" s="193"/>
      <c r="O643" s="193"/>
      <c r="P643" s="193"/>
      <c r="Q643" s="193"/>
      <c r="R643" s="193"/>
      <c r="S643" s="193"/>
      <c r="T643" s="193"/>
      <c r="U643" s="193"/>
      <c r="V643" s="193"/>
    </row>
    <row r="644" spans="1:22" s="191" customFormat="1">
      <c r="A644" s="193" t="s">
        <v>549</v>
      </c>
      <c r="B644" s="193">
        <v>1962</v>
      </c>
      <c r="C644" s="196">
        <v>5.83640572946811</v>
      </c>
      <c r="D644" s="196">
        <v>6.7162536598365703</v>
      </c>
      <c r="E644" s="191" t="s">
        <v>536</v>
      </c>
      <c r="G644" s="193"/>
      <c r="H644" s="193"/>
      <c r="I644" s="193"/>
      <c r="J644" s="193"/>
      <c r="K644" s="193"/>
      <c r="L644" s="193"/>
      <c r="M644" s="193"/>
      <c r="N644" s="193"/>
      <c r="O644" s="193"/>
      <c r="P644" s="193"/>
      <c r="Q644" s="193"/>
      <c r="R644" s="193"/>
      <c r="S644" s="193"/>
      <c r="T644" s="193"/>
      <c r="U644" s="193"/>
      <c r="V644" s="193"/>
    </row>
    <row r="645" spans="1:22" s="191" customFormat="1">
      <c r="A645" s="193" t="s">
        <v>549</v>
      </c>
      <c r="B645" s="193">
        <v>1963</v>
      </c>
      <c r="C645" s="196">
        <v>4.7169018683401598</v>
      </c>
      <c r="D645" s="196">
        <v>7.7137467725608504</v>
      </c>
      <c r="E645" s="191" t="s">
        <v>536</v>
      </c>
      <c r="G645" s="193"/>
      <c r="H645" s="193"/>
      <c r="I645" s="193"/>
      <c r="J645" s="193"/>
      <c r="K645" s="193"/>
      <c r="L645" s="193"/>
      <c r="M645" s="193"/>
      <c r="N645" s="193"/>
      <c r="O645" s="193"/>
      <c r="P645" s="193"/>
      <c r="Q645" s="193"/>
      <c r="R645" s="193"/>
      <c r="S645" s="193"/>
      <c r="T645" s="193"/>
      <c r="U645" s="193"/>
      <c r="V645" s="193"/>
    </row>
    <row r="646" spans="1:22" s="191" customFormat="1">
      <c r="A646" s="193" t="s">
        <v>549</v>
      </c>
      <c r="B646" s="193">
        <v>1964</v>
      </c>
      <c r="C646" s="196">
        <v>4.5672059117235904</v>
      </c>
      <c r="D646" s="196">
        <v>9.23443470628904</v>
      </c>
      <c r="E646" s="191" t="s">
        <v>536</v>
      </c>
      <c r="G646" s="193"/>
      <c r="H646" s="193"/>
      <c r="I646" s="193"/>
      <c r="J646" s="193"/>
      <c r="K646" s="193"/>
      <c r="L646" s="193"/>
      <c r="M646" s="193"/>
      <c r="N646" s="193"/>
      <c r="O646" s="193"/>
      <c r="P646" s="193"/>
      <c r="Q646" s="193"/>
      <c r="R646" s="193"/>
      <c r="S646" s="193"/>
      <c r="T646" s="193"/>
      <c r="U646" s="193"/>
      <c r="V646" s="193"/>
    </row>
    <row r="647" spans="1:22" s="191" customFormat="1">
      <c r="A647" s="193" t="s">
        <v>549</v>
      </c>
      <c r="B647" s="193">
        <v>1965</v>
      </c>
      <c r="C647" s="196">
        <v>5.3750471612000199</v>
      </c>
      <c r="D647" s="196">
        <v>5.1218957561516296</v>
      </c>
      <c r="E647" s="191" t="s">
        <v>536</v>
      </c>
      <c r="G647" s="193"/>
      <c r="H647" s="193"/>
      <c r="I647" s="193"/>
      <c r="J647" s="193"/>
      <c r="K647" s="193"/>
      <c r="L647" s="193"/>
      <c r="M647" s="193"/>
      <c r="N647" s="193"/>
      <c r="O647" s="193"/>
      <c r="P647" s="193"/>
      <c r="Q647" s="193"/>
      <c r="R647" s="193"/>
      <c r="S647" s="193"/>
      <c r="T647" s="193"/>
      <c r="U647" s="193"/>
      <c r="V647" s="193"/>
    </row>
    <row r="648" spans="1:22" s="191" customFormat="1">
      <c r="A648" s="193" t="s">
        <v>549</v>
      </c>
      <c r="B648" s="193">
        <v>1966</v>
      </c>
      <c r="C648" s="196">
        <v>6.9747812418129396</v>
      </c>
      <c r="D648" s="196">
        <v>9.7017757175292392</v>
      </c>
      <c r="E648" s="191" t="s">
        <v>536</v>
      </c>
      <c r="G648" s="193"/>
      <c r="H648" s="193"/>
      <c r="I648" s="193"/>
      <c r="J648" s="193"/>
      <c r="K648" s="193"/>
      <c r="L648" s="193"/>
      <c r="M648" s="193"/>
      <c r="N648" s="193"/>
      <c r="O648" s="193"/>
      <c r="P648" s="193"/>
      <c r="Q648" s="193"/>
      <c r="R648" s="193"/>
      <c r="S648" s="193"/>
      <c r="T648" s="193"/>
      <c r="U648" s="193"/>
      <c r="V648" s="193"/>
    </row>
    <row r="649" spans="1:22" s="191" customFormat="1">
      <c r="A649" s="193" t="s">
        <v>549</v>
      </c>
      <c r="B649" s="193">
        <v>1967</v>
      </c>
      <c r="C649" s="196">
        <v>8.5364728764489595</v>
      </c>
      <c r="D649" s="196">
        <v>10.4644217220371</v>
      </c>
      <c r="E649" s="191" t="s">
        <v>536</v>
      </c>
      <c r="G649" s="193"/>
      <c r="H649" s="193"/>
      <c r="I649" s="193"/>
      <c r="J649" s="193"/>
      <c r="K649" s="193"/>
      <c r="L649" s="193"/>
      <c r="M649" s="193"/>
      <c r="N649" s="193"/>
      <c r="O649" s="193"/>
      <c r="P649" s="193"/>
      <c r="Q649" s="193"/>
      <c r="R649" s="193"/>
      <c r="S649" s="193"/>
      <c r="T649" s="193"/>
      <c r="U649" s="193"/>
      <c r="V649" s="193"/>
    </row>
    <row r="650" spans="1:22" s="191" customFormat="1">
      <c r="A650" s="193" t="s">
        <v>549</v>
      </c>
      <c r="B650" s="193">
        <v>1968</v>
      </c>
      <c r="C650" s="196">
        <v>9.0341539106255997</v>
      </c>
      <c r="D650" s="196">
        <v>10.5278072813931</v>
      </c>
      <c r="E650" s="191" t="s">
        <v>536</v>
      </c>
      <c r="G650" s="193"/>
      <c r="H650" s="193"/>
      <c r="I650" s="193"/>
      <c r="J650" s="193"/>
      <c r="K650" s="193"/>
      <c r="L650" s="193"/>
      <c r="M650" s="193"/>
      <c r="N650" s="193"/>
      <c r="O650" s="193"/>
      <c r="P650" s="193"/>
      <c r="Q650" s="193"/>
      <c r="R650" s="193"/>
      <c r="S650" s="193"/>
      <c r="T650" s="193"/>
      <c r="U650" s="193"/>
      <c r="V650" s="193"/>
    </row>
    <row r="651" spans="1:22" s="191" customFormat="1">
      <c r="A651" s="193" t="s">
        <v>549</v>
      </c>
      <c r="B651" s="193">
        <v>1969</v>
      </c>
      <c r="C651" s="196">
        <v>8.8051725163067296</v>
      </c>
      <c r="D651" s="196">
        <v>11.7832236773483</v>
      </c>
      <c r="E651" s="191" t="s">
        <v>536</v>
      </c>
      <c r="G651" s="193"/>
      <c r="H651" s="193"/>
      <c r="I651" s="193"/>
      <c r="J651" s="193"/>
      <c r="K651" s="193"/>
      <c r="L651" s="193"/>
      <c r="M651" s="193"/>
      <c r="N651" s="193"/>
      <c r="O651" s="193"/>
      <c r="P651" s="193"/>
      <c r="Q651" s="193"/>
      <c r="R651" s="193"/>
      <c r="S651" s="193"/>
      <c r="T651" s="193"/>
      <c r="U651" s="193"/>
      <c r="V651" s="193"/>
    </row>
    <row r="652" spans="1:22" s="191" customFormat="1">
      <c r="A652" s="193" t="s">
        <v>549</v>
      </c>
      <c r="B652" s="193">
        <v>1970</v>
      </c>
      <c r="C652" s="196">
        <v>8.4891342138308197</v>
      </c>
      <c r="D652" s="196">
        <v>10.133699674495</v>
      </c>
      <c r="E652" s="191" t="s">
        <v>536</v>
      </c>
      <c r="G652" s="193"/>
      <c r="H652" s="193"/>
      <c r="I652" s="193"/>
      <c r="J652" s="193"/>
      <c r="K652" s="193"/>
      <c r="L652" s="193"/>
      <c r="M652" s="193"/>
      <c r="N652" s="193"/>
      <c r="O652" s="193"/>
      <c r="P652" s="193"/>
      <c r="Q652" s="193"/>
      <c r="R652" s="193"/>
      <c r="S652" s="193"/>
      <c r="T652" s="193"/>
      <c r="U652" s="193"/>
      <c r="V652" s="193"/>
    </row>
    <row r="653" spans="1:22" s="191" customFormat="1">
      <c r="A653" s="193" t="s">
        <v>549</v>
      </c>
      <c r="B653" s="193">
        <v>1971</v>
      </c>
      <c r="C653" s="196">
        <v>9.4244169548693808</v>
      </c>
      <c r="D653" s="196">
        <v>4.73127613158759</v>
      </c>
      <c r="E653" s="191" t="s">
        <v>536</v>
      </c>
      <c r="G653" s="193"/>
      <c r="H653" s="193"/>
      <c r="I653" s="193"/>
      <c r="J653" s="193"/>
      <c r="K653" s="193"/>
      <c r="L653" s="193"/>
      <c r="M653" s="193"/>
      <c r="N653" s="193"/>
      <c r="O653" s="193"/>
      <c r="P653" s="193"/>
      <c r="Q653" s="193"/>
      <c r="R653" s="193"/>
      <c r="S653" s="193"/>
      <c r="T653" s="193"/>
      <c r="U653" s="193"/>
      <c r="V653" s="193"/>
    </row>
    <row r="654" spans="1:22" s="191" customFormat="1">
      <c r="A654" s="193" t="s">
        <v>549</v>
      </c>
      <c r="B654" s="193">
        <v>1972</v>
      </c>
      <c r="C654" s="196">
        <v>12.6677493441161</v>
      </c>
      <c r="D654" s="196">
        <v>8.593115132106</v>
      </c>
      <c r="E654" s="191" t="s">
        <v>536</v>
      </c>
      <c r="G654" s="193"/>
      <c r="H654" s="193"/>
      <c r="I654" s="193"/>
      <c r="J654" s="193"/>
      <c r="K654" s="193"/>
      <c r="L654" s="193"/>
      <c r="M654" s="193"/>
      <c r="N654" s="193"/>
      <c r="O654" s="193"/>
      <c r="P654" s="193"/>
      <c r="Q654" s="193"/>
      <c r="R654" s="193"/>
      <c r="S654" s="193"/>
      <c r="T654" s="193"/>
      <c r="U654" s="193"/>
      <c r="V654" s="193"/>
    </row>
    <row r="655" spans="1:22" s="191" customFormat="1">
      <c r="A655" s="193" t="s">
        <v>549</v>
      </c>
      <c r="B655" s="193">
        <v>1973</v>
      </c>
      <c r="C655" s="196">
        <v>11.693089654927199</v>
      </c>
      <c r="D655" s="196">
        <v>8.1977061898653503</v>
      </c>
      <c r="E655" s="191" t="s">
        <v>536</v>
      </c>
      <c r="G655" s="193"/>
      <c r="H655" s="193"/>
      <c r="I655" s="193"/>
      <c r="J655" s="193"/>
      <c r="K655" s="193"/>
      <c r="L655" s="193"/>
      <c r="M655" s="193"/>
      <c r="N655" s="193"/>
      <c r="O655" s="193"/>
      <c r="P655" s="193"/>
      <c r="Q655" s="193"/>
      <c r="R655" s="193"/>
      <c r="S655" s="193"/>
      <c r="T655" s="193"/>
      <c r="U655" s="193"/>
      <c r="V655" s="193"/>
    </row>
    <row r="656" spans="1:22" s="191" customFormat="1">
      <c r="A656" s="193" t="s">
        <v>549</v>
      </c>
      <c r="B656" s="193">
        <v>1974</v>
      </c>
      <c r="C656" s="196">
        <v>11.7021416227168</v>
      </c>
      <c r="D656" s="196">
        <v>-1.5930558171435101</v>
      </c>
      <c r="E656" s="191" t="s">
        <v>536</v>
      </c>
      <c r="G656" s="193"/>
      <c r="H656" s="193"/>
      <c r="I656" s="193"/>
      <c r="J656" s="193"/>
      <c r="K656" s="193"/>
      <c r="L656" s="193"/>
      <c r="M656" s="193"/>
      <c r="N656" s="193"/>
      <c r="O656" s="193"/>
      <c r="P656" s="193"/>
      <c r="Q656" s="193"/>
      <c r="R656" s="193"/>
      <c r="S656" s="193"/>
      <c r="T656" s="193"/>
      <c r="U656" s="193"/>
      <c r="V656" s="193"/>
    </row>
    <row r="657" spans="1:22" s="191" customFormat="1">
      <c r="A657" s="193" t="s">
        <v>549</v>
      </c>
      <c r="B657" s="193">
        <v>1975</v>
      </c>
      <c r="C657" s="196">
        <v>15.3682114517249</v>
      </c>
      <c r="D657" s="196">
        <v>2.83806811128742</v>
      </c>
      <c r="E657" s="191" t="s">
        <v>536</v>
      </c>
      <c r="G657" s="193"/>
      <c r="H657" s="193"/>
      <c r="I657" s="193"/>
      <c r="J657" s="193"/>
      <c r="K657" s="193"/>
      <c r="L657" s="193"/>
      <c r="M657" s="193"/>
      <c r="N657" s="193"/>
      <c r="O657" s="193"/>
      <c r="P657" s="193"/>
      <c r="Q657" s="193"/>
      <c r="R657" s="193"/>
      <c r="S657" s="193"/>
      <c r="T657" s="193"/>
      <c r="U657" s="193"/>
      <c r="V657" s="193"/>
    </row>
    <row r="658" spans="1:22" s="191" customFormat="1">
      <c r="A658" s="193" t="s">
        <v>549</v>
      </c>
      <c r="B658" s="193">
        <v>1976</v>
      </c>
      <c r="C658" s="196">
        <v>19.617797602252502</v>
      </c>
      <c r="D658" s="196">
        <v>4.0002317600861703</v>
      </c>
      <c r="E658" s="191" t="s">
        <v>536</v>
      </c>
      <c r="G658" s="193"/>
      <c r="H658" s="193"/>
      <c r="I658" s="193"/>
      <c r="J658" s="193"/>
      <c r="K658" s="193"/>
      <c r="L658" s="193"/>
      <c r="M658" s="193"/>
      <c r="N658" s="193"/>
      <c r="O658" s="193"/>
      <c r="P658" s="193"/>
      <c r="Q658" s="193"/>
      <c r="R658" s="193"/>
      <c r="S658" s="193"/>
      <c r="T658" s="193"/>
      <c r="U658" s="193"/>
      <c r="V658" s="193"/>
    </row>
    <row r="659" spans="1:22" s="191" customFormat="1">
      <c r="A659" s="193" t="s">
        <v>549</v>
      </c>
      <c r="B659" s="193">
        <v>1977</v>
      </c>
      <c r="C659" s="196">
        <v>24.834265334927998</v>
      </c>
      <c r="D659" s="196">
        <v>3.58950464093135</v>
      </c>
      <c r="E659" s="191" t="s">
        <v>536</v>
      </c>
      <c r="G659" s="193"/>
      <c r="H659" s="193"/>
      <c r="I659" s="193"/>
      <c r="J659" s="193"/>
      <c r="K659" s="193"/>
      <c r="L659" s="193"/>
      <c r="M659" s="193"/>
      <c r="N659" s="193"/>
      <c r="O659" s="193"/>
      <c r="P659" s="193"/>
      <c r="Q659" s="193"/>
      <c r="R659" s="193"/>
      <c r="S659" s="193"/>
      <c r="T659" s="193"/>
      <c r="U659" s="193"/>
      <c r="V659" s="193"/>
    </row>
    <row r="660" spans="1:22" s="191" customFormat="1">
      <c r="A660" s="193" t="s">
        <v>549</v>
      </c>
      <c r="B660" s="193">
        <v>1978</v>
      </c>
      <c r="C660" s="196">
        <v>30.498364024187399</v>
      </c>
      <c r="D660" s="196">
        <v>4.22294654498043</v>
      </c>
      <c r="E660" s="191" t="s">
        <v>537</v>
      </c>
      <c r="G660" s="193"/>
      <c r="H660" s="193"/>
      <c r="I660" s="193"/>
      <c r="J660" s="193"/>
      <c r="K660" s="193"/>
      <c r="L660" s="193"/>
      <c r="M660" s="193"/>
      <c r="N660" s="193"/>
      <c r="O660" s="193"/>
      <c r="P660" s="193"/>
      <c r="Q660" s="193"/>
      <c r="R660" s="193"/>
      <c r="S660" s="193"/>
      <c r="T660" s="193"/>
      <c r="U660" s="193"/>
      <c r="V660" s="193"/>
    </row>
    <row r="661" spans="1:22" s="191" customFormat="1">
      <c r="A661" s="193" t="s">
        <v>549</v>
      </c>
      <c r="B661" s="193">
        <v>1979</v>
      </c>
      <c r="C661" s="196">
        <v>35.0056430463965</v>
      </c>
      <c r="D661" s="196">
        <v>6.8046807565769001</v>
      </c>
      <c r="E661" s="191" t="s">
        <v>537</v>
      </c>
      <c r="G661" s="193"/>
      <c r="H661" s="193"/>
      <c r="I661" s="193"/>
      <c r="J661" s="193"/>
      <c r="K661" s="193"/>
      <c r="L661" s="193"/>
      <c r="M661" s="193"/>
      <c r="N661" s="193"/>
      <c r="O661" s="193"/>
      <c r="P661" s="193"/>
      <c r="Q661" s="193"/>
      <c r="R661" s="193"/>
      <c r="S661" s="193"/>
      <c r="T661" s="193"/>
      <c r="U661" s="193"/>
      <c r="V661" s="193"/>
    </row>
    <row r="662" spans="1:22" s="191" customFormat="1">
      <c r="A662" s="193" t="s">
        <v>549</v>
      </c>
      <c r="B662" s="193">
        <v>1980</v>
      </c>
      <c r="C662" s="196">
        <v>39.0617707155631</v>
      </c>
      <c r="D662" s="196">
        <v>4.6265988071512396</v>
      </c>
      <c r="E662" s="191" t="s">
        <v>537</v>
      </c>
      <c r="G662" s="193"/>
      <c r="H662" s="193"/>
      <c r="I662" s="193"/>
      <c r="J662" s="193"/>
      <c r="K662" s="193"/>
      <c r="L662" s="193"/>
      <c r="M662" s="193"/>
      <c r="N662" s="193"/>
      <c r="O662" s="193"/>
      <c r="P662" s="193"/>
      <c r="Q662" s="193"/>
      <c r="R662" s="193"/>
      <c r="S662" s="193"/>
      <c r="T662" s="193"/>
      <c r="U662" s="193"/>
      <c r="V662" s="193"/>
    </row>
    <row r="663" spans="1:22" s="191" customFormat="1">
      <c r="A663" s="193" t="s">
        <v>549</v>
      </c>
      <c r="B663" s="193">
        <v>1981</v>
      </c>
      <c r="C663" s="196">
        <v>40.927446097736599</v>
      </c>
      <c r="D663" s="196">
        <v>4.1768439560439603</v>
      </c>
      <c r="E663" s="191" t="s">
        <v>537</v>
      </c>
      <c r="G663" s="193"/>
      <c r="H663" s="193"/>
      <c r="I663" s="193"/>
      <c r="J663" s="193"/>
      <c r="K663" s="193"/>
      <c r="L663" s="193"/>
      <c r="M663" s="193"/>
      <c r="N663" s="193"/>
      <c r="O663" s="193"/>
      <c r="P663" s="193"/>
      <c r="Q663" s="193"/>
      <c r="R663" s="193"/>
      <c r="S663" s="193"/>
      <c r="T663" s="193"/>
      <c r="U663" s="193"/>
      <c r="V663" s="193"/>
    </row>
    <row r="664" spans="1:22" s="191" customFormat="1">
      <c r="A664" s="193" t="s">
        <v>549</v>
      </c>
      <c r="B664" s="193">
        <v>1982</v>
      </c>
      <c r="C664" s="196">
        <v>44.276255427841598</v>
      </c>
      <c r="D664" s="196">
        <v>3.3766082964926198</v>
      </c>
      <c r="E664" s="191" t="s">
        <v>537</v>
      </c>
      <c r="G664" s="193"/>
      <c r="H664" s="193"/>
      <c r="I664" s="193"/>
      <c r="J664" s="193"/>
      <c r="K664" s="193"/>
      <c r="L664" s="193"/>
      <c r="M664" s="193"/>
      <c r="N664" s="193"/>
      <c r="O664" s="193"/>
      <c r="P664" s="193"/>
      <c r="Q664" s="193"/>
      <c r="R664" s="193"/>
      <c r="S664" s="193"/>
      <c r="T664" s="193"/>
      <c r="U664" s="193"/>
      <c r="V664" s="193"/>
    </row>
    <row r="665" spans="1:22" s="191" customFormat="1">
      <c r="A665" s="193" t="s">
        <v>549</v>
      </c>
      <c r="B665" s="193">
        <v>1983</v>
      </c>
      <c r="C665" s="196">
        <v>48.058168842947097</v>
      </c>
      <c r="D665" s="196">
        <v>3.0607380356707998</v>
      </c>
      <c r="E665" s="191" t="s">
        <v>537</v>
      </c>
      <c r="G665" s="193"/>
      <c r="H665" s="193"/>
      <c r="I665" s="193"/>
      <c r="J665" s="193"/>
      <c r="K665" s="193"/>
      <c r="L665" s="193"/>
      <c r="M665" s="193"/>
      <c r="N665" s="193"/>
      <c r="O665" s="193"/>
      <c r="P665" s="193"/>
      <c r="Q665" s="193"/>
      <c r="R665" s="193"/>
      <c r="S665" s="193"/>
      <c r="T665" s="193"/>
      <c r="U665" s="193"/>
      <c r="V665" s="193"/>
    </row>
    <row r="666" spans="1:22" s="191" customFormat="1">
      <c r="A666" s="193" t="s">
        <v>549</v>
      </c>
      <c r="B666" s="193">
        <v>1984</v>
      </c>
      <c r="C666" s="196">
        <v>49.248847499991797</v>
      </c>
      <c r="D666" s="196">
        <v>4.4638990159043797</v>
      </c>
      <c r="E666" s="191" t="s">
        <v>537</v>
      </c>
      <c r="G666" s="193"/>
      <c r="H666" s="193"/>
      <c r="I666" s="193"/>
      <c r="J666" s="193"/>
      <c r="K666" s="193"/>
      <c r="L666" s="193"/>
      <c r="M666" s="193"/>
      <c r="N666" s="193"/>
      <c r="O666" s="193"/>
      <c r="P666" s="193"/>
      <c r="Q666" s="193"/>
      <c r="R666" s="193"/>
      <c r="S666" s="193"/>
      <c r="T666" s="193"/>
      <c r="U666" s="193"/>
      <c r="V666" s="193"/>
    </row>
    <row r="667" spans="1:22" s="191" customFormat="1">
      <c r="A667" s="193" t="s">
        <v>549</v>
      </c>
      <c r="B667" s="193">
        <v>1985</v>
      </c>
      <c r="C667" s="196">
        <v>50.207187407916699</v>
      </c>
      <c r="D667" s="196">
        <v>6.3333568887232303</v>
      </c>
      <c r="E667" s="191" t="s">
        <v>537</v>
      </c>
      <c r="G667" s="193"/>
      <c r="H667" s="193"/>
      <c r="I667" s="193"/>
      <c r="J667" s="193"/>
      <c r="K667" s="193"/>
      <c r="L667" s="193"/>
      <c r="M667" s="193"/>
      <c r="N667" s="193"/>
      <c r="O667" s="193"/>
      <c r="P667" s="193"/>
      <c r="Q667" s="193"/>
      <c r="R667" s="193"/>
      <c r="S667" s="193"/>
      <c r="T667" s="193"/>
      <c r="U667" s="193"/>
      <c r="V667" s="193"/>
    </row>
    <row r="668" spans="1:22" s="191" customFormat="1">
      <c r="A668" s="193" t="s">
        <v>549</v>
      </c>
      <c r="B668" s="193">
        <v>1986</v>
      </c>
      <c r="C668" s="196">
        <v>54.169257482079402</v>
      </c>
      <c r="D668" s="196">
        <v>2.8310766408367698</v>
      </c>
      <c r="E668" s="191" t="s">
        <v>537</v>
      </c>
      <c r="G668" s="193"/>
      <c r="H668" s="193"/>
      <c r="I668" s="193"/>
      <c r="J668" s="193"/>
      <c r="K668" s="193"/>
      <c r="L668" s="193"/>
      <c r="M668" s="193"/>
      <c r="N668" s="193"/>
      <c r="O668" s="193"/>
      <c r="P668" s="193"/>
      <c r="Q668" s="193"/>
      <c r="R668" s="193"/>
      <c r="S668" s="193"/>
      <c r="T668" s="193"/>
      <c r="U668" s="193"/>
      <c r="V668" s="193"/>
    </row>
    <row r="669" spans="1:22" s="191" customFormat="1">
      <c r="A669" s="193" t="s">
        <v>549</v>
      </c>
      <c r="B669" s="193">
        <v>1987</v>
      </c>
      <c r="C669" s="196">
        <v>55.815443587934901</v>
      </c>
      <c r="D669" s="196">
        <v>4.1074270637959902</v>
      </c>
      <c r="E669" s="191" t="s">
        <v>537</v>
      </c>
      <c r="G669" s="193"/>
      <c r="H669" s="193"/>
      <c r="I669" s="193"/>
      <c r="J669" s="193"/>
      <c r="K669" s="193"/>
      <c r="L669" s="193"/>
      <c r="M669" s="193"/>
      <c r="N669" s="193"/>
      <c r="O669" s="193"/>
      <c r="P669" s="193"/>
      <c r="Q669" s="193"/>
      <c r="R669" s="193"/>
      <c r="S669" s="193"/>
      <c r="T669" s="193"/>
      <c r="U669" s="193"/>
      <c r="V669" s="193"/>
    </row>
    <row r="670" spans="1:22" s="191" customFormat="1">
      <c r="A670" s="193" t="s">
        <v>549</v>
      </c>
      <c r="B670" s="193">
        <v>1988</v>
      </c>
      <c r="C670" s="196">
        <v>54.040185649629599</v>
      </c>
      <c r="D670" s="196">
        <v>7.1466937073415302</v>
      </c>
      <c r="E670" s="191" t="s">
        <v>537</v>
      </c>
      <c r="G670" s="193"/>
      <c r="H670" s="193"/>
      <c r="I670" s="193"/>
      <c r="J670" s="193"/>
      <c r="K670" s="193"/>
      <c r="L670" s="193"/>
      <c r="M670" s="193"/>
      <c r="N670" s="193"/>
      <c r="O670" s="193"/>
      <c r="P670" s="193"/>
      <c r="Q670" s="193"/>
      <c r="R670" s="193"/>
      <c r="S670" s="193"/>
      <c r="T670" s="193"/>
      <c r="U670" s="193"/>
      <c r="V670" s="193"/>
    </row>
    <row r="671" spans="1:22" s="191" customFormat="1">
      <c r="A671" s="193" t="s">
        <v>549</v>
      </c>
      <c r="B671" s="193">
        <v>1989</v>
      </c>
      <c r="C671" s="196">
        <v>50.789058647174599</v>
      </c>
      <c r="D671" s="196">
        <v>5.3701525189358703</v>
      </c>
      <c r="E671" s="191" t="s">
        <v>537</v>
      </c>
      <c r="G671" s="193"/>
      <c r="H671" s="193"/>
      <c r="I671" s="193"/>
      <c r="J671" s="193"/>
      <c r="K671" s="193"/>
      <c r="L671" s="193"/>
      <c r="M671" s="193"/>
      <c r="N671" s="193"/>
      <c r="O671" s="193"/>
      <c r="P671" s="193"/>
      <c r="Q671" s="193"/>
      <c r="R671" s="193"/>
      <c r="S671" s="193"/>
      <c r="T671" s="193"/>
      <c r="U671" s="193"/>
      <c r="V671" s="193"/>
    </row>
    <row r="672" spans="1:22" s="191" customFormat="1">
      <c r="A672" s="193" t="s">
        <v>549</v>
      </c>
      <c r="B672" s="193">
        <v>1990</v>
      </c>
      <c r="C672" s="196">
        <v>49.230105083783002</v>
      </c>
      <c r="D672" s="196">
        <v>5.57239829949512</v>
      </c>
      <c r="E672" s="191" t="s">
        <v>537</v>
      </c>
      <c r="G672" s="193"/>
      <c r="H672" s="193"/>
      <c r="I672" s="193"/>
      <c r="J672" s="193"/>
      <c r="K672" s="193"/>
      <c r="L672" s="193"/>
      <c r="M672" s="193"/>
      <c r="N672" s="193"/>
      <c r="O672" s="193"/>
      <c r="P672" s="193"/>
      <c r="Q672" s="193"/>
      <c r="R672" s="193"/>
      <c r="S672" s="193"/>
      <c r="T672" s="193"/>
      <c r="U672" s="193"/>
      <c r="V672" s="193"/>
    </row>
    <row r="673" spans="1:22" s="191" customFormat="1">
      <c r="A673" s="193" t="s">
        <v>549</v>
      </c>
      <c r="B673" s="193">
        <v>1991</v>
      </c>
      <c r="C673" s="196">
        <v>47.965547140959401</v>
      </c>
      <c r="D673" s="196">
        <v>3.32434077482637</v>
      </c>
      <c r="E673" s="191" t="s">
        <v>537</v>
      </c>
      <c r="G673" s="193"/>
      <c r="H673" s="193"/>
      <c r="I673" s="193"/>
      <c r="J673" s="193"/>
      <c r="K673" s="193"/>
      <c r="L673" s="193"/>
      <c r="M673" s="193"/>
      <c r="N673" s="193"/>
      <c r="O673" s="193"/>
      <c r="P673" s="193"/>
      <c r="Q673" s="193"/>
      <c r="R673" s="193"/>
      <c r="S673" s="193"/>
      <c r="T673" s="193"/>
      <c r="U673" s="193"/>
      <c r="V673" s="193"/>
    </row>
    <row r="674" spans="1:22" s="191" customFormat="1">
      <c r="A674" s="193" t="s">
        <v>549</v>
      </c>
      <c r="B674" s="193">
        <v>1992</v>
      </c>
      <c r="C674" s="196">
        <v>49.813732590761099</v>
      </c>
      <c r="D674" s="196">
        <v>0.81902985881854296</v>
      </c>
      <c r="E674" s="191" t="s">
        <v>537</v>
      </c>
      <c r="G674" s="193"/>
      <c r="H674" s="193"/>
      <c r="I674" s="193"/>
      <c r="J674" s="193"/>
      <c r="K674" s="193"/>
      <c r="L674" s="193"/>
      <c r="M674" s="193"/>
      <c r="N674" s="193"/>
      <c r="O674" s="193"/>
      <c r="P674" s="193"/>
      <c r="Q674" s="193"/>
      <c r="R674" s="193"/>
      <c r="S674" s="193"/>
      <c r="T674" s="193"/>
      <c r="U674" s="193"/>
      <c r="V674" s="193"/>
    </row>
    <row r="675" spans="1:22" s="191" customFormat="1">
      <c r="A675" s="193" t="s">
        <v>549</v>
      </c>
      <c r="B675" s="193">
        <v>1993</v>
      </c>
      <c r="C675" s="196">
        <v>55.320155131609901</v>
      </c>
      <c r="D675" s="196">
        <v>0.171062719635451</v>
      </c>
      <c r="E675" s="191" t="s">
        <v>537</v>
      </c>
      <c r="G675" s="193"/>
      <c r="H675" s="193"/>
      <c r="I675" s="193"/>
      <c r="J675" s="193"/>
      <c r="K675" s="193"/>
      <c r="L675" s="193"/>
      <c r="M675" s="193"/>
      <c r="N675" s="193"/>
      <c r="O675" s="193"/>
      <c r="P675" s="193"/>
      <c r="Q675" s="193"/>
      <c r="R675" s="193"/>
      <c r="S675" s="193"/>
      <c r="T675" s="193"/>
      <c r="U675" s="193"/>
      <c r="V675" s="193"/>
    </row>
    <row r="676" spans="1:22" s="191" customFormat="1">
      <c r="A676" s="193" t="s">
        <v>549</v>
      </c>
      <c r="B676" s="193">
        <v>1994</v>
      </c>
      <c r="C676" s="196">
        <v>59.956798040086198</v>
      </c>
      <c r="D676" s="196">
        <v>0.86357824375766801</v>
      </c>
      <c r="E676" s="191" t="s">
        <v>537</v>
      </c>
      <c r="G676" s="193"/>
      <c r="H676" s="193"/>
      <c r="I676" s="193"/>
      <c r="J676" s="193"/>
      <c r="K676" s="193"/>
      <c r="L676" s="193"/>
      <c r="M676" s="193"/>
      <c r="N676" s="193"/>
      <c r="O676" s="193"/>
      <c r="P676" s="193"/>
      <c r="Q676" s="193"/>
      <c r="R676" s="193"/>
      <c r="S676" s="193"/>
      <c r="T676" s="193"/>
      <c r="U676" s="193"/>
      <c r="V676" s="193"/>
    </row>
    <row r="677" spans="1:22" s="191" customFormat="1">
      <c r="A677" s="193" t="s">
        <v>549</v>
      </c>
      <c r="B677" s="193">
        <v>1995</v>
      </c>
      <c r="C677" s="196">
        <v>66.118503691337693</v>
      </c>
      <c r="D677" s="196">
        <v>1.8816560884261</v>
      </c>
      <c r="E677" s="191" t="s">
        <v>538</v>
      </c>
      <c r="G677" s="193"/>
      <c r="H677" s="193"/>
      <c r="I677" s="193"/>
      <c r="J677" s="193"/>
      <c r="K677" s="193"/>
      <c r="L677" s="193"/>
      <c r="M677" s="193"/>
      <c r="N677" s="193"/>
      <c r="O677" s="193"/>
      <c r="P677" s="193"/>
      <c r="Q677" s="193"/>
      <c r="R677" s="193"/>
      <c r="S677" s="193"/>
      <c r="T677" s="193"/>
      <c r="U677" s="193"/>
      <c r="V677" s="193"/>
    </row>
    <row r="678" spans="1:22" s="191" customFormat="1">
      <c r="A678" s="193" t="s">
        <v>549</v>
      </c>
      <c r="B678" s="193">
        <v>1996</v>
      </c>
      <c r="C678" s="196">
        <v>70.433425481198299</v>
      </c>
      <c r="D678" s="196">
        <v>2.6372873639508598</v>
      </c>
      <c r="E678" s="191" t="s">
        <v>538</v>
      </c>
      <c r="G678" s="193"/>
      <c r="H678" s="193"/>
      <c r="I678" s="193"/>
      <c r="J678" s="193"/>
      <c r="K678" s="193"/>
      <c r="L678" s="193"/>
      <c r="M678" s="193"/>
      <c r="N678" s="193"/>
      <c r="O678" s="193"/>
      <c r="P678" s="193"/>
      <c r="Q678" s="193"/>
      <c r="R678" s="193"/>
      <c r="S678" s="193"/>
      <c r="T678" s="193"/>
      <c r="U678" s="193"/>
      <c r="V678" s="193"/>
    </row>
    <row r="679" spans="1:22" s="191" customFormat="1">
      <c r="A679" s="193" t="s">
        <v>549</v>
      </c>
      <c r="B679" s="193">
        <v>1997</v>
      </c>
      <c r="C679" s="196">
        <v>75.331732812678894</v>
      </c>
      <c r="D679" s="196">
        <v>1.5635665931917899</v>
      </c>
      <c r="E679" s="191" t="s">
        <v>538</v>
      </c>
      <c r="G679" s="193"/>
      <c r="H679" s="193"/>
      <c r="I679" s="193"/>
      <c r="J679" s="193"/>
      <c r="K679" s="193"/>
      <c r="L679" s="193"/>
      <c r="M679" s="193"/>
      <c r="N679" s="193"/>
      <c r="O679" s="193"/>
      <c r="P679" s="193"/>
      <c r="Q679" s="193"/>
      <c r="R679" s="193"/>
      <c r="S679" s="193"/>
      <c r="T679" s="193"/>
      <c r="U679" s="193"/>
      <c r="V679" s="193"/>
    </row>
    <row r="680" spans="1:22" s="191" customFormat="1">
      <c r="A680" s="193" t="s">
        <v>549</v>
      </c>
      <c r="B680" s="193">
        <v>1998</v>
      </c>
      <c r="C680" s="196">
        <v>86.671499852429406</v>
      </c>
      <c r="D680" s="196">
        <v>-2.0488679103415102</v>
      </c>
      <c r="E680" s="191" t="s">
        <v>538</v>
      </c>
      <c r="G680" s="193"/>
      <c r="H680" s="193"/>
      <c r="I680" s="193"/>
      <c r="J680" s="193"/>
      <c r="K680" s="193"/>
      <c r="L680" s="193"/>
      <c r="M680" s="193"/>
      <c r="N680" s="193"/>
      <c r="O680" s="193"/>
      <c r="P680" s="193"/>
      <c r="Q680" s="193"/>
      <c r="R680" s="193"/>
      <c r="S680" s="193"/>
      <c r="T680" s="193"/>
      <c r="U680" s="193"/>
      <c r="V680" s="193"/>
    </row>
    <row r="681" spans="1:22" s="191" customFormat="1">
      <c r="A681" s="193" t="s">
        <v>549</v>
      </c>
      <c r="B681" s="193">
        <v>1999</v>
      </c>
      <c r="C681" s="196">
        <v>98.340329844120802</v>
      </c>
      <c r="D681" s="196">
        <v>-0.14101078210864099</v>
      </c>
      <c r="E681" s="191" t="s">
        <v>535</v>
      </c>
      <c r="G681" s="193"/>
      <c r="H681" s="193"/>
      <c r="I681" s="193"/>
      <c r="J681" s="193"/>
      <c r="K681" s="193"/>
      <c r="L681" s="193"/>
      <c r="M681" s="193"/>
      <c r="N681" s="193"/>
      <c r="O681" s="193"/>
      <c r="P681" s="193"/>
      <c r="Q681" s="193"/>
      <c r="R681" s="193"/>
      <c r="S681" s="193"/>
      <c r="T681" s="193"/>
      <c r="U681" s="193"/>
      <c r="V681" s="193"/>
    </row>
    <row r="682" spans="1:22" s="191" customFormat="1">
      <c r="A682" s="193" t="s">
        <v>549</v>
      </c>
      <c r="B682" s="193">
        <v>2000</v>
      </c>
      <c r="C682" s="196">
        <v>106.480645738484</v>
      </c>
      <c r="D682" s="196">
        <v>2.8601394312350399</v>
      </c>
      <c r="E682" s="191" t="s">
        <v>535</v>
      </c>
      <c r="G682" s="193"/>
      <c r="H682" s="193"/>
      <c r="I682" s="193"/>
      <c r="J682" s="193"/>
      <c r="K682" s="193"/>
      <c r="L682" s="193"/>
      <c r="M682" s="193"/>
      <c r="N682" s="193"/>
      <c r="O682" s="193"/>
      <c r="P682" s="193"/>
      <c r="Q682" s="193"/>
      <c r="R682" s="193"/>
      <c r="S682" s="193"/>
      <c r="T682" s="193"/>
      <c r="U682" s="193"/>
      <c r="V682" s="193"/>
    </row>
    <row r="683" spans="1:22" s="191" customFormat="1">
      <c r="A683" s="193" t="s">
        <v>549</v>
      </c>
      <c r="B683" s="193">
        <v>2001</v>
      </c>
      <c r="C683" s="196">
        <v>122.018805754239</v>
      </c>
      <c r="D683" s="196">
        <v>0.18438948337951</v>
      </c>
      <c r="E683" s="191" t="s">
        <v>535</v>
      </c>
      <c r="G683" s="193"/>
      <c r="H683" s="193"/>
      <c r="I683" s="193"/>
      <c r="J683" s="193"/>
      <c r="K683" s="193"/>
      <c r="L683" s="193"/>
      <c r="M683" s="193"/>
      <c r="N683" s="193"/>
      <c r="O683" s="193"/>
      <c r="P683" s="193"/>
      <c r="Q683" s="193"/>
      <c r="R683" s="193"/>
      <c r="S683" s="193"/>
      <c r="T683" s="193"/>
      <c r="U683" s="193"/>
      <c r="V683" s="193"/>
    </row>
    <row r="684" spans="1:22" s="191" customFormat="1">
      <c r="A684" s="193" t="s">
        <v>549</v>
      </c>
      <c r="B684" s="193">
        <v>2002</v>
      </c>
      <c r="C684" s="196">
        <v>130.91365568111499</v>
      </c>
      <c r="D684" s="196">
        <v>0.262257029347435</v>
      </c>
      <c r="E684" s="191" t="s">
        <v>535</v>
      </c>
      <c r="G684" s="193"/>
      <c r="H684" s="193"/>
      <c r="I684" s="193"/>
      <c r="J684" s="193"/>
      <c r="K684" s="193"/>
      <c r="L684" s="193"/>
      <c r="M684" s="193"/>
      <c r="N684" s="193"/>
      <c r="O684" s="193"/>
      <c r="P684" s="193"/>
      <c r="Q684" s="193"/>
      <c r="R684" s="193"/>
      <c r="S684" s="193"/>
      <c r="T684" s="193"/>
      <c r="U684" s="193"/>
      <c r="V684" s="193"/>
    </row>
    <row r="685" spans="1:22" s="191" customFormat="1">
      <c r="A685" s="193" t="s">
        <v>549</v>
      </c>
      <c r="B685" s="193">
        <v>2003</v>
      </c>
      <c r="C685" s="196">
        <v>136.67742211815801</v>
      </c>
      <c r="D685" s="196">
        <v>1.4135402737086999</v>
      </c>
      <c r="E685" s="191" t="s">
        <v>535</v>
      </c>
      <c r="G685" s="193"/>
      <c r="H685" s="193"/>
      <c r="I685" s="193"/>
      <c r="J685" s="193"/>
      <c r="K685" s="193"/>
      <c r="L685" s="193"/>
      <c r="M685" s="193"/>
      <c r="N685" s="193"/>
      <c r="O685" s="193"/>
      <c r="P685" s="193"/>
      <c r="Q685" s="193"/>
      <c r="R685" s="193"/>
      <c r="S685" s="193"/>
      <c r="T685" s="193"/>
      <c r="U685" s="193"/>
      <c r="V685" s="193"/>
    </row>
    <row r="686" spans="1:22" s="191" customFormat="1">
      <c r="A686" s="193" t="s">
        <v>549</v>
      </c>
      <c r="B686" s="193">
        <v>2004</v>
      </c>
      <c r="C686" s="196">
        <v>150.72532548843299</v>
      </c>
      <c r="D686" s="196">
        <v>2.74426209676633</v>
      </c>
      <c r="E686" s="191" t="s">
        <v>535</v>
      </c>
      <c r="G686" s="193"/>
      <c r="H686" s="193"/>
      <c r="I686" s="193"/>
      <c r="J686" s="193"/>
      <c r="K686" s="193"/>
      <c r="L686" s="193"/>
      <c r="M686" s="193"/>
      <c r="N686" s="193"/>
      <c r="O686" s="193"/>
      <c r="P686" s="193"/>
      <c r="Q686" s="193"/>
      <c r="R686" s="193"/>
      <c r="S686" s="193"/>
      <c r="T686" s="193"/>
      <c r="U686" s="193"/>
      <c r="V686" s="193"/>
    </row>
    <row r="687" spans="1:22" s="191" customFormat="1">
      <c r="A687" s="193" t="s">
        <v>549</v>
      </c>
      <c r="B687" s="193">
        <v>2005</v>
      </c>
      <c r="C687" s="196">
        <v>162.07452554540899</v>
      </c>
      <c r="D687" s="196">
        <v>1.93409253753054</v>
      </c>
      <c r="E687" s="191" t="s">
        <v>535</v>
      </c>
      <c r="G687" s="193"/>
      <c r="H687" s="193"/>
      <c r="I687" s="193"/>
      <c r="J687" s="193"/>
      <c r="K687" s="193"/>
      <c r="L687" s="193"/>
      <c r="M687" s="193"/>
      <c r="N687" s="193"/>
      <c r="O687" s="193"/>
      <c r="P687" s="193"/>
      <c r="Q687" s="193"/>
      <c r="R687" s="193"/>
      <c r="S687" s="193"/>
      <c r="T687" s="193"/>
      <c r="U687" s="193"/>
      <c r="V687" s="193"/>
    </row>
    <row r="688" spans="1:22" s="191" customFormat="1">
      <c r="A688" s="193" t="s">
        <v>549</v>
      </c>
      <c r="B688" s="193">
        <v>2006</v>
      </c>
      <c r="C688" s="196">
        <v>164.03636435307899</v>
      </c>
      <c r="D688" s="196">
        <v>2.0394692472756</v>
      </c>
      <c r="E688" s="191" t="s">
        <v>535</v>
      </c>
      <c r="G688" s="193"/>
      <c r="H688" s="193"/>
      <c r="I688" s="193"/>
      <c r="J688" s="193"/>
      <c r="K688" s="193"/>
      <c r="L688" s="193"/>
      <c r="M688" s="193"/>
      <c r="N688" s="193"/>
      <c r="O688" s="193"/>
      <c r="P688" s="193"/>
      <c r="Q688" s="193"/>
      <c r="R688" s="193"/>
      <c r="S688" s="193"/>
      <c r="T688" s="193"/>
      <c r="U688" s="193"/>
      <c r="V688" s="193"/>
    </row>
    <row r="689" spans="1:22" s="191" customFormat="1">
      <c r="A689" s="193" t="s">
        <v>549</v>
      </c>
      <c r="B689" s="193">
        <v>2007</v>
      </c>
      <c r="C689" s="196">
        <v>162.46546660075001</v>
      </c>
      <c r="D689" s="196">
        <v>2.3373165290419702</v>
      </c>
      <c r="E689" s="191" t="s">
        <v>535</v>
      </c>
      <c r="G689" s="193"/>
      <c r="H689" s="193"/>
      <c r="I689" s="193"/>
      <c r="J689" s="193"/>
      <c r="K689" s="193"/>
      <c r="L689" s="193"/>
      <c r="M689" s="193"/>
      <c r="N689" s="193"/>
      <c r="O689" s="193"/>
      <c r="P689" s="193"/>
      <c r="Q689" s="193"/>
      <c r="R689" s="193"/>
      <c r="S689" s="193"/>
      <c r="T689" s="193"/>
      <c r="U689" s="193"/>
      <c r="V689" s="193"/>
    </row>
    <row r="690" spans="1:22" s="191" customFormat="1">
      <c r="A690" s="193" t="s">
        <v>549</v>
      </c>
      <c r="B690" s="193">
        <v>2008</v>
      </c>
      <c r="C690" s="196">
        <v>166.87808329604999</v>
      </c>
      <c r="D690" s="196">
        <v>-0.70524931714096595</v>
      </c>
      <c r="E690" s="191" t="s">
        <v>535</v>
      </c>
      <c r="G690" s="193"/>
      <c r="H690" s="193"/>
      <c r="I690" s="193"/>
      <c r="J690" s="193"/>
      <c r="K690" s="193"/>
      <c r="L690" s="193"/>
      <c r="M690" s="193"/>
      <c r="N690" s="193"/>
      <c r="O690" s="193"/>
      <c r="P690" s="193"/>
      <c r="Q690" s="193"/>
      <c r="R690" s="193"/>
      <c r="S690" s="193"/>
      <c r="T690" s="193"/>
      <c r="U690" s="193"/>
      <c r="V690" s="193"/>
    </row>
    <row r="691" spans="1:22" s="191" customFormat="1">
      <c r="A691" s="193" t="s">
        <v>549</v>
      </c>
      <c r="B691" s="193">
        <v>2009</v>
      </c>
      <c r="C691" s="196">
        <v>181.51101115572399</v>
      </c>
      <c r="D691" s="196">
        <v>-5.3693645585904797</v>
      </c>
      <c r="E691" s="191" t="s">
        <v>535</v>
      </c>
      <c r="G691" s="193"/>
      <c r="H691" s="193"/>
      <c r="I691" s="193"/>
      <c r="J691" s="193"/>
      <c r="K691" s="193"/>
      <c r="L691" s="193"/>
      <c r="M691" s="193"/>
      <c r="N691" s="193"/>
      <c r="O691" s="193"/>
      <c r="P691" s="193"/>
      <c r="Q691" s="193"/>
      <c r="R691" s="193"/>
      <c r="S691" s="193"/>
      <c r="T691" s="193"/>
      <c r="U691" s="193"/>
      <c r="V691" s="193"/>
    </row>
    <row r="692" spans="1:22" s="191" customFormat="1">
      <c r="A692" s="193" t="s">
        <v>550</v>
      </c>
      <c r="B692" s="193">
        <v>1957</v>
      </c>
      <c r="C692" s="196">
        <v>46.360980566493097</v>
      </c>
      <c r="D692" s="196">
        <v>2.8118646973816399</v>
      </c>
      <c r="E692" s="191" t="s">
        <v>537</v>
      </c>
      <c r="G692" s="193"/>
      <c r="H692" s="193"/>
      <c r="I692" s="193"/>
      <c r="J692" s="193"/>
      <c r="K692" s="193"/>
      <c r="L692" s="193"/>
      <c r="M692" s="193"/>
      <c r="N692" s="193"/>
      <c r="O692" s="193"/>
      <c r="P692" s="193"/>
      <c r="Q692" s="193"/>
      <c r="R692" s="193"/>
      <c r="S692" s="193"/>
      <c r="T692" s="193"/>
      <c r="U692" s="193"/>
      <c r="V692" s="193"/>
    </row>
    <row r="693" spans="1:22" s="191" customFormat="1">
      <c r="A693" s="193" t="s">
        <v>550</v>
      </c>
      <c r="B693" s="193">
        <v>1958</v>
      </c>
      <c r="C693" s="196">
        <v>47.086891009542903</v>
      </c>
      <c r="D693" s="196">
        <v>-0.29660512209648299</v>
      </c>
      <c r="E693" s="191" t="s">
        <v>537</v>
      </c>
      <c r="G693" s="193"/>
      <c r="H693" s="193"/>
      <c r="I693" s="193"/>
      <c r="J693" s="193"/>
      <c r="K693" s="193"/>
      <c r="L693" s="193"/>
      <c r="M693" s="193"/>
      <c r="N693" s="193"/>
      <c r="O693" s="193"/>
      <c r="P693" s="193"/>
      <c r="Q693" s="193"/>
      <c r="R693" s="193"/>
      <c r="S693" s="193"/>
      <c r="T693" s="193"/>
      <c r="U693" s="193"/>
      <c r="V693" s="193"/>
    </row>
    <row r="694" spans="1:22" s="191" customFormat="1">
      <c r="A694" s="193" t="s">
        <v>550</v>
      </c>
      <c r="B694" s="193">
        <v>1959</v>
      </c>
      <c r="C694" s="196">
        <v>44.782275646691403</v>
      </c>
      <c r="D694" s="196">
        <v>4.8888304799225901</v>
      </c>
      <c r="E694" s="191" t="s">
        <v>537</v>
      </c>
      <c r="G694" s="193"/>
      <c r="H694" s="193"/>
      <c r="I694" s="193"/>
      <c r="J694" s="193"/>
      <c r="K694" s="193"/>
      <c r="L694" s="193"/>
      <c r="M694" s="193"/>
      <c r="N694" s="193"/>
      <c r="O694" s="193"/>
      <c r="P694" s="193"/>
      <c r="Q694" s="193"/>
      <c r="R694" s="193"/>
      <c r="S694" s="193"/>
      <c r="T694" s="193"/>
      <c r="U694" s="193"/>
      <c r="V694" s="193"/>
    </row>
    <row r="695" spans="1:22" s="191" customFormat="1">
      <c r="A695" s="193" t="s">
        <v>550</v>
      </c>
      <c r="B695" s="193">
        <v>1960</v>
      </c>
      <c r="C695" s="196">
        <v>41.121889498102099</v>
      </c>
      <c r="D695" s="196">
        <v>8.4141104643878304</v>
      </c>
      <c r="E695" s="191" t="s">
        <v>537</v>
      </c>
      <c r="G695" s="193"/>
      <c r="H695" s="193"/>
      <c r="I695" s="193"/>
      <c r="J695" s="193"/>
      <c r="K695" s="193"/>
      <c r="L695" s="193"/>
      <c r="M695" s="193"/>
      <c r="N695" s="193"/>
      <c r="O695" s="193"/>
      <c r="P695" s="193"/>
      <c r="Q695" s="193"/>
      <c r="R695" s="193"/>
      <c r="S695" s="193"/>
      <c r="T695" s="193"/>
      <c r="U695" s="193"/>
      <c r="V695" s="193"/>
    </row>
    <row r="696" spans="1:22" s="191" customFormat="1">
      <c r="A696" s="193" t="s">
        <v>550</v>
      </c>
      <c r="B696" s="193">
        <v>1961</v>
      </c>
      <c r="C696" s="196">
        <v>38.889165877249802</v>
      </c>
      <c r="D696" s="196">
        <v>0.28892624500944702</v>
      </c>
      <c r="E696" s="191" t="s">
        <v>537</v>
      </c>
      <c r="G696" s="193"/>
      <c r="H696" s="193"/>
      <c r="I696" s="193"/>
      <c r="J696" s="193"/>
      <c r="K696" s="193"/>
      <c r="L696" s="193"/>
      <c r="M696" s="193"/>
      <c r="N696" s="193"/>
      <c r="O696" s="193"/>
      <c r="P696" s="193"/>
      <c r="Q696" s="193"/>
      <c r="R696" s="193"/>
      <c r="S696" s="193"/>
      <c r="T696" s="193"/>
      <c r="U696" s="193"/>
      <c r="V696" s="193"/>
    </row>
    <row r="697" spans="1:22" s="191" customFormat="1">
      <c r="A697" s="193" t="s">
        <v>550</v>
      </c>
      <c r="B697" s="193">
        <v>1962</v>
      </c>
      <c r="C697" s="196">
        <v>35.185185185185198</v>
      </c>
      <c r="D697" s="196">
        <v>6.8493007176156304</v>
      </c>
      <c r="E697" s="191" t="s">
        <v>537</v>
      </c>
      <c r="G697" s="193"/>
      <c r="H697" s="193"/>
      <c r="I697" s="193"/>
      <c r="J697" s="193"/>
      <c r="K697" s="193"/>
      <c r="L697" s="193"/>
      <c r="M697" s="193"/>
      <c r="N697" s="193"/>
      <c r="O697" s="193"/>
      <c r="P697" s="193"/>
      <c r="Q697" s="193"/>
      <c r="R697" s="193"/>
      <c r="S697" s="193"/>
      <c r="T697" s="193"/>
      <c r="U697" s="193"/>
      <c r="V697" s="193"/>
    </row>
    <row r="698" spans="1:22" s="191" customFormat="1">
      <c r="A698" s="193" t="s">
        <v>550</v>
      </c>
      <c r="B698" s="193">
        <v>1963</v>
      </c>
      <c r="C698" s="196">
        <v>34.593209481101901</v>
      </c>
      <c r="D698" s="196">
        <v>3.6208367240889099</v>
      </c>
      <c r="E698" s="191" t="s">
        <v>537</v>
      </c>
      <c r="G698" s="193"/>
      <c r="H698" s="193"/>
      <c r="I698" s="193"/>
      <c r="J698" s="193"/>
      <c r="K698" s="193"/>
      <c r="L698" s="193"/>
      <c r="M698" s="193"/>
      <c r="N698" s="193"/>
      <c r="O698" s="193"/>
      <c r="P698" s="193"/>
      <c r="Q698" s="193"/>
      <c r="R698" s="193"/>
      <c r="S698" s="193"/>
      <c r="T698" s="193"/>
      <c r="U698" s="193"/>
      <c r="V698" s="193"/>
    </row>
    <row r="699" spans="1:22" s="191" customFormat="1">
      <c r="A699" s="193" t="s">
        <v>550</v>
      </c>
      <c r="B699" s="193">
        <v>1964</v>
      </c>
      <c r="C699" s="196">
        <v>29.770548939878001</v>
      </c>
      <c r="D699" s="196">
        <v>8.2887042749275999</v>
      </c>
      <c r="E699" s="191" t="s">
        <v>536</v>
      </c>
      <c r="G699" s="193"/>
      <c r="H699" s="193"/>
      <c r="I699" s="193"/>
      <c r="J699" s="193"/>
      <c r="K699" s="193"/>
      <c r="L699" s="193"/>
      <c r="M699" s="193"/>
      <c r="N699" s="193"/>
      <c r="O699" s="193"/>
      <c r="P699" s="193"/>
      <c r="Q699" s="193"/>
      <c r="R699" s="193"/>
      <c r="S699" s="193"/>
      <c r="T699" s="193"/>
      <c r="U699" s="193"/>
      <c r="V699" s="193"/>
    </row>
    <row r="700" spans="1:22" s="191" customFormat="1">
      <c r="A700" s="193" t="s">
        <v>550</v>
      </c>
      <c r="B700" s="193">
        <v>1965</v>
      </c>
      <c r="C700" s="196">
        <v>28.277050086131201</v>
      </c>
      <c r="D700" s="196">
        <v>5.2330356674763703</v>
      </c>
      <c r="E700" s="191" t="s">
        <v>536</v>
      </c>
      <c r="G700" s="193"/>
      <c r="H700" s="193"/>
      <c r="I700" s="193"/>
      <c r="J700" s="193"/>
      <c r="K700" s="193"/>
      <c r="L700" s="193"/>
      <c r="M700" s="193"/>
      <c r="N700" s="193"/>
      <c r="O700" s="193"/>
      <c r="P700" s="193"/>
      <c r="Q700" s="193"/>
      <c r="R700" s="193"/>
      <c r="S700" s="193"/>
      <c r="T700" s="193"/>
      <c r="U700" s="193"/>
      <c r="V700" s="193"/>
    </row>
    <row r="701" spans="1:22" s="191" customFormat="1">
      <c r="A701" s="193" t="s">
        <v>550</v>
      </c>
      <c r="B701" s="193">
        <v>1966</v>
      </c>
      <c r="C701" s="196">
        <v>28.068918152229099</v>
      </c>
      <c r="D701" s="196">
        <v>2.7558434010047002</v>
      </c>
      <c r="E701" s="191" t="s">
        <v>536</v>
      </c>
      <c r="G701" s="193"/>
      <c r="H701" s="193"/>
      <c r="I701" s="193"/>
      <c r="J701" s="193"/>
      <c r="K701" s="193"/>
      <c r="L701" s="193"/>
      <c r="M701" s="193"/>
      <c r="N701" s="193"/>
      <c r="O701" s="193"/>
      <c r="P701" s="193"/>
      <c r="Q701" s="193"/>
      <c r="R701" s="193"/>
      <c r="S701" s="193"/>
      <c r="T701" s="193"/>
      <c r="U701" s="193"/>
      <c r="V701" s="193"/>
    </row>
    <row r="702" spans="1:22" s="191" customFormat="1">
      <c r="A702" s="193" t="s">
        <v>550</v>
      </c>
      <c r="B702" s="193">
        <v>1967</v>
      </c>
      <c r="C702" s="196">
        <v>29.382957884427</v>
      </c>
      <c r="D702" s="196">
        <v>5.2628601903776904</v>
      </c>
      <c r="E702" s="191" t="s">
        <v>536</v>
      </c>
      <c r="G702" s="193"/>
      <c r="H702" s="193"/>
      <c r="I702" s="193"/>
      <c r="J702" s="193"/>
      <c r="K702" s="193"/>
      <c r="L702" s="193"/>
      <c r="M702" s="193"/>
      <c r="N702" s="193"/>
      <c r="O702" s="193"/>
      <c r="P702" s="193"/>
      <c r="Q702" s="193"/>
      <c r="R702" s="193"/>
      <c r="S702" s="193"/>
      <c r="T702" s="193"/>
      <c r="U702" s="193"/>
      <c r="V702" s="193"/>
    </row>
    <row r="703" spans="1:22" s="191" customFormat="1">
      <c r="A703" s="193" t="s">
        <v>550</v>
      </c>
      <c r="B703" s="193">
        <v>1968</v>
      </c>
      <c r="C703" s="196">
        <v>28.9577658347444</v>
      </c>
      <c r="D703" s="196">
        <v>6.4175884913293402</v>
      </c>
      <c r="E703" s="191" t="s">
        <v>536</v>
      </c>
      <c r="G703" s="193"/>
      <c r="H703" s="193"/>
      <c r="I703" s="193"/>
      <c r="J703" s="193"/>
      <c r="K703" s="193"/>
      <c r="L703" s="193"/>
      <c r="M703" s="193"/>
      <c r="N703" s="193"/>
      <c r="O703" s="193"/>
      <c r="P703" s="193"/>
      <c r="Q703" s="193"/>
      <c r="R703" s="193"/>
      <c r="S703" s="193"/>
      <c r="T703" s="193"/>
      <c r="U703" s="193"/>
      <c r="V703" s="193"/>
    </row>
    <row r="704" spans="1:22" s="191" customFormat="1">
      <c r="A704" s="193" t="s">
        <v>550</v>
      </c>
      <c r="B704" s="193">
        <v>1969</v>
      </c>
      <c r="C704" s="196">
        <v>23.913756195398499</v>
      </c>
      <c r="D704" s="196">
        <v>6.43813975632452</v>
      </c>
      <c r="E704" s="191" t="s">
        <v>536</v>
      </c>
      <c r="G704" s="193"/>
      <c r="H704" s="193"/>
      <c r="I704" s="193"/>
      <c r="J704" s="193"/>
      <c r="K704" s="193"/>
      <c r="L704" s="193"/>
      <c r="M704" s="193"/>
      <c r="N704" s="193"/>
      <c r="O704" s="193"/>
      <c r="P704" s="193"/>
      <c r="Q704" s="193"/>
      <c r="R704" s="193"/>
      <c r="S704" s="193"/>
      <c r="T704" s="193"/>
      <c r="U704" s="193"/>
      <c r="V704" s="193"/>
    </row>
    <row r="705" spans="1:22" s="191" customFormat="1">
      <c r="A705" s="193" t="s">
        <v>550</v>
      </c>
      <c r="B705" s="193">
        <v>1970</v>
      </c>
      <c r="C705" s="196">
        <v>23.3934223200771</v>
      </c>
      <c r="D705" s="196">
        <v>5.6949414443721498</v>
      </c>
      <c r="E705" s="191" t="s">
        <v>536</v>
      </c>
      <c r="G705" s="193"/>
      <c r="H705" s="193"/>
      <c r="I705" s="193"/>
      <c r="J705" s="193"/>
      <c r="K705" s="193"/>
      <c r="L705" s="193"/>
      <c r="M705" s="193"/>
      <c r="N705" s="193"/>
      <c r="O705" s="193"/>
      <c r="P705" s="193"/>
      <c r="Q705" s="193"/>
      <c r="R705" s="193"/>
      <c r="S705" s="193"/>
      <c r="T705" s="193"/>
      <c r="U705" s="193"/>
      <c r="V705" s="193"/>
    </row>
    <row r="706" spans="1:22" s="191" customFormat="1">
      <c r="A706" s="193" t="s">
        <v>550</v>
      </c>
      <c r="B706" s="193">
        <v>1971</v>
      </c>
      <c r="C706" s="196">
        <v>21.176757366159801</v>
      </c>
      <c r="D706" s="196">
        <v>4.2217306274245701</v>
      </c>
      <c r="E706" s="191" t="s">
        <v>536</v>
      </c>
      <c r="G706" s="193"/>
      <c r="H706" s="193"/>
      <c r="I706" s="193"/>
      <c r="J706" s="193"/>
      <c r="K706" s="193"/>
      <c r="L706" s="193"/>
      <c r="M706" s="193"/>
      <c r="N706" s="193"/>
      <c r="O706" s="193"/>
      <c r="P706" s="193"/>
      <c r="Q706" s="193"/>
      <c r="R706" s="193"/>
      <c r="S706" s="193"/>
      <c r="T706" s="193"/>
      <c r="U706" s="193"/>
      <c r="V706" s="193"/>
    </row>
    <row r="707" spans="1:22" s="191" customFormat="1">
      <c r="A707" s="193" t="s">
        <v>550</v>
      </c>
      <c r="B707" s="193">
        <v>1972</v>
      </c>
      <c r="C707" s="196">
        <v>19.1755858073466</v>
      </c>
      <c r="D707" s="196">
        <v>3.3099748368083901</v>
      </c>
      <c r="E707" s="191" t="s">
        <v>536</v>
      </c>
      <c r="G707" s="193"/>
      <c r="H707" s="193"/>
      <c r="I707" s="193"/>
      <c r="J707" s="193"/>
      <c r="K707" s="193"/>
      <c r="L707" s="193"/>
      <c r="M707" s="193"/>
      <c r="N707" s="193"/>
      <c r="O707" s="193"/>
      <c r="P707" s="193"/>
      <c r="Q707" s="193"/>
      <c r="R707" s="193"/>
      <c r="S707" s="193"/>
      <c r="T707" s="193"/>
      <c r="U707" s="193"/>
      <c r="V707" s="193"/>
    </row>
    <row r="708" spans="1:22" s="191" customFormat="1">
      <c r="A708" s="193" t="s">
        <v>550</v>
      </c>
      <c r="B708" s="193">
        <v>1973</v>
      </c>
      <c r="C708" s="196">
        <v>17.108843133294499</v>
      </c>
      <c r="D708" s="196">
        <v>4.68797455916246</v>
      </c>
      <c r="E708" s="191" t="s">
        <v>536</v>
      </c>
      <c r="G708" s="193"/>
      <c r="H708" s="193"/>
      <c r="I708" s="193"/>
      <c r="J708" s="193"/>
      <c r="K708" s="193"/>
      <c r="L708" s="193"/>
      <c r="M708" s="193"/>
      <c r="N708" s="193"/>
      <c r="O708" s="193"/>
      <c r="P708" s="193"/>
      <c r="Q708" s="193"/>
      <c r="R708" s="193"/>
      <c r="S708" s="193"/>
      <c r="T708" s="193"/>
      <c r="U708" s="193"/>
      <c r="V708" s="193"/>
    </row>
    <row r="709" spans="1:22" s="191" customFormat="1">
      <c r="A709" s="193" t="s">
        <v>550</v>
      </c>
      <c r="B709" s="193">
        <v>1974</v>
      </c>
      <c r="C709" s="196">
        <v>16.6500863919577</v>
      </c>
      <c r="D709" s="196">
        <v>3.96607334846495</v>
      </c>
      <c r="E709" s="191" t="s">
        <v>536</v>
      </c>
      <c r="G709" s="193"/>
      <c r="H709" s="193"/>
      <c r="I709" s="193"/>
      <c r="J709" s="193"/>
      <c r="K709" s="193"/>
      <c r="L709" s="193"/>
      <c r="M709" s="193"/>
      <c r="N709" s="193"/>
      <c r="O709" s="193"/>
      <c r="P709" s="193"/>
      <c r="Q709" s="193"/>
      <c r="R709" s="193"/>
      <c r="S709" s="193"/>
      <c r="T709" s="193"/>
      <c r="U709" s="193"/>
      <c r="V709" s="193"/>
    </row>
    <row r="710" spans="1:22" s="191" customFormat="1">
      <c r="A710" s="193" t="s">
        <v>550</v>
      </c>
      <c r="B710" s="193">
        <v>1975</v>
      </c>
      <c r="C710" s="196">
        <v>17.738737798689002</v>
      </c>
      <c r="D710" s="196">
        <v>-9.1375168934626494E-2</v>
      </c>
      <c r="E710" s="191" t="s">
        <v>536</v>
      </c>
      <c r="G710" s="193"/>
      <c r="H710" s="193"/>
      <c r="I710" s="193"/>
      <c r="J710" s="193"/>
      <c r="K710" s="193"/>
      <c r="L710" s="193"/>
      <c r="M710" s="193"/>
      <c r="N710" s="193"/>
      <c r="O710" s="193"/>
      <c r="P710" s="193"/>
      <c r="Q710" s="193"/>
      <c r="R710" s="193"/>
      <c r="S710" s="193"/>
      <c r="T710" s="193"/>
      <c r="U710" s="193"/>
      <c r="V710" s="193"/>
    </row>
    <row r="711" spans="1:22" s="191" customFormat="1">
      <c r="A711" s="193" t="s">
        <v>550</v>
      </c>
      <c r="B711" s="193">
        <v>1976</v>
      </c>
      <c r="C711" s="196">
        <v>18.690653004689398</v>
      </c>
      <c r="D711" s="196">
        <v>4.7087559420797804</v>
      </c>
      <c r="E711" s="191" t="s">
        <v>536</v>
      </c>
      <c r="G711" s="193"/>
      <c r="H711" s="193"/>
      <c r="I711" s="193"/>
      <c r="J711" s="193"/>
      <c r="K711" s="193"/>
      <c r="L711" s="193"/>
      <c r="M711" s="193"/>
      <c r="N711" s="193"/>
      <c r="O711" s="193"/>
      <c r="P711" s="193"/>
      <c r="Q711" s="193"/>
      <c r="R711" s="193"/>
      <c r="S711" s="193"/>
      <c r="T711" s="193"/>
      <c r="U711" s="193"/>
      <c r="V711" s="193"/>
    </row>
    <row r="712" spans="1:22" s="191" customFormat="1">
      <c r="A712" s="193" t="s">
        <v>550</v>
      </c>
      <c r="B712" s="193">
        <v>1977</v>
      </c>
      <c r="C712" s="196">
        <v>19.319466080210098</v>
      </c>
      <c r="D712" s="196">
        <v>2.7187045618586301</v>
      </c>
      <c r="E712" s="191" t="s">
        <v>536</v>
      </c>
      <c r="G712" s="193"/>
      <c r="H712" s="193"/>
      <c r="I712" s="193"/>
      <c r="J712" s="193"/>
      <c r="K712" s="193"/>
      <c r="L712" s="193"/>
      <c r="M712" s="193"/>
      <c r="N712" s="193"/>
      <c r="O712" s="193"/>
      <c r="P712" s="193"/>
      <c r="Q712" s="193"/>
      <c r="R712" s="193"/>
      <c r="S712" s="193"/>
      <c r="T712" s="193"/>
      <c r="U712" s="193"/>
      <c r="V712" s="193"/>
    </row>
    <row r="713" spans="1:22" s="191" customFormat="1">
      <c r="A713" s="193" t="s">
        <v>550</v>
      </c>
      <c r="B713" s="193">
        <v>1978</v>
      </c>
      <c r="C713" s="196">
        <v>20.661888015397398</v>
      </c>
      <c r="D713" s="196">
        <v>2.3585482097030499</v>
      </c>
      <c r="E713" s="191" t="s">
        <v>536</v>
      </c>
      <c r="G713" s="193"/>
      <c r="H713" s="193"/>
      <c r="I713" s="193"/>
      <c r="J713" s="193"/>
      <c r="K713" s="193"/>
      <c r="L713" s="193"/>
      <c r="M713" s="193"/>
      <c r="N713" s="193"/>
      <c r="O713" s="193"/>
      <c r="P713" s="193"/>
      <c r="Q713" s="193"/>
      <c r="R713" s="193"/>
      <c r="S713" s="193"/>
      <c r="T713" s="193"/>
      <c r="U713" s="193"/>
      <c r="V713" s="193"/>
    </row>
    <row r="714" spans="1:22" s="191" customFormat="1">
      <c r="A714" s="193" t="s">
        <v>550</v>
      </c>
      <c r="B714" s="193">
        <v>1979</v>
      </c>
      <c r="C714" s="196">
        <v>22.693747872461099</v>
      </c>
      <c r="D714" s="196">
        <v>2.2270972620184599</v>
      </c>
      <c r="E714" s="191" t="s">
        <v>536</v>
      </c>
      <c r="G714" s="193"/>
      <c r="H714" s="193"/>
      <c r="I714" s="193"/>
      <c r="J714" s="193"/>
      <c r="K714" s="193"/>
      <c r="L714" s="193"/>
      <c r="M714" s="193"/>
      <c r="N714" s="193"/>
      <c r="O714" s="193"/>
      <c r="P714" s="193"/>
      <c r="Q714" s="193"/>
      <c r="R714" s="193"/>
      <c r="S714" s="193"/>
      <c r="T714" s="193"/>
      <c r="U714" s="193"/>
      <c r="V714" s="193"/>
    </row>
    <row r="715" spans="1:22" s="191" customFormat="1">
      <c r="A715" s="193" t="s">
        <v>550</v>
      </c>
      <c r="B715" s="193">
        <v>1980</v>
      </c>
      <c r="C715" s="196">
        <v>26.070021963526901</v>
      </c>
      <c r="D715" s="196">
        <v>1.20583354825523</v>
      </c>
      <c r="E715" s="191" t="s">
        <v>536</v>
      </c>
      <c r="G715" s="193"/>
      <c r="H715" s="193"/>
      <c r="I715" s="193"/>
      <c r="J715" s="193"/>
      <c r="K715" s="193"/>
      <c r="L715" s="193"/>
      <c r="M715" s="193"/>
      <c r="N715" s="193"/>
      <c r="O715" s="193"/>
      <c r="P715" s="193"/>
      <c r="Q715" s="193"/>
      <c r="R715" s="193"/>
      <c r="S715" s="193"/>
      <c r="T715" s="193"/>
      <c r="U715" s="193"/>
      <c r="V715" s="193"/>
    </row>
    <row r="716" spans="1:22" s="191" customFormat="1">
      <c r="A716" s="193" t="s">
        <v>550</v>
      </c>
      <c r="B716" s="193">
        <v>1981</v>
      </c>
      <c r="C716" s="196">
        <v>30.499201917770801</v>
      </c>
      <c r="D716" s="196">
        <v>-0.513749767944915</v>
      </c>
      <c r="E716" s="191" t="s">
        <v>537</v>
      </c>
      <c r="G716" s="193"/>
      <c r="H716" s="193"/>
      <c r="I716" s="193"/>
      <c r="J716" s="193"/>
      <c r="K716" s="193"/>
      <c r="L716" s="193"/>
      <c r="M716" s="193"/>
      <c r="N716" s="193"/>
      <c r="O716" s="193"/>
      <c r="P716" s="193"/>
      <c r="Q716" s="193"/>
      <c r="R716" s="193"/>
      <c r="S716" s="193"/>
      <c r="T716" s="193"/>
      <c r="U716" s="193"/>
      <c r="V716" s="193"/>
    </row>
    <row r="717" spans="1:22" s="191" customFormat="1">
      <c r="A717" s="193" t="s">
        <v>550</v>
      </c>
      <c r="B717" s="193">
        <v>1982</v>
      </c>
      <c r="C717" s="196">
        <v>36.5552520373422</v>
      </c>
      <c r="D717" s="196">
        <v>-1.2830966318206301</v>
      </c>
      <c r="E717" s="191" t="s">
        <v>537</v>
      </c>
      <c r="G717" s="193"/>
      <c r="H717" s="193"/>
      <c r="I717" s="193"/>
      <c r="J717" s="193"/>
      <c r="K717" s="193"/>
      <c r="L717" s="193"/>
      <c r="M717" s="193"/>
      <c r="N717" s="193"/>
      <c r="O717" s="193"/>
      <c r="P717" s="193"/>
      <c r="Q717" s="193"/>
      <c r="R717" s="193"/>
      <c r="S717" s="193"/>
      <c r="T717" s="193"/>
      <c r="U717" s="193"/>
      <c r="V717" s="193"/>
    </row>
    <row r="718" spans="1:22" s="191" customFormat="1">
      <c r="A718" s="193" t="s">
        <v>550</v>
      </c>
      <c r="B718" s="193">
        <v>1983</v>
      </c>
      <c r="C718" s="196">
        <v>42.705017016137901</v>
      </c>
      <c r="D718" s="196">
        <v>1.7579617834394801</v>
      </c>
      <c r="E718" s="191" t="s">
        <v>537</v>
      </c>
      <c r="G718" s="193"/>
      <c r="H718" s="193"/>
      <c r="I718" s="193"/>
      <c r="J718" s="193"/>
      <c r="K718" s="193"/>
      <c r="L718" s="193"/>
      <c r="M718" s="193"/>
      <c r="N718" s="193"/>
      <c r="O718" s="193"/>
      <c r="P718" s="193"/>
      <c r="Q718" s="193"/>
      <c r="R718" s="193"/>
      <c r="S718" s="193"/>
      <c r="T718" s="193"/>
      <c r="U718" s="193"/>
      <c r="V718" s="193"/>
    </row>
    <row r="719" spans="1:22" s="191" customFormat="1">
      <c r="A719" s="193" t="s">
        <v>550</v>
      </c>
      <c r="B719" s="193">
        <v>1984</v>
      </c>
      <c r="C719" s="196">
        <v>47.823279595575698</v>
      </c>
      <c r="D719" s="196">
        <v>3.1191949214143899</v>
      </c>
      <c r="E719" s="191" t="s">
        <v>537</v>
      </c>
      <c r="G719" s="193"/>
      <c r="H719" s="193"/>
      <c r="I719" s="193"/>
      <c r="J719" s="193"/>
      <c r="K719" s="193"/>
      <c r="L719" s="193"/>
      <c r="M719" s="193"/>
      <c r="N719" s="193"/>
      <c r="O719" s="193"/>
      <c r="P719" s="193"/>
      <c r="Q719" s="193"/>
      <c r="R719" s="193"/>
      <c r="S719" s="193"/>
      <c r="T719" s="193"/>
      <c r="U719" s="193"/>
      <c r="V719" s="193"/>
    </row>
    <row r="720" spans="1:22" s="191" customFormat="1">
      <c r="A720" s="193" t="s">
        <v>550</v>
      </c>
      <c r="B720" s="193">
        <v>1985</v>
      </c>
      <c r="C720" s="196">
        <v>51.4384170630874</v>
      </c>
      <c r="D720" s="196">
        <v>2.6563332184592201</v>
      </c>
      <c r="E720" s="191" t="s">
        <v>537</v>
      </c>
      <c r="G720" s="193"/>
      <c r="H720" s="193"/>
      <c r="I720" s="193"/>
      <c r="J720" s="193"/>
      <c r="K720" s="193"/>
      <c r="L720" s="193"/>
      <c r="M720" s="193"/>
      <c r="N720" s="193"/>
      <c r="O720" s="193"/>
      <c r="P720" s="193"/>
      <c r="Q720" s="193"/>
      <c r="R720" s="193"/>
      <c r="S720" s="193"/>
      <c r="T720" s="193"/>
      <c r="U720" s="193"/>
      <c r="V720" s="193"/>
    </row>
    <row r="721" spans="1:22" s="191" customFormat="1">
      <c r="A721" s="193" t="s">
        <v>550</v>
      </c>
      <c r="B721" s="193">
        <v>1986</v>
      </c>
      <c r="C721" s="196">
        <v>51.922393782938101</v>
      </c>
      <c r="D721" s="196">
        <v>3.12472580922045</v>
      </c>
      <c r="E721" s="191" t="s">
        <v>537</v>
      </c>
      <c r="G721" s="193"/>
      <c r="H721" s="193"/>
      <c r="I721" s="193"/>
      <c r="J721" s="193"/>
      <c r="K721" s="193"/>
      <c r="L721" s="193"/>
      <c r="M721" s="193"/>
      <c r="N721" s="193"/>
      <c r="O721" s="193"/>
      <c r="P721" s="193"/>
      <c r="Q721" s="193"/>
      <c r="R721" s="193"/>
      <c r="S721" s="193"/>
      <c r="T721" s="193"/>
      <c r="U721" s="193"/>
      <c r="V721" s="193"/>
    </row>
    <row r="722" spans="1:22" s="191" customFormat="1">
      <c r="A722" s="193" t="s">
        <v>550</v>
      </c>
      <c r="B722" s="193">
        <v>1987</v>
      </c>
      <c r="C722" s="196">
        <v>54.128956826744002</v>
      </c>
      <c r="D722" s="196">
        <v>1.85072837980809</v>
      </c>
      <c r="E722" s="191" t="s">
        <v>537</v>
      </c>
      <c r="G722" s="193"/>
      <c r="H722" s="193"/>
      <c r="I722" s="193"/>
      <c r="J722" s="193"/>
      <c r="K722" s="193"/>
      <c r="L722" s="193"/>
      <c r="M722" s="193"/>
      <c r="N722" s="193"/>
      <c r="O722" s="193"/>
      <c r="P722" s="193"/>
      <c r="Q722" s="193"/>
      <c r="R722" s="193"/>
      <c r="S722" s="193"/>
      <c r="T722" s="193"/>
      <c r="U722" s="193"/>
      <c r="V722" s="193"/>
    </row>
    <row r="723" spans="1:22" s="191" customFormat="1">
      <c r="A723" s="193" t="s">
        <v>550</v>
      </c>
      <c r="B723" s="193">
        <v>1988</v>
      </c>
      <c r="C723" s="196">
        <v>56.887086770165098</v>
      </c>
      <c r="D723" s="196">
        <v>2.98043431676287</v>
      </c>
      <c r="E723" s="191" t="s">
        <v>537</v>
      </c>
      <c r="G723" s="193"/>
      <c r="H723" s="193"/>
      <c r="I723" s="193"/>
      <c r="J723" s="193"/>
      <c r="K723" s="193"/>
      <c r="L723" s="193"/>
      <c r="M723" s="193"/>
      <c r="N723" s="193"/>
      <c r="O723" s="193"/>
      <c r="P723" s="193"/>
      <c r="Q723" s="193"/>
      <c r="R723" s="193"/>
      <c r="S723" s="193"/>
      <c r="T723" s="193"/>
      <c r="U723" s="193"/>
      <c r="V723" s="193"/>
    </row>
    <row r="724" spans="1:22" s="191" customFormat="1">
      <c r="A724" s="193" t="s">
        <v>550</v>
      </c>
      <c r="B724" s="193">
        <v>1989</v>
      </c>
      <c r="C724" s="196">
        <v>57.520964360587001</v>
      </c>
      <c r="D724" s="196">
        <v>4.7845944945068304</v>
      </c>
      <c r="E724" s="191" t="s">
        <v>537</v>
      </c>
      <c r="G724" s="193"/>
      <c r="H724" s="193"/>
      <c r="I724" s="193"/>
      <c r="J724" s="193"/>
      <c r="K724" s="193"/>
      <c r="L724" s="193"/>
      <c r="M724" s="193"/>
      <c r="N724" s="193"/>
      <c r="O724" s="193"/>
      <c r="P724" s="193"/>
      <c r="Q724" s="193"/>
      <c r="R724" s="193"/>
      <c r="S724" s="193"/>
      <c r="T724" s="193"/>
      <c r="U724" s="193"/>
      <c r="V724" s="193"/>
    </row>
    <row r="725" spans="1:22" s="191" customFormat="1">
      <c r="A725" s="193" t="s">
        <v>550</v>
      </c>
      <c r="B725" s="193">
        <v>1990</v>
      </c>
      <c r="C725" s="196">
        <v>58.424788861927802</v>
      </c>
      <c r="D725" s="196">
        <v>4.0646110245337503</v>
      </c>
      <c r="E725" s="191" t="s">
        <v>537</v>
      </c>
      <c r="G725" s="193"/>
      <c r="H725" s="193"/>
      <c r="I725" s="193"/>
      <c r="J725" s="193"/>
      <c r="K725" s="193"/>
      <c r="L725" s="193"/>
      <c r="M725" s="193"/>
      <c r="N725" s="193"/>
      <c r="O725" s="193"/>
      <c r="P725" s="193"/>
      <c r="Q725" s="193"/>
      <c r="R725" s="193"/>
      <c r="S725" s="193"/>
      <c r="T725" s="193"/>
      <c r="U725" s="193"/>
      <c r="V725" s="193"/>
    </row>
    <row r="726" spans="1:22" s="191" customFormat="1">
      <c r="A726" s="193" t="s">
        <v>550</v>
      </c>
      <c r="B726" s="193">
        <v>1991</v>
      </c>
      <c r="C726" s="196">
        <v>59.248402826772498</v>
      </c>
      <c r="D726" s="196">
        <v>2.40509481623794</v>
      </c>
      <c r="E726" s="191" t="s">
        <v>537</v>
      </c>
      <c r="G726" s="193"/>
      <c r="H726" s="193"/>
      <c r="I726" s="193"/>
      <c r="J726" s="193"/>
      <c r="K726" s="193"/>
      <c r="L726" s="193"/>
      <c r="M726" s="193"/>
      <c r="N726" s="193"/>
      <c r="O726" s="193"/>
      <c r="P726" s="193"/>
      <c r="Q726" s="193"/>
      <c r="R726" s="193"/>
      <c r="S726" s="193"/>
      <c r="T726" s="193"/>
      <c r="U726" s="193"/>
      <c r="V726" s="193"/>
    </row>
    <row r="727" spans="1:22" s="191" customFormat="1">
      <c r="A727" s="193" t="s">
        <v>550</v>
      </c>
      <c r="B727" s="193">
        <v>1992</v>
      </c>
      <c r="C727" s="196">
        <v>60.644270317331703</v>
      </c>
      <c r="D727" s="196">
        <v>1.48951559158974</v>
      </c>
      <c r="E727" s="191" t="s">
        <v>538</v>
      </c>
      <c r="G727" s="193"/>
      <c r="H727" s="193"/>
      <c r="I727" s="193"/>
      <c r="J727" s="193"/>
      <c r="K727" s="193"/>
      <c r="L727" s="193"/>
      <c r="M727" s="193"/>
      <c r="N727" s="193"/>
      <c r="O727" s="193"/>
      <c r="P727" s="193"/>
      <c r="Q727" s="193"/>
      <c r="R727" s="193"/>
      <c r="S727" s="193"/>
      <c r="T727" s="193"/>
      <c r="U727" s="193"/>
      <c r="V727" s="193"/>
    </row>
    <row r="728" spans="1:22" s="191" customFormat="1">
      <c r="A728" s="193" t="s">
        <v>550</v>
      </c>
      <c r="B728" s="193">
        <v>1993</v>
      </c>
      <c r="C728" s="196">
        <v>61.227776110553997</v>
      </c>
      <c r="D728" s="196">
        <v>0.65135733158228004</v>
      </c>
      <c r="E728" s="191" t="s">
        <v>538</v>
      </c>
      <c r="G728" s="193"/>
      <c r="H728" s="193"/>
      <c r="I728" s="193"/>
      <c r="J728" s="193"/>
      <c r="K728" s="193"/>
      <c r="L728" s="193"/>
      <c r="M728" s="193"/>
      <c r="N728" s="193"/>
      <c r="O728" s="193"/>
      <c r="P728" s="193"/>
      <c r="Q728" s="193"/>
      <c r="R728" s="193"/>
      <c r="S728" s="193"/>
      <c r="T728" s="193"/>
      <c r="U728" s="193"/>
      <c r="V728" s="193"/>
    </row>
    <row r="729" spans="1:22" s="191" customFormat="1">
      <c r="A729" s="193" t="s">
        <v>550</v>
      </c>
      <c r="B729" s="193">
        <v>1994</v>
      </c>
      <c r="C729" s="196">
        <v>58.048741465722003</v>
      </c>
      <c r="D729" s="196">
        <v>2.86436915237676</v>
      </c>
      <c r="E729" s="191" t="s">
        <v>537</v>
      </c>
      <c r="G729" s="193"/>
      <c r="H729" s="193"/>
      <c r="I729" s="193"/>
      <c r="J729" s="193"/>
      <c r="K729" s="193"/>
      <c r="L729" s="193"/>
      <c r="M729" s="193"/>
      <c r="N729" s="193"/>
      <c r="O729" s="193"/>
      <c r="P729" s="193"/>
      <c r="Q729" s="193"/>
      <c r="R729" s="193"/>
      <c r="S729" s="193"/>
      <c r="T729" s="193"/>
      <c r="U729" s="193"/>
      <c r="V729" s="193"/>
    </row>
    <row r="730" spans="1:22" s="191" customFormat="1">
      <c r="A730" s="193" t="s">
        <v>550</v>
      </c>
      <c r="B730" s="193">
        <v>1995</v>
      </c>
      <c r="C730" s="196">
        <v>58.933175217273103</v>
      </c>
      <c r="D730" s="196">
        <v>3.0331904558653</v>
      </c>
      <c r="E730" s="191" t="s">
        <v>537</v>
      </c>
      <c r="G730" s="193"/>
      <c r="H730" s="193"/>
      <c r="I730" s="193"/>
      <c r="J730" s="193"/>
      <c r="K730" s="193"/>
      <c r="L730" s="193"/>
      <c r="M730" s="193"/>
      <c r="N730" s="193"/>
      <c r="O730" s="193"/>
      <c r="P730" s="193"/>
      <c r="Q730" s="193"/>
      <c r="R730" s="193"/>
      <c r="S730" s="193"/>
      <c r="T730" s="193"/>
      <c r="U730" s="193"/>
      <c r="V730" s="193"/>
    </row>
    <row r="731" spans="1:22" s="191" customFormat="1">
      <c r="A731" s="193" t="s">
        <v>550</v>
      </c>
      <c r="B731" s="193">
        <v>1996</v>
      </c>
      <c r="C731" s="196">
        <v>57.669152945223701</v>
      </c>
      <c r="D731" s="196">
        <v>3.40600448688215</v>
      </c>
      <c r="E731" s="191" t="s">
        <v>537</v>
      </c>
      <c r="G731" s="193"/>
      <c r="H731" s="193"/>
      <c r="I731" s="193"/>
      <c r="J731" s="193"/>
      <c r="K731" s="193"/>
      <c r="L731" s="193"/>
      <c r="M731" s="193"/>
      <c r="N731" s="193"/>
      <c r="O731" s="193"/>
      <c r="P731" s="193"/>
      <c r="Q731" s="193"/>
      <c r="R731" s="193"/>
      <c r="S731" s="193"/>
      <c r="T731" s="193"/>
      <c r="U731" s="193"/>
      <c r="V731" s="193"/>
    </row>
    <row r="732" spans="1:22" s="191" customFormat="1">
      <c r="A732" s="193" t="s">
        <v>550</v>
      </c>
      <c r="B732" s="193">
        <v>1997</v>
      </c>
      <c r="C732" s="196">
        <v>53.910009730099297</v>
      </c>
      <c r="D732" s="196">
        <v>4.2784354440093404</v>
      </c>
      <c r="E732" s="191" t="s">
        <v>537</v>
      </c>
      <c r="G732" s="193"/>
      <c r="H732" s="193"/>
      <c r="I732" s="193"/>
      <c r="J732" s="193"/>
      <c r="K732" s="193"/>
      <c r="L732" s="193"/>
      <c r="M732" s="193"/>
      <c r="N732" s="193"/>
      <c r="O732" s="193"/>
      <c r="P732" s="193"/>
      <c r="Q732" s="193"/>
      <c r="R732" s="193"/>
      <c r="S732" s="193"/>
      <c r="T732" s="193"/>
      <c r="U732" s="193"/>
      <c r="V732" s="193"/>
    </row>
    <row r="733" spans="1:22" s="191" customFormat="1">
      <c r="A733" s="193" t="s">
        <v>550</v>
      </c>
      <c r="B733" s="193">
        <v>1998</v>
      </c>
      <c r="C733" s="196">
        <v>52.005164650834303</v>
      </c>
      <c r="D733" s="196">
        <v>3.9235208337278902</v>
      </c>
      <c r="E733" s="191" t="s">
        <v>537</v>
      </c>
      <c r="G733" s="193"/>
      <c r="H733" s="193"/>
      <c r="I733" s="193"/>
      <c r="J733" s="193"/>
      <c r="K733" s="193"/>
      <c r="L733" s="193"/>
      <c r="M733" s="193"/>
      <c r="N733" s="193"/>
      <c r="O733" s="193"/>
      <c r="P733" s="193"/>
      <c r="Q733" s="193"/>
      <c r="R733" s="193"/>
      <c r="S733" s="193"/>
      <c r="T733" s="193"/>
      <c r="U733" s="193"/>
      <c r="V733" s="193"/>
    </row>
    <row r="734" spans="1:22" s="191" customFormat="1">
      <c r="A734" s="193" t="s">
        <v>550</v>
      </c>
      <c r="B734" s="193">
        <v>1999</v>
      </c>
      <c r="C734" s="196">
        <v>49.120517461476503</v>
      </c>
      <c r="D734" s="196">
        <v>4.6844857973700904</v>
      </c>
      <c r="E734" s="191" t="s">
        <v>537</v>
      </c>
      <c r="G734" s="193"/>
      <c r="H734" s="193"/>
      <c r="I734" s="193"/>
      <c r="J734" s="193"/>
      <c r="K734" s="193"/>
      <c r="L734" s="193"/>
      <c r="M734" s="193"/>
      <c r="N734" s="193"/>
      <c r="O734" s="193"/>
      <c r="P734" s="193"/>
      <c r="Q734" s="193"/>
      <c r="R734" s="193"/>
      <c r="S734" s="193"/>
      <c r="T734" s="193"/>
      <c r="U734" s="193"/>
      <c r="V734" s="193"/>
    </row>
    <row r="735" spans="1:22" s="191" customFormat="1">
      <c r="A735" s="193" t="s">
        <v>550</v>
      </c>
      <c r="B735" s="193">
        <v>2000</v>
      </c>
      <c r="C735" s="196">
        <v>42.994544932529401</v>
      </c>
      <c r="D735" s="196">
        <v>3.9409320265696399</v>
      </c>
      <c r="E735" s="191" t="s">
        <v>537</v>
      </c>
      <c r="G735" s="193"/>
      <c r="H735" s="193"/>
      <c r="I735" s="193"/>
      <c r="J735" s="193"/>
      <c r="K735" s="193"/>
      <c r="L735" s="193"/>
      <c r="M735" s="193"/>
      <c r="N735" s="193"/>
      <c r="O735" s="193"/>
      <c r="P735" s="193"/>
      <c r="Q735" s="193"/>
      <c r="R735" s="193"/>
      <c r="S735" s="193"/>
      <c r="T735" s="193"/>
      <c r="U735" s="193"/>
      <c r="V735" s="193"/>
    </row>
    <row r="736" spans="1:22" s="191" customFormat="1">
      <c r="A736" s="193" t="s">
        <v>550</v>
      </c>
      <c r="B736" s="193">
        <v>2001</v>
      </c>
      <c r="C736" s="196">
        <v>40.247380681704001</v>
      </c>
      <c r="D736" s="196">
        <v>1.92578237151881</v>
      </c>
      <c r="E736" s="191" t="s">
        <v>537</v>
      </c>
      <c r="G736" s="193"/>
      <c r="H736" s="193"/>
      <c r="I736" s="193"/>
      <c r="J736" s="193"/>
      <c r="K736" s="193"/>
      <c r="L736" s="193"/>
      <c r="M736" s="193"/>
      <c r="N736" s="193"/>
      <c r="O736" s="193"/>
      <c r="P736" s="193"/>
      <c r="Q736" s="193"/>
      <c r="R736" s="193"/>
      <c r="S736" s="193"/>
      <c r="T736" s="193"/>
      <c r="U736" s="193"/>
      <c r="V736" s="193"/>
    </row>
    <row r="737" spans="1:22" s="191" customFormat="1">
      <c r="A737" s="193" t="s">
        <v>550</v>
      </c>
      <c r="B737" s="193">
        <v>2002</v>
      </c>
      <c r="C737" s="196">
        <v>40.4330050256441</v>
      </c>
      <c r="D737" s="196">
        <v>7.6289468062884502E-2</v>
      </c>
      <c r="E737" s="191" t="s">
        <v>537</v>
      </c>
      <c r="G737" s="193"/>
      <c r="H737" s="193"/>
      <c r="I737" s="193"/>
      <c r="J737" s="193"/>
      <c r="K737" s="193"/>
      <c r="L737" s="193"/>
      <c r="M737" s="193"/>
      <c r="N737" s="193"/>
      <c r="O737" s="193"/>
      <c r="P737" s="193"/>
      <c r="Q737" s="193"/>
      <c r="R737" s="193"/>
      <c r="S737" s="193"/>
      <c r="T737" s="193"/>
      <c r="U737" s="193"/>
      <c r="V737" s="193"/>
    </row>
    <row r="738" spans="1:22" s="191" customFormat="1">
      <c r="A738" s="193" t="s">
        <v>550</v>
      </c>
      <c r="B738" s="193">
        <v>2003</v>
      </c>
      <c r="C738" s="196">
        <v>42.520626067995302</v>
      </c>
      <c r="D738" s="196">
        <v>0.33565232892520702</v>
      </c>
      <c r="E738" s="191" t="s">
        <v>537</v>
      </c>
      <c r="G738" s="193"/>
      <c r="H738" s="193"/>
      <c r="I738" s="193"/>
      <c r="J738" s="193"/>
      <c r="K738" s="193"/>
      <c r="L738" s="193"/>
      <c r="M738" s="193"/>
      <c r="N738" s="193"/>
      <c r="O738" s="193"/>
      <c r="P738" s="193"/>
      <c r="Q738" s="193"/>
      <c r="R738" s="193"/>
      <c r="S738" s="193"/>
      <c r="T738" s="193"/>
      <c r="U738" s="193"/>
      <c r="V738" s="193"/>
    </row>
    <row r="739" spans="1:22" s="191" customFormat="1">
      <c r="A739" s="193" t="s">
        <v>550</v>
      </c>
      <c r="B739" s="193">
        <v>2004</v>
      </c>
      <c r="C739" s="196">
        <v>43.751425127854297</v>
      </c>
      <c r="D739" s="196">
        <v>2.2365083632368301</v>
      </c>
      <c r="E739" s="191" t="s">
        <v>537</v>
      </c>
      <c r="G739" s="193"/>
      <c r="H739" s="193"/>
      <c r="I739" s="193"/>
      <c r="J739" s="193"/>
      <c r="K739" s="193"/>
      <c r="L739" s="193"/>
      <c r="M739" s="193"/>
      <c r="N739" s="193"/>
      <c r="O739" s="193"/>
      <c r="P739" s="193"/>
      <c r="Q739" s="193"/>
      <c r="R739" s="193"/>
      <c r="S739" s="193"/>
      <c r="T739" s="193"/>
      <c r="U739" s="193"/>
      <c r="V739" s="193"/>
    </row>
    <row r="740" spans="1:22" s="191" customFormat="1">
      <c r="A740" s="193" t="s">
        <v>550</v>
      </c>
      <c r="B740" s="193">
        <v>2005</v>
      </c>
      <c r="C740" s="196">
        <v>42.948382082831003</v>
      </c>
      <c r="D740" s="196">
        <v>2.0465001417687301</v>
      </c>
      <c r="E740" s="191" t="s">
        <v>537</v>
      </c>
      <c r="G740" s="193"/>
      <c r="H740" s="193"/>
      <c r="I740" s="193"/>
      <c r="J740" s="193"/>
      <c r="K740" s="193"/>
      <c r="L740" s="193"/>
      <c r="M740" s="193"/>
      <c r="N740" s="193"/>
      <c r="O740" s="193"/>
      <c r="P740" s="193"/>
      <c r="Q740" s="193"/>
      <c r="R740" s="193"/>
      <c r="S740" s="193"/>
      <c r="T740" s="193"/>
      <c r="U740" s="193"/>
      <c r="V740" s="193"/>
    </row>
    <row r="741" spans="1:22" s="191" customFormat="1">
      <c r="A741" s="193" t="s">
        <v>550</v>
      </c>
      <c r="B741" s="193">
        <v>2006</v>
      </c>
      <c r="C741" s="196">
        <v>39.169517378233898</v>
      </c>
      <c r="D741" s="196">
        <v>3.3942664055462801</v>
      </c>
      <c r="E741" s="191" t="s">
        <v>537</v>
      </c>
      <c r="G741" s="193"/>
      <c r="H741" s="193"/>
      <c r="I741" s="193"/>
      <c r="J741" s="193"/>
      <c r="K741" s="193"/>
      <c r="L741" s="193"/>
      <c r="M741" s="193"/>
      <c r="N741" s="193"/>
      <c r="O741" s="193"/>
      <c r="P741" s="193"/>
      <c r="Q741" s="193"/>
      <c r="R741" s="193"/>
      <c r="S741" s="193"/>
      <c r="T741" s="193"/>
      <c r="U741" s="193"/>
      <c r="V741" s="193"/>
    </row>
    <row r="742" spans="1:22" s="191" customFormat="1">
      <c r="A742" s="193" t="s">
        <v>550</v>
      </c>
      <c r="B742" s="193">
        <v>2007</v>
      </c>
      <c r="C742" s="196">
        <v>37.983765457282303</v>
      </c>
      <c r="D742" s="196">
        <v>3.6131157488676502</v>
      </c>
      <c r="E742" s="191" t="s">
        <v>537</v>
      </c>
      <c r="G742" s="193"/>
      <c r="H742" s="193"/>
      <c r="I742" s="193"/>
      <c r="J742" s="193"/>
      <c r="K742" s="193"/>
      <c r="L742" s="193"/>
      <c r="M742" s="193"/>
      <c r="N742" s="193"/>
      <c r="O742" s="193"/>
      <c r="P742" s="193"/>
      <c r="Q742" s="193"/>
      <c r="R742" s="193"/>
      <c r="S742" s="193"/>
      <c r="T742" s="193"/>
      <c r="U742" s="193"/>
      <c r="V742" s="193"/>
    </row>
    <row r="743" spans="1:22" s="191" customFormat="1">
      <c r="A743" s="193" t="s">
        <v>550</v>
      </c>
      <c r="B743" s="193">
        <v>2008</v>
      </c>
      <c r="C743" s="196">
        <v>50.2951082678982</v>
      </c>
      <c r="D743" s="196">
        <v>1.9958084258170801</v>
      </c>
      <c r="E743" s="191" t="s">
        <v>537</v>
      </c>
      <c r="G743" s="193"/>
      <c r="H743" s="193"/>
      <c r="I743" s="193"/>
      <c r="J743" s="193"/>
      <c r="K743" s="193"/>
      <c r="L743" s="193"/>
      <c r="M743" s="193"/>
      <c r="N743" s="193"/>
      <c r="O743" s="193"/>
      <c r="P743" s="193"/>
      <c r="Q743" s="193"/>
      <c r="R743" s="193"/>
      <c r="S743" s="193"/>
      <c r="T743" s="193"/>
      <c r="U743" s="193"/>
      <c r="V743" s="193"/>
    </row>
    <row r="744" spans="1:22" s="191" customFormat="1">
      <c r="A744" s="193" t="s">
        <v>550</v>
      </c>
      <c r="B744" s="193">
        <v>2009</v>
      </c>
      <c r="C744" s="196">
        <v>50.475484876311299</v>
      </c>
      <c r="D744" s="196">
        <v>-4.1727161617901602</v>
      </c>
      <c r="E744" s="191" t="s">
        <v>537</v>
      </c>
      <c r="G744" s="193"/>
      <c r="H744" s="193"/>
      <c r="I744" s="193"/>
      <c r="J744" s="193"/>
      <c r="K744" s="193"/>
      <c r="L744" s="193"/>
      <c r="M744" s="193"/>
      <c r="N744" s="193"/>
      <c r="O744" s="193"/>
      <c r="P744" s="193"/>
      <c r="Q744" s="193"/>
      <c r="R744" s="193"/>
      <c r="S744" s="193"/>
      <c r="T744" s="193"/>
      <c r="U744" s="193"/>
      <c r="V744" s="193"/>
    </row>
    <row r="745" spans="1:22" s="191" customFormat="1">
      <c r="A745" s="193" t="s">
        <v>551</v>
      </c>
      <c r="B745" s="193">
        <v>1950</v>
      </c>
      <c r="C745" s="196">
        <v>87.652911931818196</v>
      </c>
      <c r="D745" s="196">
        <v>14.6759487665158</v>
      </c>
      <c r="E745" s="191" t="s">
        <v>538</v>
      </c>
      <c r="G745" s="193"/>
      <c r="H745" s="193"/>
      <c r="I745" s="193"/>
      <c r="J745" s="193"/>
      <c r="K745" s="193"/>
      <c r="L745" s="193"/>
      <c r="M745" s="193"/>
      <c r="N745" s="193"/>
      <c r="O745" s="193"/>
      <c r="P745" s="193"/>
      <c r="Q745" s="193"/>
      <c r="R745" s="193"/>
      <c r="S745" s="193"/>
      <c r="T745" s="193"/>
      <c r="U745" s="193"/>
      <c r="V745" s="193"/>
    </row>
    <row r="746" spans="1:22" s="191" customFormat="1">
      <c r="A746" s="193" t="s">
        <v>551</v>
      </c>
      <c r="B746" s="193">
        <v>1951</v>
      </c>
      <c r="C746" s="196">
        <v>91.751130911583303</v>
      </c>
      <c r="D746" s="196">
        <v>-7.6351016360932098</v>
      </c>
      <c r="E746" s="191" t="s">
        <v>535</v>
      </c>
      <c r="G746" s="193"/>
      <c r="H746" s="193"/>
      <c r="I746" s="193"/>
      <c r="J746" s="193"/>
      <c r="K746" s="193"/>
      <c r="L746" s="193"/>
      <c r="M746" s="193"/>
      <c r="N746" s="193"/>
      <c r="O746" s="193"/>
      <c r="P746" s="193"/>
      <c r="Q746" s="193"/>
      <c r="R746" s="193"/>
      <c r="S746" s="193"/>
      <c r="T746" s="193"/>
      <c r="U746" s="193"/>
      <c r="V746" s="193"/>
    </row>
    <row r="747" spans="1:22" s="191" customFormat="1">
      <c r="A747" s="193" t="s">
        <v>551</v>
      </c>
      <c r="B747" s="193">
        <v>1952</v>
      </c>
      <c r="C747" s="196">
        <v>85.831609947643997</v>
      </c>
      <c r="D747" s="196">
        <v>4.3478260869565197</v>
      </c>
      <c r="E747" s="191" t="s">
        <v>538</v>
      </c>
      <c r="G747" s="193"/>
      <c r="H747" s="193"/>
      <c r="I747" s="193"/>
      <c r="J747" s="193"/>
      <c r="K747" s="193"/>
      <c r="L747" s="193"/>
      <c r="M747" s="193"/>
      <c r="N747" s="193"/>
      <c r="O747" s="193"/>
      <c r="P747" s="193"/>
      <c r="Q747" s="193"/>
      <c r="R747" s="193"/>
      <c r="S747" s="193"/>
      <c r="T747" s="193"/>
      <c r="U747" s="193"/>
      <c r="V747" s="193"/>
    </row>
    <row r="748" spans="1:22" s="191" customFormat="1">
      <c r="A748" s="193" t="s">
        <v>551</v>
      </c>
      <c r="B748" s="193">
        <v>1953</v>
      </c>
      <c r="C748" s="196">
        <v>79.263846153846103</v>
      </c>
      <c r="D748" s="196">
        <v>3.4207818930041198</v>
      </c>
      <c r="E748" s="191" t="s">
        <v>538</v>
      </c>
      <c r="G748" s="193"/>
      <c r="H748" s="193"/>
      <c r="I748" s="193"/>
      <c r="J748" s="193"/>
      <c r="K748" s="193"/>
      <c r="L748" s="193"/>
      <c r="M748" s="193"/>
      <c r="N748" s="193"/>
      <c r="O748" s="193"/>
      <c r="P748" s="193"/>
      <c r="Q748" s="193"/>
      <c r="R748" s="193"/>
      <c r="S748" s="193"/>
      <c r="T748" s="193"/>
      <c r="U748" s="193"/>
      <c r="V748" s="193"/>
    </row>
    <row r="749" spans="1:22" s="191" customFormat="1">
      <c r="A749" s="193" t="s">
        <v>551</v>
      </c>
      <c r="B749" s="193">
        <v>1954</v>
      </c>
      <c r="C749" s="196">
        <v>75.275599360681994</v>
      </c>
      <c r="D749" s="196">
        <v>13.765232529221599</v>
      </c>
      <c r="E749" s="191" t="s">
        <v>538</v>
      </c>
      <c r="G749" s="193"/>
      <c r="H749" s="193"/>
      <c r="I749" s="193"/>
      <c r="J749" s="193"/>
      <c r="K749" s="193"/>
      <c r="L749" s="193"/>
      <c r="M749" s="193"/>
      <c r="N749" s="193"/>
      <c r="O749" s="193"/>
      <c r="P749" s="193"/>
      <c r="Q749" s="193"/>
      <c r="R749" s="193"/>
      <c r="S749" s="193"/>
      <c r="T749" s="193"/>
      <c r="U749" s="193"/>
      <c r="V749" s="193"/>
    </row>
    <row r="750" spans="1:22" s="191" customFormat="1">
      <c r="A750" s="193" t="s">
        <v>551</v>
      </c>
      <c r="B750" s="193">
        <v>1955</v>
      </c>
      <c r="C750" s="196">
        <v>73.843759474481999</v>
      </c>
      <c r="D750" s="196">
        <v>1.86359164936059</v>
      </c>
      <c r="E750" s="191" t="s">
        <v>538</v>
      </c>
      <c r="G750" s="193"/>
      <c r="H750" s="193"/>
      <c r="I750" s="193"/>
      <c r="J750" s="193"/>
      <c r="K750" s="193"/>
      <c r="L750" s="193"/>
      <c r="M750" s="193"/>
      <c r="N750" s="193"/>
      <c r="O750" s="193"/>
      <c r="P750" s="193"/>
      <c r="Q750" s="193"/>
      <c r="R750" s="193"/>
      <c r="S750" s="193"/>
      <c r="T750" s="193"/>
      <c r="U750" s="193"/>
      <c r="V750" s="193"/>
    </row>
    <row r="751" spans="1:22" s="191" customFormat="1">
      <c r="A751" s="193" t="s">
        <v>551</v>
      </c>
      <c r="B751" s="193">
        <v>1956</v>
      </c>
      <c r="C751" s="196">
        <v>70.760442733397497</v>
      </c>
      <c r="D751" s="196">
        <v>5.1826814743280298</v>
      </c>
      <c r="E751" s="191" t="s">
        <v>538</v>
      </c>
      <c r="G751" s="193"/>
      <c r="H751" s="193"/>
      <c r="I751" s="193"/>
      <c r="J751" s="193"/>
      <c r="K751" s="193"/>
      <c r="L751" s="193"/>
      <c r="M751" s="193"/>
      <c r="N751" s="193"/>
      <c r="O751" s="193"/>
      <c r="P751" s="193"/>
      <c r="Q751" s="193"/>
      <c r="R751" s="193"/>
      <c r="S751" s="193"/>
      <c r="T751" s="193"/>
      <c r="U751" s="193"/>
      <c r="V751" s="193"/>
    </row>
    <row r="752" spans="1:22" s="191" customFormat="1">
      <c r="A752" s="193" t="s">
        <v>551</v>
      </c>
      <c r="B752" s="193">
        <v>1957</v>
      </c>
      <c r="C752" s="196">
        <v>68.055640449438201</v>
      </c>
      <c r="D752" s="196">
        <v>2.85641418005611</v>
      </c>
      <c r="E752" s="191" t="s">
        <v>538</v>
      </c>
      <c r="G752" s="193"/>
      <c r="H752" s="193"/>
      <c r="I752" s="193"/>
      <c r="J752" s="193"/>
      <c r="K752" s="193"/>
      <c r="L752" s="193"/>
      <c r="M752" s="193"/>
      <c r="N752" s="193"/>
      <c r="O752" s="193"/>
      <c r="P752" s="193"/>
      <c r="Q752" s="193"/>
      <c r="R752" s="193"/>
      <c r="S752" s="193"/>
      <c r="T752" s="193"/>
      <c r="U752" s="193"/>
      <c r="V752" s="193"/>
    </row>
    <row r="753" spans="1:22" s="191" customFormat="1">
      <c r="A753" s="193" t="s">
        <v>551</v>
      </c>
      <c r="B753" s="193">
        <v>1958</v>
      </c>
      <c r="C753" s="196">
        <v>67.394312796208496</v>
      </c>
      <c r="D753" s="196">
        <v>3.92759732209274</v>
      </c>
      <c r="E753" s="191" t="s">
        <v>538</v>
      </c>
      <c r="G753" s="193"/>
      <c r="H753" s="193"/>
      <c r="I753" s="193"/>
      <c r="J753" s="193"/>
      <c r="K753" s="193"/>
      <c r="L753" s="193"/>
      <c r="M753" s="193"/>
      <c r="N753" s="193"/>
      <c r="O753" s="193"/>
      <c r="P753" s="193"/>
      <c r="Q753" s="193"/>
      <c r="R753" s="193"/>
      <c r="S753" s="193"/>
      <c r="T753" s="193"/>
      <c r="U753" s="193"/>
      <c r="V753" s="193"/>
    </row>
    <row r="754" spans="1:22" s="191" customFormat="1">
      <c r="A754" s="193" t="s">
        <v>551</v>
      </c>
      <c r="B754" s="193">
        <v>1959</v>
      </c>
      <c r="C754" s="196">
        <v>65.797904915390802</v>
      </c>
      <c r="D754" s="196">
        <v>7.1193396001335998</v>
      </c>
      <c r="E754" s="191" t="s">
        <v>538</v>
      </c>
      <c r="G754" s="193"/>
      <c r="H754" s="193"/>
      <c r="I754" s="193"/>
      <c r="J754" s="193"/>
      <c r="K754" s="193"/>
      <c r="L754" s="193"/>
      <c r="M754" s="193"/>
      <c r="N754" s="193"/>
      <c r="O754" s="193"/>
      <c r="P754" s="193"/>
      <c r="Q754" s="193"/>
      <c r="R754" s="193"/>
      <c r="S754" s="193"/>
      <c r="T754" s="193"/>
      <c r="U754" s="193"/>
      <c r="V754" s="193"/>
    </row>
    <row r="755" spans="1:22" s="191" customFormat="1">
      <c r="A755" s="193" t="s">
        <v>551</v>
      </c>
      <c r="B755" s="193">
        <v>1960</v>
      </c>
      <c r="C755" s="196">
        <v>62.859397097134298</v>
      </c>
      <c r="D755" s="196">
        <v>0</v>
      </c>
      <c r="E755" s="191" t="s">
        <v>538</v>
      </c>
      <c r="G755" s="193"/>
      <c r="H755" s="193"/>
      <c r="I755" s="193"/>
      <c r="J755" s="193"/>
      <c r="K755" s="193"/>
      <c r="L755" s="193"/>
      <c r="M755" s="193"/>
      <c r="N755" s="193"/>
      <c r="O755" s="193"/>
      <c r="P755" s="193"/>
      <c r="Q755" s="193"/>
      <c r="R755" s="193"/>
      <c r="S755" s="193"/>
      <c r="T755" s="193"/>
      <c r="U755" s="193"/>
      <c r="V755" s="193"/>
    </row>
    <row r="756" spans="1:22" s="191" customFormat="1">
      <c r="A756" s="193" t="s">
        <v>551</v>
      </c>
      <c r="B756" s="193">
        <v>1961</v>
      </c>
      <c r="C756" s="196">
        <v>62.3911606180381</v>
      </c>
      <c r="D756" s="196">
        <v>5.5904494632277499</v>
      </c>
      <c r="E756" s="191" t="s">
        <v>538</v>
      </c>
      <c r="G756" s="193"/>
      <c r="H756" s="193"/>
      <c r="I756" s="193"/>
      <c r="J756" s="193"/>
      <c r="K756" s="193"/>
      <c r="L756" s="193"/>
      <c r="M756" s="193"/>
      <c r="N756" s="193"/>
      <c r="O756" s="193"/>
      <c r="P756" s="193"/>
      <c r="Q756" s="193"/>
      <c r="R756" s="193"/>
      <c r="S756" s="193"/>
      <c r="T756" s="193"/>
      <c r="U756" s="193"/>
      <c r="V756" s="193"/>
    </row>
    <row r="757" spans="1:22" s="191" customFormat="1">
      <c r="A757" s="193" t="s">
        <v>551</v>
      </c>
      <c r="B757" s="193">
        <v>1962</v>
      </c>
      <c r="C757" s="196">
        <v>60.276358786262101</v>
      </c>
      <c r="D757" s="196">
        <v>2.1557543030712201</v>
      </c>
      <c r="E757" s="191" t="s">
        <v>538</v>
      </c>
      <c r="G757" s="193"/>
      <c r="H757" s="193"/>
      <c r="I757" s="193"/>
      <c r="J757" s="193"/>
      <c r="K757" s="193"/>
      <c r="L757" s="193"/>
      <c r="M757" s="193"/>
      <c r="N757" s="193"/>
      <c r="O757" s="193"/>
      <c r="P757" s="193"/>
      <c r="Q757" s="193"/>
      <c r="R757" s="193"/>
      <c r="S757" s="193"/>
      <c r="T757" s="193"/>
      <c r="U757" s="193"/>
      <c r="V757" s="193"/>
    </row>
    <row r="758" spans="1:22" s="191" customFormat="1">
      <c r="A758" s="193" t="s">
        <v>551</v>
      </c>
      <c r="B758" s="193">
        <v>1963</v>
      </c>
      <c r="C758" s="196">
        <v>59.098258478460103</v>
      </c>
      <c r="D758" s="196">
        <v>6.3349163741482499</v>
      </c>
      <c r="E758" s="191" t="s">
        <v>537</v>
      </c>
      <c r="G758" s="193"/>
      <c r="H758" s="193"/>
      <c r="I758" s="193"/>
      <c r="J758" s="193"/>
      <c r="K758" s="193"/>
      <c r="L758" s="193"/>
      <c r="M758" s="193"/>
      <c r="N758" s="193"/>
      <c r="O758" s="193"/>
      <c r="P758" s="193"/>
      <c r="Q758" s="193"/>
      <c r="R758" s="193"/>
      <c r="S758" s="193"/>
      <c r="T758" s="193"/>
      <c r="U758" s="193"/>
      <c r="V758" s="193"/>
    </row>
    <row r="759" spans="1:22" s="191" customFormat="1">
      <c r="A759" s="193" t="s">
        <v>551</v>
      </c>
      <c r="B759" s="193">
        <v>1964</v>
      </c>
      <c r="C759" s="196">
        <v>56.331680133741997</v>
      </c>
      <c r="D759" s="196">
        <v>4.8739756883762402</v>
      </c>
      <c r="E759" s="191" t="s">
        <v>537</v>
      </c>
      <c r="G759" s="193"/>
      <c r="H759" s="193"/>
      <c r="I759" s="193"/>
      <c r="J759" s="193"/>
      <c r="K759" s="193"/>
      <c r="L759" s="193"/>
      <c r="M759" s="193"/>
      <c r="N759" s="193"/>
      <c r="O759" s="193"/>
      <c r="P759" s="193"/>
      <c r="Q759" s="193"/>
      <c r="R759" s="193"/>
      <c r="S759" s="193"/>
      <c r="T759" s="193"/>
      <c r="U759" s="193"/>
      <c r="V759" s="193"/>
    </row>
    <row r="760" spans="1:22" s="191" customFormat="1">
      <c r="A760" s="193" t="s">
        <v>551</v>
      </c>
      <c r="B760" s="193">
        <v>1965</v>
      </c>
      <c r="C760" s="196">
        <v>55.186535981428896</v>
      </c>
      <c r="D760" s="196">
        <v>6.3694267515923597</v>
      </c>
      <c r="E760" s="191" t="s">
        <v>537</v>
      </c>
      <c r="G760" s="193"/>
      <c r="H760" s="193"/>
      <c r="I760" s="193"/>
      <c r="J760" s="193"/>
      <c r="K760" s="193"/>
      <c r="L760" s="193"/>
      <c r="M760" s="193"/>
      <c r="N760" s="193"/>
      <c r="O760" s="193"/>
      <c r="P760" s="193"/>
      <c r="Q760" s="193"/>
      <c r="R760" s="193"/>
      <c r="S760" s="193"/>
      <c r="T760" s="193"/>
      <c r="U760" s="193"/>
      <c r="V760" s="193"/>
    </row>
    <row r="761" spans="1:22" s="191" customFormat="1">
      <c r="A761" s="193" t="s">
        <v>551</v>
      </c>
      <c r="B761" s="193">
        <v>1966</v>
      </c>
      <c r="C761" s="196">
        <v>55.8545679623669</v>
      </c>
      <c r="D761" s="196">
        <v>6.3083136053474496</v>
      </c>
      <c r="E761" s="191" t="s">
        <v>537</v>
      </c>
      <c r="G761" s="193"/>
      <c r="H761" s="193"/>
      <c r="I761" s="193"/>
      <c r="J761" s="193"/>
      <c r="K761" s="193"/>
      <c r="L761" s="193"/>
      <c r="M761" s="193"/>
      <c r="N761" s="193"/>
      <c r="O761" s="193"/>
      <c r="P761" s="193"/>
      <c r="Q761" s="193"/>
      <c r="R761" s="193"/>
      <c r="S761" s="193"/>
      <c r="T761" s="193"/>
      <c r="U761" s="193"/>
      <c r="V761" s="193"/>
    </row>
    <row r="762" spans="1:22" s="191" customFormat="1">
      <c r="A762" s="193" t="s">
        <v>551</v>
      </c>
      <c r="B762" s="193">
        <v>1967</v>
      </c>
      <c r="C762" s="196">
        <v>57.660865407602202</v>
      </c>
      <c r="D762" s="196">
        <v>-4.5651034844118401</v>
      </c>
      <c r="E762" s="191" t="s">
        <v>537</v>
      </c>
      <c r="G762" s="193"/>
      <c r="H762" s="193"/>
      <c r="I762" s="193"/>
      <c r="J762" s="193"/>
      <c r="K762" s="193"/>
      <c r="L762" s="193"/>
      <c r="M762" s="193"/>
      <c r="N762" s="193"/>
      <c r="O762" s="193"/>
      <c r="P762" s="193"/>
      <c r="Q762" s="193"/>
      <c r="R762" s="193"/>
      <c r="S762" s="193"/>
      <c r="T762" s="193"/>
      <c r="U762" s="193"/>
      <c r="V762" s="193"/>
    </row>
    <row r="763" spans="1:22" s="191" customFormat="1">
      <c r="A763" s="193" t="s">
        <v>551</v>
      </c>
      <c r="B763" s="193">
        <v>1968</v>
      </c>
      <c r="C763" s="196">
        <v>58.984873760144303</v>
      </c>
      <c r="D763" s="196">
        <v>-0.16127925331137499</v>
      </c>
      <c r="E763" s="191" t="s">
        <v>537</v>
      </c>
      <c r="G763" s="193"/>
      <c r="H763" s="193"/>
      <c r="I763" s="193"/>
      <c r="J763" s="193"/>
      <c r="K763" s="193"/>
      <c r="L763" s="193"/>
      <c r="M763" s="193"/>
      <c r="N763" s="193"/>
      <c r="O763" s="193"/>
      <c r="P763" s="193"/>
      <c r="Q763" s="193"/>
      <c r="R763" s="193"/>
      <c r="S763" s="193"/>
      <c r="T763" s="193"/>
      <c r="U763" s="193"/>
      <c r="V763" s="193"/>
    </row>
    <row r="764" spans="1:22" s="191" customFormat="1">
      <c r="A764" s="193" t="s">
        <v>551</v>
      </c>
      <c r="B764" s="193">
        <v>1969</v>
      </c>
      <c r="C764" s="196">
        <v>54.080249318270397</v>
      </c>
      <c r="D764" s="196">
        <v>10.324798075270699</v>
      </c>
      <c r="E764" s="191" t="s">
        <v>537</v>
      </c>
      <c r="G764" s="193"/>
      <c r="H764" s="193"/>
      <c r="I764" s="193"/>
      <c r="J764" s="193"/>
      <c r="K764" s="193"/>
      <c r="L764" s="193"/>
      <c r="M764" s="193"/>
      <c r="N764" s="193"/>
      <c r="O764" s="193"/>
      <c r="P764" s="193"/>
      <c r="Q764" s="193"/>
      <c r="R764" s="193"/>
      <c r="S764" s="193"/>
      <c r="T764" s="193"/>
      <c r="U764" s="193"/>
      <c r="V764" s="193"/>
    </row>
    <row r="765" spans="1:22" s="191" customFormat="1">
      <c r="A765" s="193" t="s">
        <v>551</v>
      </c>
      <c r="B765" s="193">
        <v>1970</v>
      </c>
      <c r="C765" s="196">
        <v>49.333213305898497</v>
      </c>
      <c r="D765" s="196">
        <v>-1.4174896414218501</v>
      </c>
      <c r="E765" s="191" t="s">
        <v>537</v>
      </c>
      <c r="G765" s="193"/>
      <c r="H765" s="193"/>
      <c r="I765" s="193"/>
      <c r="J765" s="193"/>
      <c r="K765" s="193"/>
      <c r="L765" s="193"/>
      <c r="M765" s="193"/>
      <c r="N765" s="193"/>
      <c r="O765" s="193"/>
      <c r="P765" s="193"/>
      <c r="Q765" s="193"/>
      <c r="R765" s="193"/>
      <c r="S765" s="193"/>
      <c r="T765" s="193"/>
      <c r="U765" s="193"/>
      <c r="V765" s="193"/>
    </row>
    <row r="766" spans="1:22" s="191" customFormat="1">
      <c r="A766" s="193" t="s">
        <v>551</v>
      </c>
      <c r="B766" s="193">
        <v>1971</v>
      </c>
      <c r="C766" s="196">
        <v>43.743991853360498</v>
      </c>
      <c r="D766" s="196">
        <v>5.18581721653395</v>
      </c>
      <c r="E766" s="191" t="s">
        <v>537</v>
      </c>
      <c r="G766" s="193"/>
      <c r="H766" s="193"/>
      <c r="I766" s="193"/>
      <c r="J766" s="193"/>
      <c r="K766" s="193"/>
      <c r="L766" s="193"/>
      <c r="M766" s="193"/>
      <c r="N766" s="193"/>
      <c r="O766" s="193"/>
      <c r="P766" s="193"/>
      <c r="Q766" s="193"/>
      <c r="R766" s="193"/>
      <c r="S766" s="193"/>
      <c r="T766" s="193"/>
      <c r="U766" s="193"/>
      <c r="V766" s="193"/>
    </row>
    <row r="767" spans="1:22" s="191" customFormat="1">
      <c r="A767" s="193" t="s">
        <v>551</v>
      </c>
      <c r="B767" s="193">
        <v>1972</v>
      </c>
      <c r="C767" s="196">
        <v>39.982280723959001</v>
      </c>
      <c r="D767" s="196">
        <v>4.2842121075559598</v>
      </c>
      <c r="E767" s="191" t="s">
        <v>537</v>
      </c>
      <c r="G767" s="193"/>
      <c r="H767" s="193"/>
      <c r="I767" s="193"/>
      <c r="J767" s="193"/>
      <c r="K767" s="193"/>
      <c r="L767" s="193"/>
      <c r="M767" s="193"/>
      <c r="N767" s="193"/>
      <c r="O767" s="193"/>
      <c r="P767" s="193"/>
      <c r="Q767" s="193"/>
      <c r="R767" s="193"/>
      <c r="S767" s="193"/>
      <c r="T767" s="193"/>
      <c r="U767" s="193"/>
      <c r="V767" s="193"/>
    </row>
    <row r="768" spans="1:22" s="191" customFormat="1">
      <c r="A768" s="193" t="s">
        <v>551</v>
      </c>
      <c r="B768" s="193">
        <v>1973</v>
      </c>
      <c r="C768" s="196">
        <v>37.7758452005653</v>
      </c>
      <c r="D768" s="196">
        <v>7.1043761343666301</v>
      </c>
      <c r="E768" s="191" t="s">
        <v>537</v>
      </c>
      <c r="G768" s="193"/>
      <c r="H768" s="193"/>
      <c r="I768" s="193"/>
      <c r="J768" s="193"/>
      <c r="K768" s="193"/>
      <c r="L768" s="193"/>
      <c r="M768" s="193"/>
      <c r="N768" s="193"/>
      <c r="O768" s="193"/>
      <c r="P768" s="193"/>
      <c r="Q768" s="193"/>
      <c r="R768" s="193"/>
      <c r="S768" s="193"/>
      <c r="T768" s="193"/>
      <c r="U768" s="193"/>
      <c r="V768" s="193"/>
    </row>
    <row r="769" spans="1:22" s="191" customFormat="1">
      <c r="A769" s="193" t="s">
        <v>551</v>
      </c>
      <c r="B769" s="193">
        <v>1974</v>
      </c>
      <c r="C769" s="196">
        <v>36.047548291233298</v>
      </c>
      <c r="D769" s="196">
        <v>5.9526051053070397</v>
      </c>
      <c r="E769" s="191" t="s">
        <v>537</v>
      </c>
      <c r="G769" s="193"/>
      <c r="H769" s="193"/>
      <c r="I769" s="193"/>
      <c r="J769" s="193"/>
      <c r="K769" s="193"/>
      <c r="L769" s="193"/>
      <c r="M769" s="193"/>
      <c r="N769" s="193"/>
      <c r="O769" s="193"/>
      <c r="P769" s="193"/>
      <c r="Q769" s="193"/>
      <c r="R769" s="193"/>
      <c r="S769" s="193"/>
      <c r="T769" s="193"/>
      <c r="U769" s="193"/>
      <c r="V769" s="193"/>
    </row>
    <row r="770" spans="1:22" s="191" customFormat="1">
      <c r="A770" s="193" t="s">
        <v>551</v>
      </c>
      <c r="B770" s="193">
        <v>1975</v>
      </c>
      <c r="C770" s="196">
        <v>35.8159067535139</v>
      </c>
      <c r="D770" s="196">
        <v>-1.1500380807311501</v>
      </c>
      <c r="E770" s="191" t="s">
        <v>537</v>
      </c>
      <c r="G770" s="193"/>
      <c r="H770" s="193"/>
      <c r="I770" s="193"/>
      <c r="J770" s="193"/>
      <c r="K770" s="193"/>
      <c r="L770" s="193"/>
      <c r="M770" s="193"/>
      <c r="N770" s="193"/>
      <c r="O770" s="193"/>
      <c r="P770" s="193"/>
      <c r="Q770" s="193"/>
      <c r="R770" s="193"/>
      <c r="S770" s="193"/>
      <c r="T770" s="193"/>
      <c r="U770" s="193"/>
      <c r="V770" s="193"/>
    </row>
    <row r="771" spans="1:22" s="191" customFormat="1">
      <c r="A771" s="193" t="s">
        <v>551</v>
      </c>
      <c r="B771" s="193">
        <v>1976</v>
      </c>
      <c r="C771" s="196">
        <v>39.373094106800899</v>
      </c>
      <c r="D771" s="196">
        <v>2.4398387138197601</v>
      </c>
      <c r="E771" s="191" t="s">
        <v>537</v>
      </c>
      <c r="G771" s="193"/>
      <c r="H771" s="193"/>
      <c r="I771" s="193"/>
      <c r="J771" s="193"/>
      <c r="K771" s="193"/>
      <c r="L771" s="193"/>
      <c r="M771" s="193"/>
      <c r="N771" s="193"/>
      <c r="O771" s="193"/>
      <c r="P771" s="193"/>
      <c r="Q771" s="193"/>
      <c r="R771" s="193"/>
      <c r="S771" s="193"/>
      <c r="T771" s="193"/>
      <c r="U771" s="193"/>
      <c r="V771" s="193"/>
    </row>
    <row r="772" spans="1:22" s="191" customFormat="1">
      <c r="A772" s="193" t="s">
        <v>551</v>
      </c>
      <c r="B772" s="193">
        <v>1977</v>
      </c>
      <c r="C772" s="196">
        <v>41.970607882431501</v>
      </c>
      <c r="D772" s="196">
        <v>-4.8712613132098204</v>
      </c>
      <c r="E772" s="191" t="s">
        <v>537</v>
      </c>
      <c r="G772" s="193"/>
      <c r="H772" s="193"/>
      <c r="I772" s="193"/>
      <c r="J772" s="193"/>
      <c r="K772" s="193"/>
      <c r="L772" s="193"/>
      <c r="M772" s="193"/>
      <c r="N772" s="193"/>
      <c r="O772" s="193"/>
      <c r="P772" s="193"/>
      <c r="Q772" s="193"/>
      <c r="R772" s="193"/>
      <c r="S772" s="193"/>
      <c r="T772" s="193"/>
      <c r="U772" s="193"/>
      <c r="V772" s="193"/>
    </row>
    <row r="773" spans="1:22" s="191" customFormat="1">
      <c r="A773" s="193" t="s">
        <v>551</v>
      </c>
      <c r="B773" s="193">
        <v>1978</v>
      </c>
      <c r="C773" s="196">
        <v>44.0971812713763</v>
      </c>
      <c r="D773" s="196">
        <v>0.40322580645162398</v>
      </c>
      <c r="E773" s="191" t="s">
        <v>537</v>
      </c>
      <c r="G773" s="193"/>
      <c r="H773" s="193"/>
      <c r="I773" s="193"/>
      <c r="J773" s="193"/>
      <c r="K773" s="193"/>
      <c r="L773" s="193"/>
      <c r="M773" s="193"/>
      <c r="N773" s="193"/>
      <c r="O773" s="193"/>
      <c r="P773" s="193"/>
      <c r="Q773" s="193"/>
      <c r="R773" s="193"/>
      <c r="S773" s="193"/>
      <c r="T773" s="193"/>
      <c r="U773" s="193"/>
      <c r="V773" s="193"/>
    </row>
    <row r="774" spans="1:22" s="191" customFormat="1">
      <c r="A774" s="193" t="s">
        <v>551</v>
      </c>
      <c r="B774" s="193">
        <v>1979</v>
      </c>
      <c r="C774" s="196">
        <v>44.526395554432902</v>
      </c>
      <c r="D774" s="196">
        <v>2.0395306717064399</v>
      </c>
      <c r="E774" s="191" t="s">
        <v>537</v>
      </c>
      <c r="G774" s="193"/>
      <c r="H774" s="193"/>
      <c r="I774" s="193"/>
      <c r="J774" s="193"/>
      <c r="K774" s="193"/>
      <c r="L774" s="193"/>
      <c r="M774" s="193"/>
      <c r="N774" s="193"/>
      <c r="O774" s="193"/>
      <c r="P774" s="193"/>
      <c r="Q774" s="193"/>
      <c r="R774" s="193"/>
      <c r="S774" s="193"/>
      <c r="T774" s="193"/>
      <c r="U774" s="193"/>
      <c r="V774" s="193"/>
    </row>
    <row r="775" spans="1:22" s="191" customFormat="1">
      <c r="A775" s="193" t="s">
        <v>551</v>
      </c>
      <c r="B775" s="193">
        <v>1980</v>
      </c>
      <c r="C775" s="196">
        <v>44.976513569937403</v>
      </c>
      <c r="D775" s="196">
        <v>1.0089999999999999</v>
      </c>
      <c r="E775" s="191" t="s">
        <v>537</v>
      </c>
      <c r="G775" s="193"/>
      <c r="H775" s="193"/>
      <c r="I775" s="193"/>
      <c r="J775" s="193"/>
      <c r="K775" s="193"/>
      <c r="L775" s="193"/>
      <c r="M775" s="193"/>
      <c r="N775" s="193"/>
      <c r="O775" s="193"/>
      <c r="P775" s="193"/>
      <c r="Q775" s="193"/>
      <c r="R775" s="193"/>
      <c r="S775" s="193"/>
      <c r="T775" s="193"/>
      <c r="U775" s="193"/>
      <c r="V775" s="193"/>
    </row>
    <row r="776" spans="1:22" s="191" customFormat="1">
      <c r="A776" s="193" t="s">
        <v>551</v>
      </c>
      <c r="B776" s="193">
        <v>1981</v>
      </c>
      <c r="C776" s="196">
        <v>41.629916460506998</v>
      </c>
      <c r="D776" s="196">
        <v>2.9609999999999999</v>
      </c>
      <c r="E776" s="191" t="s">
        <v>537</v>
      </c>
      <c r="G776" s="193"/>
      <c r="H776" s="193"/>
      <c r="I776" s="193"/>
      <c r="J776" s="193"/>
      <c r="K776" s="193"/>
      <c r="L776" s="193"/>
      <c r="M776" s="193"/>
      <c r="N776" s="193"/>
      <c r="O776" s="193"/>
      <c r="P776" s="193"/>
      <c r="Q776" s="193"/>
      <c r="R776" s="193"/>
      <c r="S776" s="193"/>
      <c r="T776" s="193"/>
      <c r="U776" s="193"/>
      <c r="V776" s="193"/>
    </row>
    <row r="777" spans="1:22" s="191" customFormat="1">
      <c r="A777" s="193" t="s">
        <v>551</v>
      </c>
      <c r="B777" s="193">
        <v>1982</v>
      </c>
      <c r="C777" s="196">
        <v>45.767136807921297</v>
      </c>
      <c r="D777" s="196">
        <v>2.8780000000000001</v>
      </c>
      <c r="E777" s="191" t="s">
        <v>537</v>
      </c>
      <c r="G777" s="193"/>
      <c r="H777" s="193"/>
      <c r="I777" s="193"/>
      <c r="J777" s="193"/>
      <c r="K777" s="193"/>
      <c r="L777" s="193"/>
      <c r="M777" s="193"/>
      <c r="N777" s="193"/>
      <c r="O777" s="193"/>
      <c r="P777" s="193"/>
      <c r="Q777" s="193"/>
      <c r="R777" s="193"/>
      <c r="S777" s="193"/>
      <c r="T777" s="193"/>
      <c r="U777" s="193"/>
      <c r="V777" s="193"/>
    </row>
    <row r="778" spans="1:22" s="191" customFormat="1">
      <c r="A778" s="193" t="s">
        <v>551</v>
      </c>
      <c r="B778" s="193">
        <v>1983</v>
      </c>
      <c r="C778" s="196">
        <v>53.752977984442701</v>
      </c>
      <c r="D778" s="196">
        <v>-0.124</v>
      </c>
      <c r="E778" s="191" t="s">
        <v>537</v>
      </c>
      <c r="G778" s="193"/>
      <c r="H778" s="193"/>
      <c r="I778" s="193"/>
      <c r="J778" s="193"/>
      <c r="K778" s="193"/>
      <c r="L778" s="193"/>
      <c r="M778" s="193"/>
      <c r="N778" s="193"/>
      <c r="O778" s="193"/>
      <c r="P778" s="193"/>
      <c r="Q778" s="193"/>
      <c r="R778" s="193"/>
      <c r="S778" s="193"/>
      <c r="T778" s="193"/>
      <c r="U778" s="193"/>
      <c r="V778" s="193"/>
    </row>
    <row r="779" spans="1:22" s="191" customFormat="1">
      <c r="A779" s="193" t="s">
        <v>551</v>
      </c>
      <c r="B779" s="193">
        <v>1984</v>
      </c>
      <c r="C779" s="196">
        <v>55.591419712296002</v>
      </c>
      <c r="D779" s="196">
        <v>6.8579999999999997</v>
      </c>
      <c r="E779" s="191" t="s">
        <v>537</v>
      </c>
      <c r="G779" s="193"/>
      <c r="H779" s="193"/>
      <c r="I779" s="193"/>
      <c r="J779" s="193"/>
      <c r="K779" s="193"/>
      <c r="L779" s="193"/>
      <c r="M779" s="193"/>
      <c r="N779" s="193"/>
      <c r="O779" s="193"/>
      <c r="P779" s="193"/>
      <c r="Q779" s="193"/>
      <c r="R779" s="193"/>
      <c r="S779" s="193"/>
      <c r="T779" s="193"/>
      <c r="U779" s="193"/>
      <c r="V779" s="193"/>
    </row>
    <row r="780" spans="1:22" s="191" customFormat="1">
      <c r="A780" s="193" t="s">
        <v>551</v>
      </c>
      <c r="B780" s="193">
        <v>1985</v>
      </c>
      <c r="C780" s="196">
        <v>62.3647365399055</v>
      </c>
      <c r="D780" s="196">
        <v>1.2130000000000001</v>
      </c>
      <c r="E780" s="191" t="s">
        <v>538</v>
      </c>
      <c r="G780" s="193"/>
      <c r="H780" s="193"/>
      <c r="I780" s="193"/>
      <c r="J780" s="193"/>
      <c r="K780" s="193"/>
      <c r="L780" s="193"/>
      <c r="M780" s="193"/>
      <c r="N780" s="193"/>
      <c r="O780" s="193"/>
      <c r="P780" s="193"/>
      <c r="Q780" s="193"/>
      <c r="R780" s="193"/>
      <c r="S780" s="193"/>
      <c r="T780" s="193"/>
      <c r="U780" s="193"/>
      <c r="V780" s="193"/>
    </row>
    <row r="781" spans="1:22" s="191" customFormat="1">
      <c r="A781" s="193" t="s">
        <v>551</v>
      </c>
      <c r="B781" s="193">
        <v>1986</v>
      </c>
      <c r="C781" s="196">
        <v>57.291219023062602</v>
      </c>
      <c r="D781" s="196">
        <v>1.81</v>
      </c>
      <c r="E781" s="191" t="s">
        <v>537</v>
      </c>
      <c r="G781" s="193"/>
      <c r="H781" s="193"/>
      <c r="I781" s="193"/>
      <c r="J781" s="193"/>
      <c r="K781" s="193"/>
      <c r="L781" s="193"/>
      <c r="M781" s="193"/>
      <c r="N781" s="193"/>
      <c r="O781" s="193"/>
      <c r="P781" s="193"/>
      <c r="Q781" s="193"/>
      <c r="R781" s="193"/>
      <c r="S781" s="193"/>
      <c r="T781" s="193"/>
      <c r="U781" s="193"/>
      <c r="V781" s="193"/>
    </row>
    <row r="782" spans="1:22" s="191" customFormat="1">
      <c r="A782" s="193" t="s">
        <v>551</v>
      </c>
      <c r="B782" s="193">
        <v>1987</v>
      </c>
      <c r="C782" s="196">
        <v>67.777511770808403</v>
      </c>
      <c r="D782" s="196">
        <v>0.754</v>
      </c>
      <c r="E782" s="191" t="s">
        <v>538</v>
      </c>
      <c r="G782" s="193"/>
      <c r="H782" s="193"/>
      <c r="I782" s="193"/>
      <c r="J782" s="193"/>
      <c r="K782" s="193"/>
      <c r="L782" s="193"/>
      <c r="M782" s="193"/>
      <c r="N782" s="193"/>
      <c r="O782" s="193"/>
      <c r="P782" s="193"/>
      <c r="Q782" s="193"/>
      <c r="R782" s="193"/>
      <c r="S782" s="193"/>
      <c r="T782" s="193"/>
      <c r="U782" s="193"/>
      <c r="V782" s="193"/>
    </row>
    <row r="783" spans="1:22" s="191" customFormat="1">
      <c r="A783" s="193" t="s">
        <v>551</v>
      </c>
      <c r="B783" s="193">
        <v>1988</v>
      </c>
      <c r="C783" s="196">
        <v>57.438581531087799</v>
      </c>
      <c r="D783" s="196">
        <v>-2.1999999999999999E-2</v>
      </c>
      <c r="E783" s="191" t="s">
        <v>537</v>
      </c>
      <c r="G783" s="193"/>
      <c r="H783" s="193"/>
      <c r="I783" s="193"/>
      <c r="J783" s="193"/>
      <c r="K783" s="193"/>
      <c r="L783" s="193"/>
      <c r="M783" s="193"/>
      <c r="N783" s="193"/>
      <c r="O783" s="193"/>
      <c r="P783" s="193"/>
      <c r="Q783" s="193"/>
      <c r="R783" s="193"/>
      <c r="S783" s="193"/>
      <c r="T783" s="193"/>
      <c r="U783" s="193"/>
      <c r="V783" s="193"/>
    </row>
    <row r="784" spans="1:22" s="191" customFormat="1">
      <c r="A784" s="193" t="s">
        <v>551</v>
      </c>
      <c r="B784" s="193">
        <v>1989</v>
      </c>
      <c r="C784" s="196">
        <v>55.264732484519598</v>
      </c>
      <c r="D784" s="196">
        <v>0.84599999999999997</v>
      </c>
      <c r="E784" s="191" t="s">
        <v>537</v>
      </c>
      <c r="G784" s="193"/>
      <c r="H784" s="193"/>
      <c r="I784" s="193"/>
      <c r="J784" s="193"/>
      <c r="K784" s="193"/>
      <c r="L784" s="193"/>
      <c r="M784" s="193"/>
      <c r="N784" s="193"/>
      <c r="O784" s="193"/>
      <c r="P784" s="193"/>
      <c r="Q784" s="193"/>
      <c r="R784" s="193"/>
      <c r="S784" s="193"/>
      <c r="T784" s="193"/>
      <c r="U784" s="193"/>
      <c r="V784" s="193"/>
    </row>
    <row r="785" spans="1:22" s="191" customFormat="1">
      <c r="A785" s="193" t="s">
        <v>551</v>
      </c>
      <c r="B785" s="193">
        <v>1990</v>
      </c>
      <c r="C785" s="196">
        <v>60.617618110236201</v>
      </c>
      <c r="D785" s="196">
        <v>5.6000000000000001E-2</v>
      </c>
      <c r="E785" s="191" t="s">
        <v>538</v>
      </c>
      <c r="G785" s="193"/>
      <c r="H785" s="193"/>
      <c r="I785" s="193"/>
      <c r="J785" s="193"/>
      <c r="K785" s="193"/>
      <c r="L785" s="193"/>
      <c r="M785" s="193"/>
      <c r="N785" s="193"/>
      <c r="O785" s="193"/>
      <c r="P785" s="193"/>
      <c r="Q785" s="193"/>
      <c r="R785" s="193"/>
      <c r="S785" s="193"/>
      <c r="T785" s="193"/>
      <c r="U785" s="193"/>
      <c r="V785" s="193"/>
    </row>
    <row r="786" spans="1:22" s="191" customFormat="1">
      <c r="A786" s="193" t="s">
        <v>551</v>
      </c>
      <c r="B786" s="193">
        <v>1991</v>
      </c>
      <c r="C786" s="196">
        <v>60.237742678512703</v>
      </c>
      <c r="D786" s="196">
        <v>-1.677</v>
      </c>
      <c r="E786" s="191" t="s">
        <v>538</v>
      </c>
      <c r="G786" s="193"/>
      <c r="H786" s="193"/>
      <c r="I786" s="193"/>
      <c r="J786" s="193"/>
      <c r="K786" s="193"/>
      <c r="L786" s="193"/>
      <c r="M786" s="193"/>
      <c r="N786" s="193"/>
      <c r="O786" s="193"/>
      <c r="P786" s="193"/>
      <c r="Q786" s="193"/>
      <c r="R786" s="193"/>
      <c r="S786" s="193"/>
      <c r="T786" s="193"/>
      <c r="U786" s="193"/>
      <c r="V786" s="193"/>
    </row>
    <row r="787" spans="1:22" s="191" customFormat="1">
      <c r="A787" s="193" t="s">
        <v>551</v>
      </c>
      <c r="B787" s="193">
        <v>1992</v>
      </c>
      <c r="C787" s="196">
        <v>62.028546367913201</v>
      </c>
      <c r="D787" s="196">
        <v>0.77100000000000002</v>
      </c>
      <c r="E787" s="191" t="s">
        <v>538</v>
      </c>
      <c r="G787" s="193"/>
      <c r="H787" s="193"/>
      <c r="I787" s="193"/>
      <c r="J787" s="193"/>
      <c r="K787" s="193"/>
      <c r="L787" s="193"/>
      <c r="M787" s="193"/>
      <c r="N787" s="193"/>
      <c r="O787" s="193"/>
      <c r="P787" s="193"/>
      <c r="Q787" s="193"/>
      <c r="R787" s="193"/>
      <c r="S787" s="193"/>
      <c r="T787" s="193"/>
      <c r="U787" s="193"/>
      <c r="V787" s="193"/>
    </row>
    <row r="788" spans="1:22" s="191" customFormat="1">
      <c r="A788" s="193" t="s">
        <v>551</v>
      </c>
      <c r="B788" s="193">
        <v>1993</v>
      </c>
      <c r="C788" s="196">
        <v>58.336097902613403</v>
      </c>
      <c r="D788" s="196">
        <v>5.1950000000000003</v>
      </c>
      <c r="E788" s="191" t="s">
        <v>537</v>
      </c>
      <c r="G788" s="193"/>
      <c r="H788" s="193"/>
      <c r="I788" s="193"/>
      <c r="J788" s="193"/>
      <c r="K788" s="193"/>
      <c r="L788" s="193"/>
      <c r="M788" s="193"/>
      <c r="N788" s="193"/>
      <c r="O788" s="193"/>
      <c r="P788" s="193"/>
      <c r="Q788" s="193"/>
      <c r="R788" s="193"/>
      <c r="S788" s="193"/>
      <c r="T788" s="193"/>
      <c r="U788" s="193"/>
      <c r="V788" s="193"/>
    </row>
    <row r="789" spans="1:22" s="191" customFormat="1">
      <c r="A789" s="193" t="s">
        <v>551</v>
      </c>
      <c r="B789" s="193">
        <v>1994</v>
      </c>
      <c r="C789" s="196">
        <v>52.9775556544461</v>
      </c>
      <c r="D789" s="196">
        <v>5.859</v>
      </c>
      <c r="E789" s="191" t="s">
        <v>537</v>
      </c>
      <c r="G789" s="193"/>
      <c r="H789" s="193"/>
      <c r="I789" s="193"/>
      <c r="J789" s="193"/>
      <c r="K789" s="193"/>
      <c r="L789" s="193"/>
      <c r="M789" s="193"/>
      <c r="N789" s="193"/>
      <c r="O789" s="193"/>
      <c r="P789" s="193"/>
      <c r="Q789" s="193"/>
      <c r="R789" s="193"/>
      <c r="S789" s="193"/>
      <c r="T789" s="193"/>
      <c r="U789" s="193"/>
      <c r="V789" s="193"/>
    </row>
    <row r="790" spans="1:22" s="191" customFormat="1">
      <c r="A790" s="193" t="s">
        <v>551</v>
      </c>
      <c r="B790" s="193">
        <v>1995</v>
      </c>
      <c r="C790" s="196">
        <v>47.201883964889703</v>
      </c>
      <c r="D790" s="196">
        <v>4.3369999999999997</v>
      </c>
      <c r="E790" s="191" t="s">
        <v>537</v>
      </c>
      <c r="G790" s="193"/>
      <c r="H790" s="193"/>
      <c r="I790" s="193"/>
      <c r="J790" s="193"/>
      <c r="K790" s="193"/>
      <c r="L790" s="193"/>
      <c r="M790" s="193"/>
      <c r="N790" s="193"/>
      <c r="O790" s="193"/>
      <c r="P790" s="193"/>
      <c r="Q790" s="193"/>
      <c r="R790" s="193"/>
      <c r="S790" s="193"/>
      <c r="T790" s="193"/>
      <c r="U790" s="193"/>
      <c r="V790" s="193"/>
    </row>
    <row r="791" spans="1:22" s="191" customFormat="1">
      <c r="A791" s="193" t="s">
        <v>551</v>
      </c>
      <c r="B791" s="193">
        <v>1996</v>
      </c>
      <c r="C791" s="196">
        <v>42.363797837915101</v>
      </c>
      <c r="D791" s="196">
        <v>4.0190000000000001</v>
      </c>
      <c r="E791" s="191" t="s">
        <v>537</v>
      </c>
      <c r="G791" s="193"/>
      <c r="H791" s="193"/>
      <c r="I791" s="193"/>
      <c r="J791" s="193"/>
      <c r="K791" s="193"/>
      <c r="L791" s="193"/>
      <c r="M791" s="193"/>
      <c r="N791" s="193"/>
      <c r="O791" s="193"/>
      <c r="P791" s="193"/>
      <c r="Q791" s="193"/>
      <c r="R791" s="193"/>
      <c r="S791" s="193"/>
      <c r="T791" s="193"/>
      <c r="U791" s="193"/>
      <c r="V791" s="193"/>
    </row>
    <row r="792" spans="1:22" s="191" customFormat="1">
      <c r="A792" s="193" t="s">
        <v>551</v>
      </c>
      <c r="B792" s="193">
        <v>1997</v>
      </c>
      <c r="C792" s="196">
        <v>35.398891939499499</v>
      </c>
      <c r="D792" s="196">
        <v>2.1629999999999998</v>
      </c>
      <c r="E792" s="191" t="s">
        <v>537</v>
      </c>
      <c r="G792" s="193"/>
      <c r="H792" s="193"/>
      <c r="I792" s="193"/>
      <c r="J792" s="193"/>
      <c r="K792" s="193"/>
      <c r="L792" s="193"/>
      <c r="M792" s="193"/>
      <c r="N792" s="193"/>
      <c r="O792" s="193"/>
      <c r="P792" s="193"/>
      <c r="Q792" s="193"/>
      <c r="R792" s="193"/>
      <c r="S792" s="193"/>
      <c r="T792" s="193"/>
      <c r="U792" s="193"/>
      <c r="V792" s="193"/>
    </row>
    <row r="793" spans="1:22" s="191" customFormat="1">
      <c r="A793" s="193" t="s">
        <v>551</v>
      </c>
      <c r="B793" s="193">
        <v>1998</v>
      </c>
      <c r="C793" s="196">
        <v>36.6492247874573</v>
      </c>
      <c r="D793" s="196">
        <v>-4.8000000000000001E-2</v>
      </c>
      <c r="E793" s="191" t="s">
        <v>537</v>
      </c>
      <c r="G793" s="193"/>
      <c r="H793" s="193"/>
      <c r="I793" s="193"/>
      <c r="J793" s="193"/>
      <c r="K793" s="193"/>
      <c r="L793" s="193"/>
      <c r="M793" s="193"/>
      <c r="N793" s="193"/>
      <c r="O793" s="193"/>
      <c r="P793" s="193"/>
      <c r="Q793" s="193"/>
      <c r="R793" s="193"/>
      <c r="S793" s="193"/>
      <c r="T793" s="193"/>
      <c r="U793" s="193"/>
      <c r="V793" s="193"/>
    </row>
    <row r="794" spans="1:22" s="191" customFormat="1">
      <c r="A794" s="193" t="s">
        <v>551</v>
      </c>
      <c r="B794" s="193">
        <v>1999</v>
      </c>
      <c r="C794" s="196">
        <v>33.484435283065302</v>
      </c>
      <c r="D794" s="196">
        <v>4.3289999999999997</v>
      </c>
      <c r="E794" s="191" t="s">
        <v>537</v>
      </c>
      <c r="G794" s="193"/>
      <c r="H794" s="193"/>
      <c r="I794" s="193"/>
      <c r="J794" s="193"/>
      <c r="K794" s="193"/>
      <c r="L794" s="193"/>
      <c r="M794" s="193"/>
      <c r="N794" s="193"/>
      <c r="O794" s="193"/>
      <c r="P794" s="193"/>
      <c r="Q794" s="193"/>
      <c r="R794" s="193"/>
      <c r="S794" s="193"/>
      <c r="T794" s="193"/>
      <c r="U794" s="193"/>
      <c r="V794" s="193"/>
    </row>
    <row r="795" spans="1:22" s="191" customFormat="1">
      <c r="A795" s="193" t="s">
        <v>551</v>
      </c>
      <c r="B795" s="193">
        <v>2000</v>
      </c>
      <c r="C795" s="196">
        <v>31.095025279105499</v>
      </c>
      <c r="D795" s="196">
        <v>3.83</v>
      </c>
      <c r="E795" s="191" t="s">
        <v>537</v>
      </c>
      <c r="G795" s="193"/>
      <c r="H795" s="193"/>
      <c r="I795" s="193"/>
      <c r="J795" s="193"/>
      <c r="K795" s="193"/>
      <c r="L795" s="193"/>
      <c r="M795" s="193"/>
      <c r="N795" s="193"/>
      <c r="O795" s="193"/>
      <c r="P795" s="193"/>
      <c r="Q795" s="193"/>
      <c r="R795" s="193"/>
      <c r="S795" s="193"/>
      <c r="T795" s="193"/>
      <c r="U795" s="193"/>
      <c r="V795" s="193"/>
    </row>
    <row r="796" spans="1:22" s="191" customFormat="1">
      <c r="A796" s="193" t="s">
        <v>551</v>
      </c>
      <c r="B796" s="193">
        <v>2001</v>
      </c>
      <c r="C796" s="196">
        <v>29.492795481531399</v>
      </c>
      <c r="D796" s="196">
        <v>2.6139999999999999</v>
      </c>
      <c r="E796" s="191" t="s">
        <v>536</v>
      </c>
      <c r="G796" s="193"/>
      <c r="H796" s="193"/>
      <c r="I796" s="193"/>
      <c r="J796" s="193"/>
      <c r="K796" s="193"/>
      <c r="L796" s="193"/>
      <c r="M796" s="193"/>
      <c r="N796" s="193"/>
      <c r="O796" s="193"/>
      <c r="P796" s="193"/>
      <c r="Q796" s="193"/>
      <c r="R796" s="193"/>
      <c r="S796" s="193"/>
      <c r="T796" s="193"/>
      <c r="U796" s="193"/>
      <c r="V796" s="193"/>
    </row>
    <row r="797" spans="1:22" s="191" customFormat="1">
      <c r="A797" s="193" t="s">
        <v>551</v>
      </c>
      <c r="B797" s="193">
        <v>2002</v>
      </c>
      <c r="C797" s="196">
        <v>27.633848831351202</v>
      </c>
      <c r="D797" s="196">
        <v>4.9260000000000002</v>
      </c>
      <c r="E797" s="191" t="s">
        <v>536</v>
      </c>
      <c r="G797" s="193"/>
      <c r="H797" s="193"/>
      <c r="I797" s="193"/>
      <c r="J797" s="193"/>
      <c r="K797" s="193"/>
      <c r="L797" s="193"/>
      <c r="M797" s="193"/>
      <c r="N797" s="193"/>
      <c r="O797" s="193"/>
      <c r="P797" s="193"/>
      <c r="Q797" s="193"/>
      <c r="R797" s="193"/>
      <c r="S797" s="193"/>
      <c r="T797" s="193"/>
      <c r="U797" s="193"/>
      <c r="V797" s="193"/>
    </row>
    <row r="798" spans="1:22" s="191" customFormat="1">
      <c r="A798" s="193" t="s">
        <v>551</v>
      </c>
      <c r="B798" s="193">
        <v>2003</v>
      </c>
      <c r="C798" s="196">
        <v>25.7871343023339</v>
      </c>
      <c r="D798" s="196">
        <v>4.1349999999999998</v>
      </c>
      <c r="E798" s="191" t="s">
        <v>536</v>
      </c>
      <c r="G798" s="193"/>
      <c r="H798" s="193"/>
      <c r="I798" s="193"/>
      <c r="J798" s="193"/>
      <c r="K798" s="193"/>
      <c r="L798" s="193"/>
      <c r="M798" s="193"/>
      <c r="N798" s="193"/>
      <c r="O798" s="193"/>
      <c r="P798" s="193"/>
      <c r="Q798" s="193"/>
      <c r="R798" s="193"/>
      <c r="S798" s="193"/>
      <c r="T798" s="193"/>
      <c r="U798" s="193"/>
      <c r="V798" s="193"/>
    </row>
    <row r="799" spans="1:22" s="191" customFormat="1">
      <c r="A799" s="193" t="s">
        <v>551</v>
      </c>
      <c r="B799" s="193">
        <v>2004</v>
      </c>
      <c r="C799" s="196">
        <v>23.693196217304902</v>
      </c>
      <c r="D799" s="196">
        <v>4.5359999999999996</v>
      </c>
      <c r="E799" s="191" t="s">
        <v>536</v>
      </c>
      <c r="G799" s="193"/>
      <c r="H799" s="193"/>
      <c r="I799" s="193"/>
      <c r="J799" s="193"/>
      <c r="K799" s="193"/>
      <c r="L799" s="193"/>
      <c r="M799" s="193"/>
      <c r="N799" s="193"/>
      <c r="O799" s="193"/>
      <c r="P799" s="193"/>
      <c r="Q799" s="193"/>
      <c r="R799" s="193"/>
      <c r="S799" s="193"/>
      <c r="T799" s="193"/>
      <c r="U799" s="193"/>
      <c r="V799" s="193"/>
    </row>
    <row r="800" spans="1:22" s="191" customFormat="1">
      <c r="A800" s="193" t="s">
        <v>551</v>
      </c>
      <c r="B800" s="193">
        <v>2005</v>
      </c>
      <c r="C800" s="196">
        <v>22.271297384894002</v>
      </c>
      <c r="D800" s="196">
        <v>2.8130000000000002</v>
      </c>
      <c r="E800" s="191" t="s">
        <v>536</v>
      </c>
      <c r="G800" s="193"/>
      <c r="H800" s="193"/>
      <c r="I800" s="193"/>
      <c r="J800" s="193"/>
      <c r="K800" s="193"/>
      <c r="L800" s="193"/>
      <c r="M800" s="193"/>
      <c r="N800" s="193"/>
      <c r="O800" s="193"/>
      <c r="P800" s="193"/>
      <c r="Q800" s="193"/>
      <c r="R800" s="193"/>
      <c r="S800" s="193"/>
      <c r="T800" s="193"/>
      <c r="U800" s="193"/>
      <c r="V800" s="193"/>
    </row>
    <row r="801" spans="1:22" s="191" customFormat="1">
      <c r="A801" s="193" t="s">
        <v>551</v>
      </c>
      <c r="B801" s="193">
        <v>2006</v>
      </c>
      <c r="C801" s="196">
        <v>21.3481590290654</v>
      </c>
      <c r="D801" s="196">
        <v>1.954</v>
      </c>
      <c r="E801" s="191" t="s">
        <v>536</v>
      </c>
      <c r="G801" s="193"/>
      <c r="H801" s="193"/>
      <c r="I801" s="193"/>
      <c r="J801" s="193"/>
      <c r="K801" s="193"/>
      <c r="L801" s="193"/>
      <c r="M801" s="193"/>
      <c r="N801" s="193"/>
      <c r="O801" s="193"/>
      <c r="P801" s="193"/>
      <c r="Q801" s="193"/>
      <c r="R801" s="193"/>
      <c r="S801" s="193"/>
      <c r="T801" s="193"/>
      <c r="U801" s="193"/>
      <c r="V801" s="193"/>
    </row>
    <row r="802" spans="1:22" s="191" customFormat="1">
      <c r="A802" s="193" t="s">
        <v>551</v>
      </c>
      <c r="B802" s="193">
        <v>2007</v>
      </c>
      <c r="C802" s="196">
        <v>17.5250704668216</v>
      </c>
      <c r="D802" s="196">
        <v>3.1930000000000001</v>
      </c>
      <c r="E802" s="191" t="s">
        <v>536</v>
      </c>
      <c r="G802" s="193"/>
      <c r="H802" s="193"/>
      <c r="I802" s="193"/>
      <c r="J802" s="193"/>
      <c r="K802" s="193"/>
      <c r="L802" s="193"/>
      <c r="M802" s="193"/>
      <c r="N802" s="193"/>
      <c r="O802" s="193"/>
      <c r="P802" s="193"/>
      <c r="Q802" s="193"/>
      <c r="R802" s="193"/>
      <c r="S802" s="193"/>
      <c r="T802" s="193"/>
      <c r="U802" s="193"/>
      <c r="V802" s="193"/>
    </row>
    <row r="803" spans="1:22" s="191" customFormat="1">
      <c r="A803" s="193" t="s">
        <v>551</v>
      </c>
      <c r="B803" s="193">
        <v>2008</v>
      </c>
      <c r="C803" s="196">
        <v>17.738616657032299</v>
      </c>
      <c r="D803" s="196">
        <v>0.19400000000000001</v>
      </c>
      <c r="E803" s="191" t="s">
        <v>536</v>
      </c>
      <c r="G803" s="193"/>
      <c r="H803" s="193"/>
      <c r="I803" s="193"/>
      <c r="J803" s="193"/>
      <c r="K803" s="193"/>
      <c r="L803" s="193"/>
      <c r="M803" s="193"/>
      <c r="N803" s="193"/>
      <c r="O803" s="193"/>
      <c r="P803" s="193"/>
      <c r="Q803" s="193"/>
      <c r="R803" s="193"/>
      <c r="S803" s="193"/>
      <c r="T803" s="193"/>
      <c r="U803" s="193"/>
      <c r="V803" s="193"/>
    </row>
    <row r="804" spans="1:22" s="191" customFormat="1">
      <c r="A804" s="193" t="s">
        <v>551</v>
      </c>
      <c r="B804" s="193">
        <v>2009</v>
      </c>
      <c r="C804" s="196">
        <v>24.254697823253299</v>
      </c>
      <c r="D804" s="196">
        <v>-2.1749999999999998</v>
      </c>
      <c r="E804" s="191" t="s">
        <v>536</v>
      </c>
      <c r="G804" s="193"/>
      <c r="H804" s="193"/>
      <c r="I804" s="193"/>
      <c r="J804" s="193"/>
      <c r="K804" s="193"/>
      <c r="L804" s="193"/>
      <c r="M804" s="193"/>
      <c r="N804" s="193"/>
      <c r="O804" s="193"/>
      <c r="P804" s="193"/>
      <c r="Q804" s="193"/>
      <c r="R804" s="193"/>
      <c r="S804" s="193"/>
      <c r="T804" s="193"/>
      <c r="U804" s="193"/>
      <c r="V804" s="193"/>
    </row>
    <row r="805" spans="1:22" s="191" customFormat="1">
      <c r="A805" s="193" t="s">
        <v>552</v>
      </c>
      <c r="B805" s="193">
        <v>1946</v>
      </c>
      <c r="C805" s="196">
        <v>64.993505288550793</v>
      </c>
      <c r="D805" s="196">
        <v>10.201270069762501</v>
      </c>
      <c r="E805" s="191" t="s">
        <v>538</v>
      </c>
      <c r="G805" s="193"/>
      <c r="H805" s="193"/>
      <c r="I805" s="193"/>
      <c r="J805" s="193"/>
      <c r="K805" s="193"/>
      <c r="L805" s="193"/>
      <c r="M805" s="193"/>
      <c r="N805" s="193"/>
      <c r="O805" s="193"/>
      <c r="P805" s="193"/>
      <c r="Q805" s="193"/>
      <c r="R805" s="193"/>
      <c r="S805" s="193"/>
      <c r="T805" s="193"/>
      <c r="U805" s="193"/>
      <c r="V805" s="193"/>
    </row>
    <row r="806" spans="1:22" s="191" customFormat="1">
      <c r="A806" s="193" t="s">
        <v>552</v>
      </c>
      <c r="B806" s="193">
        <v>1947</v>
      </c>
      <c r="C806" s="196">
        <v>53.108693938677398</v>
      </c>
      <c r="D806" s="196">
        <v>13.5629733774774</v>
      </c>
      <c r="E806" s="191" t="s">
        <v>537</v>
      </c>
      <c r="G806" s="193"/>
      <c r="H806" s="193"/>
      <c r="I806" s="193"/>
      <c r="J806" s="193"/>
      <c r="K806" s="193"/>
      <c r="L806" s="193"/>
      <c r="M806" s="193"/>
      <c r="N806" s="193"/>
      <c r="O806" s="193"/>
      <c r="P806" s="193"/>
      <c r="Q806" s="193"/>
      <c r="R806" s="193"/>
      <c r="S806" s="193"/>
      <c r="T806" s="193"/>
      <c r="U806" s="193"/>
      <c r="V806" s="193"/>
    </row>
    <row r="807" spans="1:22" s="191" customFormat="1">
      <c r="A807" s="193" t="s">
        <v>552</v>
      </c>
      <c r="B807" s="193">
        <v>1948</v>
      </c>
      <c r="C807" s="196">
        <v>45.528624856156497</v>
      </c>
      <c r="D807" s="196">
        <v>6.9515166037660503</v>
      </c>
      <c r="E807" s="191" t="s">
        <v>537</v>
      </c>
      <c r="G807" s="193"/>
      <c r="H807" s="193"/>
      <c r="I807" s="193"/>
      <c r="J807" s="193"/>
      <c r="K807" s="193"/>
      <c r="L807" s="193"/>
      <c r="M807" s="193"/>
      <c r="N807" s="193"/>
      <c r="O807" s="193"/>
      <c r="P807" s="193"/>
      <c r="Q807" s="193"/>
      <c r="R807" s="193"/>
      <c r="S807" s="193"/>
      <c r="T807" s="193"/>
      <c r="U807" s="193"/>
      <c r="V807" s="193"/>
    </row>
    <row r="808" spans="1:22" s="191" customFormat="1">
      <c r="A808" s="193" t="s">
        <v>552</v>
      </c>
      <c r="B808" s="193">
        <v>1949</v>
      </c>
      <c r="C808" s="196">
        <v>45.474848063264297</v>
      </c>
      <c r="D808" s="196">
        <v>2.6670898660853899</v>
      </c>
      <c r="E808" s="191" t="s">
        <v>537</v>
      </c>
      <c r="G808" s="193"/>
      <c r="H808" s="193"/>
      <c r="I808" s="193"/>
      <c r="J808" s="193"/>
      <c r="K808" s="193"/>
      <c r="L808" s="193"/>
      <c r="M808" s="193"/>
      <c r="N808" s="193"/>
      <c r="O808" s="193"/>
      <c r="P808" s="193"/>
      <c r="Q808" s="193"/>
      <c r="R808" s="193"/>
      <c r="S808" s="193"/>
      <c r="T808" s="193"/>
      <c r="U808" s="193"/>
      <c r="V808" s="193"/>
    </row>
    <row r="809" spans="1:22" s="191" customFormat="1">
      <c r="A809" s="193" t="s">
        <v>552</v>
      </c>
      <c r="B809" s="193">
        <v>1950</v>
      </c>
      <c r="C809" s="196">
        <v>31.531878192795102</v>
      </c>
      <c r="D809" s="196">
        <v>4.8700870632629503</v>
      </c>
      <c r="E809" s="191" t="s">
        <v>537</v>
      </c>
      <c r="G809" s="193"/>
      <c r="H809" s="193"/>
      <c r="I809" s="193"/>
      <c r="J809" s="193"/>
      <c r="K809" s="193"/>
      <c r="L809" s="193"/>
      <c r="M809" s="193"/>
      <c r="N809" s="193"/>
      <c r="O809" s="193"/>
      <c r="P809" s="193"/>
      <c r="Q809" s="193"/>
      <c r="R809" s="193"/>
      <c r="S809" s="193"/>
      <c r="T809" s="193"/>
      <c r="U809" s="193"/>
      <c r="V809" s="193"/>
    </row>
    <row r="810" spans="1:22" s="191" customFormat="1">
      <c r="A810" s="193" t="s">
        <v>552</v>
      </c>
      <c r="B810" s="193">
        <v>1951</v>
      </c>
      <c r="C810" s="196">
        <v>26.343725019983999</v>
      </c>
      <c r="D810" s="196">
        <v>5.4177667373313003</v>
      </c>
      <c r="E810" s="191" t="s">
        <v>536</v>
      </c>
      <c r="G810" s="193"/>
      <c r="H810" s="193"/>
      <c r="I810" s="193"/>
      <c r="J810" s="193"/>
      <c r="K810" s="193"/>
      <c r="L810" s="193"/>
      <c r="M810" s="193"/>
      <c r="N810" s="193"/>
      <c r="O810" s="193"/>
      <c r="P810" s="193"/>
      <c r="Q810" s="193"/>
      <c r="R810" s="193"/>
      <c r="S810" s="193"/>
      <c r="T810" s="193"/>
      <c r="U810" s="193"/>
      <c r="V810" s="193"/>
    </row>
    <row r="811" spans="1:22" s="191" customFormat="1">
      <c r="A811" s="193" t="s">
        <v>552</v>
      </c>
      <c r="B811" s="193">
        <v>1952</v>
      </c>
      <c r="C811" s="196">
        <v>23.7955817094347</v>
      </c>
      <c r="D811" s="196">
        <v>3.5243703837739102</v>
      </c>
      <c r="E811" s="191" t="s">
        <v>536</v>
      </c>
      <c r="G811" s="193"/>
      <c r="H811" s="193"/>
      <c r="I811" s="193"/>
      <c r="J811" s="193"/>
      <c r="K811" s="193"/>
      <c r="L811" s="193"/>
      <c r="M811" s="193"/>
      <c r="N811" s="193"/>
      <c r="O811" s="193"/>
      <c r="P811" s="193"/>
      <c r="Q811" s="193"/>
      <c r="R811" s="193"/>
      <c r="S811" s="193"/>
      <c r="T811" s="193"/>
      <c r="U811" s="193"/>
      <c r="V811" s="193"/>
    </row>
    <row r="812" spans="1:22" s="191" customFormat="1">
      <c r="A812" s="193" t="s">
        <v>552</v>
      </c>
      <c r="B812" s="193">
        <v>1953</v>
      </c>
      <c r="C812" s="196">
        <v>25.961547613382201</v>
      </c>
      <c r="D812" s="196">
        <v>3.9716526174454101</v>
      </c>
      <c r="E812" s="191" t="s">
        <v>536</v>
      </c>
      <c r="G812" s="193"/>
      <c r="H812" s="193"/>
      <c r="I812" s="193"/>
      <c r="J812" s="193"/>
      <c r="K812" s="193"/>
      <c r="L812" s="193"/>
      <c r="M812" s="193"/>
      <c r="N812" s="193"/>
      <c r="O812" s="193"/>
      <c r="P812" s="193"/>
      <c r="Q812" s="193"/>
      <c r="R812" s="193"/>
      <c r="S812" s="193"/>
      <c r="T812" s="193"/>
      <c r="U812" s="193"/>
      <c r="V812" s="193"/>
    </row>
    <row r="813" spans="1:22" s="191" customFormat="1">
      <c r="A813" s="193" t="s">
        <v>552</v>
      </c>
      <c r="B813" s="193">
        <v>1954</v>
      </c>
      <c r="C813" s="196">
        <v>26.189306548532802</v>
      </c>
      <c r="D813" s="196">
        <v>5.0475295340271602</v>
      </c>
      <c r="E813" s="191" t="s">
        <v>536</v>
      </c>
      <c r="G813" s="193"/>
      <c r="H813" s="193"/>
      <c r="I813" s="193"/>
      <c r="J813" s="193"/>
      <c r="K813" s="193"/>
      <c r="L813" s="193"/>
      <c r="M813" s="193"/>
      <c r="N813" s="193"/>
      <c r="O813" s="193"/>
      <c r="P813" s="193"/>
      <c r="Q813" s="193"/>
      <c r="R813" s="193"/>
      <c r="S813" s="193"/>
      <c r="T813" s="193"/>
      <c r="U813" s="193"/>
      <c r="V813" s="193"/>
    </row>
    <row r="814" spans="1:22" s="191" customFormat="1">
      <c r="A814" s="193" t="s">
        <v>552</v>
      </c>
      <c r="B814" s="193">
        <v>1955</v>
      </c>
      <c r="C814" s="196">
        <v>26.701128593788599</v>
      </c>
      <c r="D814" s="196">
        <v>2.2077303295592099</v>
      </c>
      <c r="E814" s="191" t="s">
        <v>536</v>
      </c>
      <c r="G814" s="193"/>
      <c r="H814" s="193"/>
      <c r="I814" s="193"/>
      <c r="J814" s="193"/>
      <c r="K814" s="193"/>
      <c r="L814" s="193"/>
      <c r="M814" s="193"/>
      <c r="N814" s="193"/>
      <c r="O814" s="193"/>
      <c r="P814" s="193"/>
      <c r="Q814" s="193"/>
      <c r="R814" s="193"/>
      <c r="S814" s="193"/>
      <c r="T814" s="193"/>
      <c r="U814" s="193"/>
      <c r="V814" s="193"/>
    </row>
    <row r="815" spans="1:22" s="191" customFormat="1">
      <c r="A815" s="193" t="s">
        <v>552</v>
      </c>
      <c r="B815" s="193">
        <v>1956</v>
      </c>
      <c r="C815" s="196">
        <v>26.8607530405651</v>
      </c>
      <c r="D815" s="196">
        <v>5.3367637796116103</v>
      </c>
      <c r="E815" s="191" t="s">
        <v>536</v>
      </c>
      <c r="G815" s="193"/>
      <c r="H815" s="193"/>
      <c r="I815" s="193"/>
      <c r="J815" s="193"/>
      <c r="K815" s="193"/>
      <c r="L815" s="193"/>
      <c r="M815" s="193"/>
      <c r="N815" s="193"/>
      <c r="O815" s="193"/>
      <c r="P815" s="193"/>
      <c r="Q815" s="193"/>
      <c r="R815" s="193"/>
      <c r="S815" s="193"/>
      <c r="T815" s="193"/>
      <c r="U815" s="193"/>
      <c r="V815" s="193"/>
    </row>
    <row r="816" spans="1:22" s="191" customFormat="1">
      <c r="A816" s="193" t="s">
        <v>552</v>
      </c>
      <c r="B816" s="193">
        <v>1957</v>
      </c>
      <c r="C816" s="196">
        <v>28.1465399343545</v>
      </c>
      <c r="D816" s="196">
        <v>3.0157764940373699</v>
      </c>
      <c r="E816" s="191" t="s">
        <v>536</v>
      </c>
      <c r="G816" s="193"/>
      <c r="H816" s="193"/>
      <c r="I816" s="193"/>
      <c r="J816" s="193"/>
      <c r="K816" s="193"/>
      <c r="L816" s="193"/>
      <c r="M816" s="193"/>
      <c r="N816" s="193"/>
      <c r="O816" s="193"/>
      <c r="P816" s="193"/>
      <c r="Q816" s="193"/>
      <c r="R816" s="193"/>
      <c r="S816" s="193"/>
      <c r="T816" s="193"/>
      <c r="U816" s="193"/>
      <c r="V816" s="193"/>
    </row>
    <row r="817" spans="1:22" s="191" customFormat="1">
      <c r="A817" s="193" t="s">
        <v>552</v>
      </c>
      <c r="B817" s="193">
        <v>1958</v>
      </c>
      <c r="C817" s="196">
        <v>28.4609853802171</v>
      </c>
      <c r="D817" s="196">
        <v>0</v>
      </c>
      <c r="E817" s="191" t="s">
        <v>536</v>
      </c>
      <c r="G817" s="193"/>
      <c r="H817" s="193"/>
      <c r="I817" s="193"/>
      <c r="J817" s="193"/>
      <c r="K817" s="193"/>
      <c r="L817" s="193"/>
      <c r="M817" s="193"/>
      <c r="N817" s="193"/>
      <c r="O817" s="193"/>
      <c r="P817" s="193"/>
      <c r="Q817" s="193"/>
      <c r="R817" s="193"/>
      <c r="S817" s="193"/>
      <c r="T817" s="193"/>
      <c r="U817" s="193"/>
      <c r="V817" s="193"/>
    </row>
    <row r="818" spans="1:22" s="191" customFormat="1">
      <c r="A818" s="193" t="s">
        <v>552</v>
      </c>
      <c r="B818" s="193">
        <v>1959</v>
      </c>
      <c r="C818" s="196">
        <v>29.8979262226242</v>
      </c>
      <c r="D818" s="196">
        <v>4.2152969301855903</v>
      </c>
      <c r="E818" s="191" t="s">
        <v>536</v>
      </c>
      <c r="G818" s="193"/>
      <c r="H818" s="193"/>
      <c r="I818" s="193"/>
      <c r="J818" s="193"/>
      <c r="K818" s="193"/>
      <c r="L818" s="193"/>
      <c r="M818" s="193"/>
      <c r="N818" s="193"/>
      <c r="O818" s="193"/>
      <c r="P818" s="193"/>
      <c r="Q818" s="193"/>
      <c r="R818" s="193"/>
      <c r="S818" s="193"/>
      <c r="T818" s="193"/>
      <c r="U818" s="193"/>
      <c r="V818" s="193"/>
    </row>
    <row r="819" spans="1:22" s="191" customFormat="1">
      <c r="A819" s="193" t="s">
        <v>552</v>
      </c>
      <c r="B819" s="193">
        <v>1960</v>
      </c>
      <c r="C819" s="196">
        <v>29.460947425736599</v>
      </c>
      <c r="D819" s="196">
        <v>5.6266539958652197</v>
      </c>
      <c r="E819" s="191" t="s">
        <v>536</v>
      </c>
      <c r="G819" s="193"/>
      <c r="H819" s="193"/>
      <c r="I819" s="193"/>
      <c r="J819" s="193"/>
      <c r="K819" s="193"/>
      <c r="L819" s="193"/>
      <c r="M819" s="193"/>
      <c r="N819" s="193"/>
      <c r="O819" s="193"/>
      <c r="P819" s="193"/>
      <c r="Q819" s="193"/>
      <c r="R819" s="193"/>
      <c r="S819" s="193"/>
      <c r="T819" s="193"/>
      <c r="U819" s="193"/>
      <c r="V819" s="193"/>
    </row>
    <row r="820" spans="1:22" s="191" customFormat="1">
      <c r="A820" s="193" t="s">
        <v>552</v>
      </c>
      <c r="B820" s="193">
        <v>1961</v>
      </c>
      <c r="C820" s="196">
        <v>25.106637788253298</v>
      </c>
      <c r="D820" s="196">
        <v>6.2677256369313001</v>
      </c>
      <c r="E820" s="191" t="s">
        <v>536</v>
      </c>
      <c r="G820" s="193"/>
      <c r="H820" s="193"/>
      <c r="I820" s="193"/>
      <c r="J820" s="193"/>
      <c r="K820" s="193"/>
      <c r="L820" s="193"/>
      <c r="M820" s="193"/>
      <c r="N820" s="193"/>
      <c r="O820" s="193"/>
      <c r="P820" s="193"/>
      <c r="Q820" s="193"/>
      <c r="R820" s="193"/>
      <c r="S820" s="193"/>
      <c r="T820" s="193"/>
      <c r="U820" s="193"/>
      <c r="V820" s="193"/>
    </row>
    <row r="821" spans="1:22" s="191" customFormat="1">
      <c r="A821" s="193" t="s">
        <v>552</v>
      </c>
      <c r="B821" s="193">
        <v>1962</v>
      </c>
      <c r="C821" s="196">
        <v>24.276155573944902</v>
      </c>
      <c r="D821" s="196">
        <v>2.8160051133831101</v>
      </c>
      <c r="E821" s="191" t="s">
        <v>536</v>
      </c>
      <c r="G821" s="193"/>
      <c r="H821" s="193"/>
      <c r="I821" s="193"/>
      <c r="J821" s="193"/>
      <c r="K821" s="193"/>
      <c r="L821" s="193"/>
      <c r="M821" s="193"/>
      <c r="N821" s="193"/>
      <c r="O821" s="193"/>
      <c r="P821" s="193"/>
      <c r="Q821" s="193"/>
      <c r="R821" s="193"/>
      <c r="S821" s="193"/>
      <c r="T821" s="193"/>
      <c r="U821" s="193"/>
      <c r="V821" s="193"/>
    </row>
    <row r="822" spans="1:22" s="191" customFormat="1">
      <c r="A822" s="193" t="s">
        <v>552</v>
      </c>
      <c r="B822" s="193">
        <v>1963</v>
      </c>
      <c r="C822" s="196">
        <v>22.9756247125556</v>
      </c>
      <c r="D822" s="196">
        <v>3.82434097874336</v>
      </c>
      <c r="E822" s="191" t="s">
        <v>536</v>
      </c>
      <c r="G822" s="193"/>
      <c r="H822" s="193"/>
      <c r="I822" s="193"/>
      <c r="J822" s="193"/>
      <c r="K822" s="193"/>
      <c r="L822" s="193"/>
      <c r="M822" s="193"/>
      <c r="N822" s="193"/>
      <c r="O822" s="193"/>
      <c r="P822" s="193"/>
      <c r="Q822" s="193"/>
      <c r="R822" s="193"/>
      <c r="S822" s="193"/>
      <c r="T822" s="193"/>
      <c r="U822" s="193"/>
      <c r="V822" s="193"/>
    </row>
    <row r="823" spans="1:22" s="191" customFormat="1">
      <c r="A823" s="193" t="s">
        <v>552</v>
      </c>
      <c r="B823" s="193">
        <v>1964</v>
      </c>
      <c r="C823" s="196">
        <v>22.075138077641402</v>
      </c>
      <c r="D823" s="196">
        <v>4.9776512545235896</v>
      </c>
      <c r="E823" s="191" t="s">
        <v>536</v>
      </c>
      <c r="G823" s="193"/>
      <c r="H823" s="193"/>
      <c r="I823" s="193"/>
      <c r="J823" s="193"/>
      <c r="K823" s="193"/>
      <c r="L823" s="193"/>
      <c r="M823" s="193"/>
      <c r="N823" s="193"/>
      <c r="O823" s="193"/>
      <c r="P823" s="193"/>
      <c r="Q823" s="193"/>
      <c r="R823" s="193"/>
      <c r="S823" s="193"/>
      <c r="T823" s="193"/>
      <c r="U823" s="193"/>
      <c r="V823" s="193"/>
    </row>
    <row r="824" spans="1:22" s="191" customFormat="1">
      <c r="A824" s="193" t="s">
        <v>552</v>
      </c>
      <c r="B824" s="193">
        <v>1965</v>
      </c>
      <c r="C824" s="196">
        <v>20.505839363760099</v>
      </c>
      <c r="D824" s="196">
        <v>5.3105049332559604</v>
      </c>
      <c r="E824" s="191" t="s">
        <v>536</v>
      </c>
      <c r="G824" s="193"/>
      <c r="H824" s="193"/>
      <c r="I824" s="193"/>
      <c r="J824" s="193"/>
      <c r="K824" s="193"/>
      <c r="L824" s="193"/>
      <c r="M824" s="193"/>
      <c r="N824" s="193"/>
      <c r="O824" s="193"/>
      <c r="P824" s="193"/>
      <c r="Q824" s="193"/>
      <c r="R824" s="193"/>
      <c r="S824" s="193"/>
      <c r="T824" s="193"/>
      <c r="U824" s="193"/>
      <c r="V824" s="193"/>
    </row>
    <row r="825" spans="1:22" s="191" customFormat="1">
      <c r="A825" s="193" t="s">
        <v>552</v>
      </c>
      <c r="B825" s="193">
        <v>1966</v>
      </c>
      <c r="C825" s="196">
        <v>22.252560977844599</v>
      </c>
      <c r="D825" s="196">
        <v>3.7820336180766101</v>
      </c>
      <c r="E825" s="191" t="s">
        <v>536</v>
      </c>
      <c r="G825" s="193"/>
      <c r="H825" s="193"/>
      <c r="I825" s="193"/>
      <c r="J825" s="193"/>
      <c r="K825" s="193"/>
      <c r="L825" s="193"/>
      <c r="M825" s="193"/>
      <c r="N825" s="193"/>
      <c r="O825" s="193"/>
      <c r="P825" s="193"/>
      <c r="Q825" s="193"/>
      <c r="R825" s="193"/>
      <c r="S825" s="193"/>
      <c r="T825" s="193"/>
      <c r="U825" s="193"/>
      <c r="V825" s="193"/>
    </row>
    <row r="826" spans="1:22" s="191" customFormat="1">
      <c r="A826" s="193" t="s">
        <v>552</v>
      </c>
      <c r="B826" s="193">
        <v>1967</v>
      </c>
      <c r="C826" s="196">
        <v>23.102177554438899</v>
      </c>
      <c r="D826" s="196">
        <v>6.2474106458221303</v>
      </c>
      <c r="E826" s="191" t="s">
        <v>536</v>
      </c>
      <c r="G826" s="193"/>
      <c r="H826" s="193"/>
      <c r="I826" s="193"/>
      <c r="J826" s="193"/>
      <c r="K826" s="193"/>
      <c r="L826" s="193"/>
      <c r="M826" s="193"/>
      <c r="N826" s="193"/>
      <c r="O826" s="193"/>
      <c r="P826" s="193"/>
      <c r="Q826" s="193"/>
      <c r="R826" s="193"/>
      <c r="S826" s="193"/>
      <c r="T826" s="193"/>
      <c r="U826" s="193"/>
      <c r="V826" s="193"/>
    </row>
    <row r="827" spans="1:22" s="191" customFormat="1">
      <c r="A827" s="193" t="s">
        <v>552</v>
      </c>
      <c r="B827" s="193">
        <v>1968</v>
      </c>
      <c r="C827" s="196">
        <v>23.093333333333302</v>
      </c>
      <c r="D827" s="196">
        <v>2.2456853929195399</v>
      </c>
      <c r="E827" s="191" t="s">
        <v>536</v>
      </c>
      <c r="G827" s="193"/>
      <c r="H827" s="193"/>
      <c r="I827" s="193"/>
      <c r="J827" s="193"/>
      <c r="K827" s="193"/>
      <c r="L827" s="193"/>
      <c r="M827" s="193"/>
      <c r="N827" s="193"/>
      <c r="O827" s="193"/>
      <c r="P827" s="193"/>
      <c r="Q827" s="193"/>
      <c r="R827" s="193"/>
      <c r="S827" s="193"/>
      <c r="T827" s="193"/>
      <c r="U827" s="193"/>
      <c r="V827" s="193"/>
    </row>
    <row r="828" spans="1:22" s="191" customFormat="1">
      <c r="A828" s="193" t="s">
        <v>552</v>
      </c>
      <c r="B828" s="193">
        <v>1969</v>
      </c>
      <c r="C828" s="196">
        <v>22.793799878993902</v>
      </c>
      <c r="D828" s="196">
        <v>4.5128244027113196</v>
      </c>
      <c r="E828" s="191" t="s">
        <v>536</v>
      </c>
      <c r="G828" s="193"/>
      <c r="H828" s="193"/>
      <c r="I828" s="193"/>
      <c r="J828" s="193"/>
      <c r="K828" s="193"/>
      <c r="L828" s="193"/>
      <c r="M828" s="193"/>
      <c r="N828" s="193"/>
      <c r="O828" s="193"/>
      <c r="P828" s="193"/>
      <c r="Q828" s="193"/>
      <c r="R828" s="193"/>
      <c r="S828" s="193"/>
      <c r="T828" s="193"/>
      <c r="U828" s="193"/>
      <c r="V828" s="193"/>
    </row>
    <row r="829" spans="1:22" s="191" customFormat="1">
      <c r="A829" s="193" t="s">
        <v>552</v>
      </c>
      <c r="B829" s="193">
        <v>1970</v>
      </c>
      <c r="C829" s="196">
        <v>23.635088949259501</v>
      </c>
      <c r="D829" s="196">
        <v>1.98701264664198</v>
      </c>
      <c r="E829" s="191" t="s">
        <v>536</v>
      </c>
      <c r="G829" s="193"/>
      <c r="H829" s="193"/>
      <c r="I829" s="193"/>
      <c r="J829" s="193"/>
      <c r="K829" s="193"/>
      <c r="L829" s="193"/>
      <c r="M829" s="193"/>
      <c r="N829" s="193"/>
      <c r="O829" s="193"/>
      <c r="P829" s="193"/>
      <c r="Q829" s="193"/>
      <c r="R829" s="193"/>
      <c r="S829" s="193"/>
      <c r="T829" s="193"/>
      <c r="U829" s="193"/>
      <c r="V829" s="193"/>
    </row>
    <row r="830" spans="1:22" s="191" customFormat="1">
      <c r="A830" s="193" t="s">
        <v>552</v>
      </c>
      <c r="B830" s="193">
        <v>1971</v>
      </c>
      <c r="C830" s="196">
        <v>24.300544301666601</v>
      </c>
      <c r="D830" s="196">
        <v>5.1304961482731901</v>
      </c>
      <c r="E830" s="191" t="s">
        <v>536</v>
      </c>
      <c r="G830" s="193"/>
      <c r="H830" s="193"/>
      <c r="I830" s="193"/>
      <c r="J830" s="193"/>
      <c r="K830" s="193"/>
      <c r="L830" s="193"/>
      <c r="M830" s="193"/>
      <c r="N830" s="193"/>
      <c r="O830" s="193"/>
      <c r="P830" s="193"/>
      <c r="Q830" s="193"/>
      <c r="R830" s="193"/>
      <c r="S830" s="193"/>
      <c r="T830" s="193"/>
      <c r="U830" s="193"/>
      <c r="V830" s="193"/>
    </row>
    <row r="831" spans="1:22" s="191" customFormat="1">
      <c r="A831" s="193" t="s">
        <v>552</v>
      </c>
      <c r="B831" s="193">
        <v>1972</v>
      </c>
      <c r="C831" s="196">
        <v>26.0878401723472</v>
      </c>
      <c r="D831" s="196">
        <v>5.09315929308372</v>
      </c>
      <c r="E831" s="191" t="s">
        <v>536</v>
      </c>
      <c r="G831" s="193"/>
      <c r="H831" s="193"/>
      <c r="I831" s="193"/>
      <c r="J831" s="193"/>
      <c r="K831" s="193"/>
      <c r="L831" s="193"/>
      <c r="M831" s="193"/>
      <c r="N831" s="193"/>
      <c r="O831" s="193"/>
      <c r="P831" s="193"/>
      <c r="Q831" s="193"/>
      <c r="R831" s="193"/>
      <c r="S831" s="193"/>
      <c r="T831" s="193"/>
      <c r="U831" s="193"/>
      <c r="V831" s="193"/>
    </row>
    <row r="832" spans="1:22" s="191" customFormat="1">
      <c r="A832" s="193" t="s">
        <v>552</v>
      </c>
      <c r="B832" s="193">
        <v>1973</v>
      </c>
      <c r="C832" s="196">
        <v>26.392912062368101</v>
      </c>
      <c r="D832" s="196">
        <v>4.4131697315169696</v>
      </c>
      <c r="E832" s="191" t="s">
        <v>536</v>
      </c>
      <c r="G832" s="193"/>
      <c r="H832" s="193"/>
      <c r="I832" s="193"/>
      <c r="J832" s="193"/>
      <c r="K832" s="193"/>
      <c r="L832" s="193"/>
      <c r="M832" s="193"/>
      <c r="N832" s="193"/>
      <c r="O832" s="193"/>
      <c r="P832" s="193"/>
      <c r="Q832" s="193"/>
      <c r="R832" s="193"/>
      <c r="S832" s="193"/>
      <c r="T832" s="193"/>
      <c r="U832" s="193"/>
      <c r="V832" s="193"/>
    </row>
    <row r="833" spans="1:22" s="191" customFormat="1">
      <c r="A833" s="193" t="s">
        <v>552</v>
      </c>
      <c r="B833" s="193">
        <v>1974</v>
      </c>
      <c r="C833" s="196">
        <v>26.164341324288898</v>
      </c>
      <c r="D833" s="196">
        <v>4.1921985523934797</v>
      </c>
      <c r="E833" s="191" t="s">
        <v>536</v>
      </c>
      <c r="G833" s="193"/>
      <c r="H833" s="193"/>
      <c r="I833" s="193"/>
      <c r="J833" s="193"/>
      <c r="K833" s="193"/>
      <c r="L833" s="193"/>
      <c r="M833" s="193"/>
      <c r="N833" s="193"/>
      <c r="O833" s="193"/>
      <c r="P833" s="193"/>
      <c r="Q833" s="193"/>
      <c r="R833" s="193"/>
      <c r="S833" s="193"/>
      <c r="T833" s="193"/>
      <c r="U833" s="193"/>
      <c r="V833" s="193"/>
    </row>
    <row r="834" spans="1:22" s="191" customFormat="1">
      <c r="A834" s="193" t="s">
        <v>552</v>
      </c>
      <c r="B834" s="193">
        <v>1975</v>
      </c>
      <c r="C834" s="196">
        <v>27.627066212962799</v>
      </c>
      <c r="D834" s="196">
        <v>5.2278681487840704</v>
      </c>
      <c r="E834" s="191" t="s">
        <v>536</v>
      </c>
      <c r="G834" s="193"/>
      <c r="H834" s="193"/>
      <c r="I834" s="193"/>
      <c r="J834" s="193"/>
      <c r="K834" s="193"/>
      <c r="L834" s="193"/>
      <c r="M834" s="193"/>
      <c r="N834" s="193"/>
      <c r="O834" s="193"/>
      <c r="P834" s="193"/>
      <c r="Q834" s="193"/>
      <c r="R834" s="193"/>
      <c r="S834" s="193"/>
      <c r="T834" s="193"/>
      <c r="U834" s="193"/>
      <c r="V834" s="193"/>
    </row>
    <row r="835" spans="1:22" s="191" customFormat="1">
      <c r="A835" s="193" t="s">
        <v>552</v>
      </c>
      <c r="B835" s="193">
        <v>1976</v>
      </c>
      <c r="C835" s="196">
        <v>29.423756216719699</v>
      </c>
      <c r="D835" s="196">
        <v>5.8630557470105602</v>
      </c>
      <c r="E835" s="191" t="s">
        <v>536</v>
      </c>
      <c r="G835" s="193"/>
      <c r="H835" s="193"/>
      <c r="I835" s="193"/>
      <c r="J835" s="193"/>
      <c r="K835" s="193"/>
      <c r="L835" s="193"/>
      <c r="M835" s="193"/>
      <c r="N835" s="193"/>
      <c r="O835" s="193"/>
      <c r="P835" s="193"/>
      <c r="Q835" s="193"/>
      <c r="R835" s="193"/>
      <c r="S835" s="193"/>
      <c r="T835" s="193"/>
      <c r="U835" s="193"/>
      <c r="V835" s="193"/>
    </row>
    <row r="836" spans="1:22" s="191" customFormat="1">
      <c r="A836" s="193" t="s">
        <v>552</v>
      </c>
      <c r="B836" s="193">
        <v>1977</v>
      </c>
      <c r="C836" s="196">
        <v>34.849529060418099</v>
      </c>
      <c r="D836" s="196">
        <v>4.2675068022340001</v>
      </c>
      <c r="E836" s="191" t="s">
        <v>537</v>
      </c>
      <c r="G836" s="193"/>
      <c r="H836" s="193"/>
      <c r="I836" s="193"/>
      <c r="J836" s="193"/>
      <c r="K836" s="193"/>
      <c r="L836" s="193"/>
      <c r="M836" s="193"/>
      <c r="N836" s="193"/>
      <c r="O836" s="193"/>
      <c r="P836" s="193"/>
      <c r="Q836" s="193"/>
      <c r="R836" s="193"/>
      <c r="S836" s="193"/>
      <c r="T836" s="193"/>
      <c r="U836" s="193"/>
      <c r="V836" s="193"/>
    </row>
    <row r="837" spans="1:22" s="191" customFormat="1">
      <c r="A837" s="193" t="s">
        <v>552</v>
      </c>
      <c r="B837" s="193">
        <v>1978</v>
      </c>
      <c r="C837" s="196">
        <v>35.642657270183399</v>
      </c>
      <c r="D837" s="196">
        <v>3.4876822459812802</v>
      </c>
      <c r="E837" s="191" t="s">
        <v>537</v>
      </c>
      <c r="G837" s="193"/>
      <c r="H837" s="193"/>
      <c r="I837" s="193"/>
      <c r="J837" s="193"/>
      <c r="K837" s="193"/>
      <c r="L837" s="193"/>
      <c r="M837" s="193"/>
      <c r="N837" s="193"/>
      <c r="O837" s="193"/>
      <c r="P837" s="193"/>
      <c r="Q837" s="193"/>
      <c r="R837" s="193"/>
      <c r="S837" s="193"/>
      <c r="T837" s="193"/>
      <c r="U837" s="193"/>
      <c r="V837" s="193"/>
    </row>
    <row r="838" spans="1:22" s="191" customFormat="1">
      <c r="A838" s="193" t="s">
        <v>552</v>
      </c>
      <c r="B838" s="193">
        <v>1979</v>
      </c>
      <c r="C838" s="196">
        <v>38.608529651606297</v>
      </c>
      <c r="D838" s="196">
        <v>4.4812550195720604</v>
      </c>
      <c r="E838" s="191" t="s">
        <v>537</v>
      </c>
      <c r="G838" s="193"/>
      <c r="H838" s="193"/>
      <c r="I838" s="193"/>
      <c r="J838" s="193"/>
      <c r="K838" s="193"/>
      <c r="L838" s="193"/>
      <c r="M838" s="193"/>
      <c r="N838" s="193"/>
      <c r="O838" s="193"/>
      <c r="P838" s="193"/>
      <c r="Q838" s="193"/>
      <c r="R838" s="193"/>
      <c r="S838" s="193"/>
      <c r="T838" s="193"/>
      <c r="U838" s="193"/>
      <c r="V838" s="193"/>
    </row>
    <row r="839" spans="1:22" s="191" customFormat="1">
      <c r="A839" s="193" t="s">
        <v>552</v>
      </c>
      <c r="B839" s="193">
        <v>1980</v>
      </c>
      <c r="C839" s="196">
        <v>33.970028408188199</v>
      </c>
      <c r="D839" s="196">
        <v>4.9494396588977603</v>
      </c>
      <c r="E839" s="191" t="s">
        <v>537</v>
      </c>
      <c r="G839" s="193"/>
      <c r="H839" s="193"/>
      <c r="I839" s="193"/>
      <c r="J839" s="193"/>
      <c r="K839" s="193"/>
      <c r="L839" s="193"/>
      <c r="M839" s="193"/>
      <c r="N839" s="193"/>
      <c r="O839" s="193"/>
      <c r="P839" s="193"/>
      <c r="Q839" s="193"/>
      <c r="R839" s="193"/>
      <c r="S839" s="193"/>
      <c r="T839" s="193"/>
      <c r="U839" s="193"/>
      <c r="V839" s="193"/>
    </row>
    <row r="840" spans="1:22" s="191" customFormat="1">
      <c r="A840" s="193" t="s">
        <v>552</v>
      </c>
      <c r="B840" s="193">
        <v>1981</v>
      </c>
      <c r="C840" s="196">
        <v>29.836459023299302</v>
      </c>
      <c r="D840" s="196">
        <v>1.5475053130301</v>
      </c>
      <c r="E840" s="191" t="s">
        <v>536</v>
      </c>
      <c r="G840" s="193"/>
      <c r="H840" s="193"/>
      <c r="I840" s="193"/>
      <c r="J840" s="193"/>
      <c r="K840" s="193"/>
      <c r="L840" s="193"/>
      <c r="M840" s="193"/>
      <c r="N840" s="193"/>
      <c r="O840" s="193"/>
      <c r="P840" s="193"/>
      <c r="Q840" s="193"/>
      <c r="R840" s="193"/>
      <c r="S840" s="193"/>
      <c r="T840" s="193"/>
      <c r="U840" s="193"/>
      <c r="V840" s="193"/>
    </row>
    <row r="841" spans="1:22" s="191" customFormat="1">
      <c r="A841" s="193" t="s">
        <v>552</v>
      </c>
      <c r="B841" s="193">
        <v>1982</v>
      </c>
      <c r="C841" s="196">
        <v>26.0019790322783</v>
      </c>
      <c r="D841" s="196">
        <v>0.12499351992121301</v>
      </c>
      <c r="E841" s="191" t="s">
        <v>536</v>
      </c>
      <c r="G841" s="193"/>
      <c r="H841" s="193"/>
      <c r="I841" s="193"/>
      <c r="J841" s="193"/>
      <c r="K841" s="193"/>
      <c r="L841" s="193"/>
      <c r="M841" s="193"/>
      <c r="N841" s="193"/>
      <c r="O841" s="193"/>
      <c r="P841" s="193"/>
      <c r="Q841" s="193"/>
      <c r="R841" s="193"/>
      <c r="S841" s="193"/>
      <c r="T841" s="193"/>
      <c r="U841" s="193"/>
      <c r="V841" s="193"/>
    </row>
    <row r="842" spans="1:22" s="191" customFormat="1">
      <c r="A842" s="193" t="s">
        <v>552</v>
      </c>
      <c r="B842" s="193">
        <v>1983</v>
      </c>
      <c r="C842" s="196">
        <v>20.836349286882001</v>
      </c>
      <c r="D842" s="196">
        <v>3.8668937136369999</v>
      </c>
      <c r="E842" s="191" t="s">
        <v>536</v>
      </c>
      <c r="G842" s="193"/>
      <c r="H842" s="193"/>
      <c r="I842" s="193"/>
      <c r="J842" s="193"/>
      <c r="K842" s="193"/>
      <c r="L842" s="193"/>
      <c r="M842" s="193"/>
      <c r="N842" s="193"/>
      <c r="O842" s="193"/>
      <c r="P842" s="193"/>
      <c r="Q842" s="193"/>
      <c r="R842" s="193"/>
      <c r="S842" s="193"/>
      <c r="T842" s="193"/>
      <c r="U842" s="193"/>
      <c r="V842" s="193"/>
    </row>
    <row r="843" spans="1:22" s="191" customFormat="1">
      <c r="A843" s="193" t="s">
        <v>552</v>
      </c>
      <c r="B843" s="193">
        <v>1984</v>
      </c>
      <c r="C843" s="196">
        <v>23.222822948084499</v>
      </c>
      <c r="D843" s="196">
        <v>5.8941036808377403</v>
      </c>
      <c r="E843" s="191" t="s">
        <v>536</v>
      </c>
      <c r="G843" s="193"/>
      <c r="H843" s="193"/>
      <c r="I843" s="193"/>
      <c r="J843" s="193"/>
      <c r="K843" s="193"/>
      <c r="L843" s="193"/>
      <c r="M843" s="193"/>
      <c r="N843" s="193"/>
      <c r="O843" s="193"/>
      <c r="P843" s="193"/>
      <c r="Q843" s="193"/>
      <c r="R843" s="193"/>
      <c r="S843" s="193"/>
      <c r="T843" s="193"/>
      <c r="U843" s="193"/>
      <c r="V843" s="193"/>
    </row>
    <row r="844" spans="1:22" s="191" customFormat="1">
      <c r="A844" s="193" t="s">
        <v>552</v>
      </c>
      <c r="B844" s="193">
        <v>1985</v>
      </c>
      <c r="C844" s="196">
        <v>25.7751180235758</v>
      </c>
      <c r="D844" s="196">
        <v>5.3540295135014597</v>
      </c>
      <c r="E844" s="191" t="s">
        <v>536</v>
      </c>
      <c r="G844" s="193"/>
      <c r="H844" s="193"/>
      <c r="I844" s="193"/>
      <c r="J844" s="193"/>
      <c r="K844" s="193"/>
      <c r="L844" s="193"/>
      <c r="M844" s="193"/>
      <c r="N844" s="193"/>
      <c r="O844" s="193"/>
      <c r="P844" s="193"/>
      <c r="Q844" s="193"/>
      <c r="R844" s="193"/>
      <c r="S844" s="193"/>
      <c r="T844" s="193"/>
      <c r="U844" s="193"/>
      <c r="V844" s="193"/>
    </row>
    <row r="845" spans="1:22" s="191" customFormat="1">
      <c r="A845" s="193" t="s">
        <v>552</v>
      </c>
      <c r="B845" s="193">
        <v>1986</v>
      </c>
      <c r="C845" s="196">
        <v>34.031596113457297</v>
      </c>
      <c r="D845" s="196">
        <v>4.0375523145842003</v>
      </c>
      <c r="E845" s="191" t="s">
        <v>537</v>
      </c>
      <c r="G845" s="193"/>
      <c r="H845" s="193"/>
      <c r="I845" s="193"/>
      <c r="J845" s="193"/>
      <c r="K845" s="193"/>
      <c r="L845" s="193"/>
      <c r="M845" s="193"/>
      <c r="N845" s="193"/>
      <c r="O845" s="193"/>
      <c r="P845" s="193"/>
      <c r="Q845" s="193"/>
      <c r="R845" s="193"/>
      <c r="S845" s="193"/>
      <c r="T845" s="193"/>
      <c r="U845" s="193"/>
      <c r="V845" s="193"/>
    </row>
    <row r="846" spans="1:22" s="191" customFormat="1">
      <c r="A846" s="193" t="s">
        <v>552</v>
      </c>
      <c r="B846" s="193">
        <v>1987</v>
      </c>
      <c r="C846" s="196">
        <v>26.529901246975701</v>
      </c>
      <c r="D846" s="196">
        <v>1.78001352049946</v>
      </c>
      <c r="E846" s="191" t="s">
        <v>536</v>
      </c>
      <c r="G846" s="193"/>
      <c r="H846" s="193"/>
      <c r="I846" s="193"/>
      <c r="J846" s="193"/>
      <c r="K846" s="193"/>
      <c r="L846" s="193"/>
      <c r="M846" s="193"/>
      <c r="N846" s="193"/>
      <c r="O846" s="193"/>
      <c r="P846" s="193"/>
      <c r="Q846" s="193"/>
      <c r="R846" s="193"/>
      <c r="S846" s="193"/>
      <c r="T846" s="193"/>
      <c r="U846" s="193"/>
      <c r="V846" s="193"/>
    </row>
    <row r="847" spans="1:22" s="191" customFormat="1">
      <c r="A847" s="193" t="s">
        <v>552</v>
      </c>
      <c r="B847" s="193">
        <v>1988</v>
      </c>
      <c r="C847" s="196">
        <v>25.529196884397901</v>
      </c>
      <c r="D847" s="196">
        <v>-0.17284882526092901</v>
      </c>
      <c r="E847" s="191" t="s">
        <v>536</v>
      </c>
      <c r="G847" s="193"/>
      <c r="H847" s="193"/>
      <c r="I847" s="193"/>
      <c r="J847" s="193"/>
      <c r="K847" s="193"/>
      <c r="L847" s="193"/>
      <c r="M847" s="193"/>
      <c r="N847" s="193"/>
      <c r="O847" s="193"/>
      <c r="P847" s="193"/>
      <c r="Q847" s="193"/>
      <c r="R847" s="193"/>
      <c r="S847" s="193"/>
      <c r="T847" s="193"/>
      <c r="U847" s="193"/>
      <c r="V847" s="193"/>
    </row>
    <row r="848" spans="1:22" s="191" customFormat="1">
      <c r="A848" s="193" t="s">
        <v>552</v>
      </c>
      <c r="B848" s="193">
        <v>1989</v>
      </c>
      <c r="C848" s="196">
        <v>25.356906223455699</v>
      </c>
      <c r="D848" s="196">
        <v>0.99755854903136298</v>
      </c>
      <c r="E848" s="191" t="s">
        <v>536</v>
      </c>
      <c r="G848" s="193"/>
      <c r="H848" s="193"/>
      <c r="I848" s="193"/>
      <c r="J848" s="193"/>
      <c r="K848" s="193"/>
      <c r="L848" s="193"/>
      <c r="M848" s="193"/>
      <c r="N848" s="193"/>
      <c r="O848" s="193"/>
      <c r="P848" s="193"/>
      <c r="Q848" s="193"/>
      <c r="R848" s="193"/>
      <c r="S848" s="193"/>
      <c r="T848" s="193"/>
      <c r="U848" s="193"/>
      <c r="V848" s="193"/>
    </row>
    <row r="849" spans="1:22" s="191" customFormat="1">
      <c r="A849" s="193" t="s">
        <v>552</v>
      </c>
      <c r="B849" s="193">
        <v>1990</v>
      </c>
      <c r="C849" s="196">
        <v>22.391432781697599</v>
      </c>
      <c r="D849" s="196">
        <v>1.9275140029591</v>
      </c>
      <c r="E849" s="191" t="s">
        <v>536</v>
      </c>
      <c r="G849" s="193"/>
      <c r="H849" s="193"/>
      <c r="I849" s="193"/>
      <c r="J849" s="193"/>
      <c r="K849" s="193"/>
      <c r="L849" s="193"/>
      <c r="M849" s="193"/>
      <c r="N849" s="193"/>
      <c r="O849" s="193"/>
      <c r="P849" s="193"/>
      <c r="Q849" s="193"/>
      <c r="R849" s="193"/>
      <c r="S849" s="193"/>
      <c r="T849" s="193"/>
      <c r="U849" s="193"/>
      <c r="V849" s="193"/>
    </row>
    <row r="850" spans="1:22" s="191" customFormat="1">
      <c r="A850" s="193" t="s">
        <v>552</v>
      </c>
      <c r="B850" s="193">
        <v>1991</v>
      </c>
      <c r="C850" s="196">
        <v>22.9411893617213</v>
      </c>
      <c r="D850" s="196">
        <v>3.1046289614814699</v>
      </c>
      <c r="E850" s="191" t="s">
        <v>536</v>
      </c>
      <c r="G850" s="193"/>
      <c r="H850" s="193"/>
      <c r="I850" s="193"/>
      <c r="J850" s="193"/>
      <c r="K850" s="193"/>
      <c r="L850" s="193"/>
      <c r="M850" s="193"/>
      <c r="N850" s="193"/>
      <c r="O850" s="193"/>
      <c r="P850" s="193"/>
      <c r="Q850" s="193"/>
      <c r="R850" s="193"/>
      <c r="S850" s="193"/>
      <c r="T850" s="193"/>
      <c r="U850" s="193"/>
      <c r="V850" s="193"/>
    </row>
    <row r="851" spans="1:22" s="191" customFormat="1">
      <c r="A851" s="193" t="s">
        <v>552</v>
      </c>
      <c r="B851" s="193">
        <v>1992</v>
      </c>
      <c r="C851" s="196">
        <v>27.2192636777982</v>
      </c>
      <c r="D851" s="196">
        <v>3.5231049814781001</v>
      </c>
      <c r="E851" s="191" t="s">
        <v>536</v>
      </c>
      <c r="G851" s="193"/>
      <c r="H851" s="193"/>
      <c r="I851" s="193"/>
      <c r="J851" s="193"/>
      <c r="K851" s="193"/>
      <c r="L851" s="193"/>
      <c r="M851" s="193"/>
      <c r="N851" s="193"/>
      <c r="O851" s="193"/>
      <c r="P851" s="193"/>
      <c r="Q851" s="193"/>
      <c r="R851" s="193"/>
      <c r="S851" s="193"/>
      <c r="T851" s="193"/>
      <c r="U851" s="193"/>
      <c r="V851" s="193"/>
    </row>
    <row r="852" spans="1:22" s="191" customFormat="1">
      <c r="A852" s="193" t="s">
        <v>552</v>
      </c>
      <c r="B852" s="193">
        <v>1993</v>
      </c>
      <c r="C852" s="196">
        <v>35.353222068073698</v>
      </c>
      <c r="D852" s="196">
        <v>2.7866370789358501</v>
      </c>
      <c r="E852" s="191" t="s">
        <v>537</v>
      </c>
      <c r="G852" s="193"/>
      <c r="H852" s="193"/>
      <c r="I852" s="193"/>
      <c r="J852" s="193"/>
      <c r="K852" s="193"/>
      <c r="L852" s="193"/>
      <c r="M852" s="193"/>
      <c r="N852" s="193"/>
      <c r="O852" s="193"/>
      <c r="P852" s="193"/>
      <c r="Q852" s="193"/>
      <c r="R852" s="193"/>
      <c r="S852" s="193"/>
      <c r="T852" s="193"/>
      <c r="U852" s="193"/>
      <c r="V852" s="193"/>
    </row>
    <row r="853" spans="1:22" s="191" customFormat="1">
      <c r="A853" s="193" t="s">
        <v>552</v>
      </c>
      <c r="B853" s="193">
        <v>1994</v>
      </c>
      <c r="C853" s="196">
        <v>33.022191473431</v>
      </c>
      <c r="D853" s="196">
        <v>5.0513843415679496</v>
      </c>
      <c r="E853" s="191" t="s">
        <v>537</v>
      </c>
      <c r="G853" s="193"/>
      <c r="H853" s="193"/>
      <c r="I853" s="193"/>
      <c r="J853" s="193"/>
      <c r="K853" s="193"/>
      <c r="L853" s="193"/>
      <c r="M853" s="193"/>
      <c r="N853" s="193"/>
      <c r="O853" s="193"/>
      <c r="P853" s="193"/>
      <c r="Q853" s="193"/>
      <c r="R853" s="193"/>
      <c r="S853" s="193"/>
      <c r="T853" s="193"/>
      <c r="U853" s="193"/>
      <c r="V853" s="193"/>
    </row>
    <row r="854" spans="1:22" s="191" customFormat="1">
      <c r="A854" s="193" t="s">
        <v>552</v>
      </c>
      <c r="B854" s="193">
        <v>1995</v>
      </c>
      <c r="C854" s="196">
        <v>30.8175320662641</v>
      </c>
      <c r="D854" s="196">
        <v>4.1863490739812104</v>
      </c>
      <c r="E854" s="191" t="s">
        <v>537</v>
      </c>
      <c r="G854" s="193"/>
      <c r="H854" s="193"/>
      <c r="I854" s="193"/>
      <c r="J854" s="193"/>
      <c r="K854" s="193"/>
      <c r="L854" s="193"/>
      <c r="M854" s="193"/>
      <c r="N854" s="193"/>
      <c r="O854" s="193"/>
      <c r="P854" s="193"/>
      <c r="Q854" s="193"/>
      <c r="R854" s="193"/>
      <c r="S854" s="193"/>
      <c r="T854" s="193"/>
      <c r="U854" s="193"/>
      <c r="V854" s="193"/>
    </row>
    <row r="855" spans="1:22" s="191" customFormat="1">
      <c r="A855" s="193" t="s">
        <v>552</v>
      </c>
      <c r="B855" s="193">
        <v>1996</v>
      </c>
      <c r="C855" s="196">
        <v>27.573645437032301</v>
      </c>
      <c r="D855" s="196">
        <v>5.0997663359063896</v>
      </c>
      <c r="E855" s="191" t="s">
        <v>536</v>
      </c>
      <c r="G855" s="193"/>
      <c r="H855" s="193"/>
      <c r="I855" s="193"/>
      <c r="J855" s="193"/>
      <c r="K855" s="193"/>
      <c r="L855" s="193"/>
      <c r="M855" s="193"/>
      <c r="N855" s="193"/>
      <c r="O855" s="193"/>
      <c r="P855" s="193"/>
      <c r="Q855" s="193"/>
      <c r="R855" s="193"/>
      <c r="S855" s="193"/>
      <c r="T855" s="193"/>
      <c r="U855" s="193"/>
      <c r="V855" s="193"/>
    </row>
    <row r="856" spans="1:22" s="191" customFormat="1">
      <c r="A856" s="193" t="s">
        <v>552</v>
      </c>
      <c r="B856" s="193">
        <v>1997</v>
      </c>
      <c r="C856" s="196">
        <v>24.676906306402898</v>
      </c>
      <c r="D856" s="196">
        <v>5.3926403470454503</v>
      </c>
      <c r="E856" s="191" t="s">
        <v>536</v>
      </c>
      <c r="G856" s="193"/>
      <c r="H856" s="193"/>
      <c r="I856" s="193"/>
      <c r="J856" s="193"/>
      <c r="K856" s="193"/>
      <c r="L856" s="193"/>
      <c r="M856" s="193"/>
      <c r="N856" s="193"/>
      <c r="O856" s="193"/>
      <c r="P856" s="193"/>
      <c r="Q856" s="193"/>
      <c r="R856" s="193"/>
      <c r="S856" s="193"/>
      <c r="T856" s="193"/>
      <c r="U856" s="193"/>
      <c r="V856" s="193"/>
    </row>
    <row r="857" spans="1:22" s="191" customFormat="1">
      <c r="A857" s="193" t="s">
        <v>552</v>
      </c>
      <c r="B857" s="193">
        <v>1998</v>
      </c>
      <c r="C857" s="196">
        <v>22.246395874986799</v>
      </c>
      <c r="D857" s="196">
        <v>2.6827834907742201</v>
      </c>
      <c r="E857" s="191" t="s">
        <v>536</v>
      </c>
      <c r="G857" s="193"/>
      <c r="H857" s="193"/>
      <c r="I857" s="193"/>
      <c r="J857" s="193"/>
      <c r="K857" s="193"/>
      <c r="L857" s="193"/>
      <c r="M857" s="193"/>
      <c r="N857" s="193"/>
      <c r="O857" s="193"/>
      <c r="P857" s="193"/>
      <c r="Q857" s="193"/>
      <c r="R857" s="193"/>
      <c r="S857" s="193"/>
      <c r="T857" s="193"/>
      <c r="U857" s="193"/>
      <c r="V857" s="193"/>
    </row>
    <row r="858" spans="1:22" s="191" customFormat="1">
      <c r="A858" s="193" t="s">
        <v>552</v>
      </c>
      <c r="B858" s="193">
        <v>1999</v>
      </c>
      <c r="C858" s="196">
        <v>20.862523479761101</v>
      </c>
      <c r="D858" s="196">
        <v>2.0257705900823799</v>
      </c>
      <c r="E858" s="191" t="s">
        <v>536</v>
      </c>
      <c r="G858" s="193"/>
      <c r="H858" s="193"/>
      <c r="I858" s="193"/>
      <c r="J858" s="193"/>
      <c r="K858" s="193"/>
      <c r="L858" s="193"/>
      <c r="M858" s="193"/>
      <c r="N858" s="193"/>
      <c r="O858" s="193"/>
      <c r="P858" s="193"/>
      <c r="Q858" s="193"/>
      <c r="R858" s="193"/>
      <c r="S858" s="193"/>
      <c r="T858" s="193"/>
      <c r="U858" s="193"/>
      <c r="V858" s="193"/>
    </row>
    <row r="859" spans="1:22" s="191" customFormat="1">
      <c r="A859" s="193" t="s">
        <v>552</v>
      </c>
      <c r="B859" s="193">
        <v>2000</v>
      </c>
      <c r="C859" s="196">
        <v>19.301936215603099</v>
      </c>
      <c r="D859" s="196">
        <v>3.2535679946216902</v>
      </c>
      <c r="E859" s="191" t="s">
        <v>536</v>
      </c>
      <c r="G859" s="193"/>
      <c r="H859" s="193"/>
      <c r="I859" s="193"/>
      <c r="J859" s="193"/>
      <c r="K859" s="193"/>
      <c r="L859" s="193"/>
      <c r="M859" s="193"/>
      <c r="N859" s="193"/>
      <c r="O859" s="193"/>
      <c r="P859" s="193"/>
      <c r="Q859" s="193"/>
      <c r="R859" s="193"/>
      <c r="S859" s="193"/>
      <c r="T859" s="193"/>
      <c r="U859" s="193"/>
      <c r="V859" s="193"/>
    </row>
    <row r="860" spans="1:22" s="191" customFormat="1">
      <c r="A860" s="193" t="s">
        <v>552</v>
      </c>
      <c r="B860" s="193">
        <v>2001</v>
      </c>
      <c r="C860" s="196">
        <v>18.132787642576901</v>
      </c>
      <c r="D860" s="196">
        <v>1.99015413560657</v>
      </c>
      <c r="E860" s="191" t="s">
        <v>536</v>
      </c>
      <c r="G860" s="193"/>
      <c r="H860" s="193"/>
      <c r="I860" s="193"/>
      <c r="J860" s="193"/>
      <c r="K860" s="193"/>
      <c r="L860" s="193"/>
      <c r="M860" s="193"/>
      <c r="N860" s="193"/>
      <c r="O860" s="193"/>
      <c r="P860" s="193"/>
      <c r="Q860" s="193"/>
      <c r="R860" s="193"/>
      <c r="S860" s="193"/>
      <c r="T860" s="193"/>
      <c r="U860" s="193"/>
      <c r="V860" s="193"/>
    </row>
    <row r="861" spans="1:22" s="191" customFormat="1">
      <c r="A861" s="193" t="s">
        <v>552</v>
      </c>
      <c r="B861" s="193">
        <v>2002</v>
      </c>
      <c r="C861" s="196">
        <v>18.992697300154699</v>
      </c>
      <c r="D861" s="196">
        <v>1.5020556300011001</v>
      </c>
      <c r="E861" s="191" t="s">
        <v>536</v>
      </c>
      <c r="G861" s="193"/>
      <c r="H861" s="193"/>
      <c r="I861" s="193"/>
      <c r="J861" s="193"/>
      <c r="K861" s="193"/>
      <c r="L861" s="193"/>
      <c r="M861" s="193"/>
      <c r="N861" s="193"/>
      <c r="O861" s="193"/>
      <c r="P861" s="193"/>
      <c r="Q861" s="193"/>
      <c r="R861" s="193"/>
      <c r="S861" s="193"/>
      <c r="T861" s="193"/>
      <c r="U861" s="193"/>
      <c r="V861" s="193"/>
    </row>
    <row r="862" spans="1:22" s="191" customFormat="1">
      <c r="A862" s="193" t="s">
        <v>552</v>
      </c>
      <c r="B862" s="193">
        <v>2003</v>
      </c>
      <c r="C862" s="196">
        <v>21.3217218900385</v>
      </c>
      <c r="D862" s="196">
        <v>1.0135240342473499</v>
      </c>
      <c r="E862" s="191" t="s">
        <v>536</v>
      </c>
      <c r="G862" s="193"/>
      <c r="H862" s="193"/>
      <c r="I862" s="193"/>
      <c r="J862" s="193"/>
      <c r="K862" s="193"/>
      <c r="L862" s="193"/>
      <c r="M862" s="193"/>
      <c r="N862" s="193"/>
      <c r="O862" s="193"/>
      <c r="P862" s="193"/>
      <c r="Q862" s="193"/>
      <c r="R862" s="193"/>
      <c r="S862" s="193"/>
      <c r="T862" s="193"/>
      <c r="U862" s="193"/>
      <c r="V862" s="193"/>
    </row>
    <row r="863" spans="1:22" s="191" customFormat="1">
      <c r="A863" s="193" t="s">
        <v>552</v>
      </c>
      <c r="B863" s="193">
        <v>2004</v>
      </c>
      <c r="C863" s="196">
        <v>18.401987332476601</v>
      </c>
      <c r="D863" s="196">
        <v>3.8641263641794299</v>
      </c>
      <c r="E863" s="191" t="s">
        <v>536</v>
      </c>
      <c r="G863" s="193"/>
      <c r="H863" s="193"/>
      <c r="I863" s="193"/>
      <c r="J863" s="193"/>
      <c r="K863" s="193"/>
      <c r="L863" s="193"/>
      <c r="M863" s="193"/>
      <c r="N863" s="193"/>
      <c r="O863" s="193"/>
      <c r="P863" s="193"/>
      <c r="Q863" s="193"/>
      <c r="R863" s="193"/>
      <c r="S863" s="193"/>
      <c r="T863" s="193"/>
      <c r="U863" s="193"/>
      <c r="V863" s="193"/>
    </row>
    <row r="864" spans="1:22" s="191" customFormat="1">
      <c r="A864" s="193" t="s">
        <v>552</v>
      </c>
      <c r="B864" s="193">
        <v>2005</v>
      </c>
      <c r="C864" s="196">
        <v>17.172666159570699</v>
      </c>
      <c r="D864" s="196">
        <v>2.73920744287439</v>
      </c>
      <c r="E864" s="191" t="s">
        <v>536</v>
      </c>
      <c r="G864" s="193"/>
      <c r="H864" s="193"/>
      <c r="I864" s="193"/>
      <c r="J864" s="193"/>
      <c r="K864" s="193"/>
      <c r="L864" s="193"/>
      <c r="M864" s="193"/>
      <c r="N864" s="193"/>
      <c r="O864" s="193"/>
      <c r="P864" s="193"/>
      <c r="Q864" s="193"/>
      <c r="R864" s="193"/>
      <c r="S864" s="193"/>
      <c r="T864" s="193"/>
      <c r="U864" s="193"/>
      <c r="V864" s="193"/>
    </row>
    <row r="865" spans="1:22" s="191" customFormat="1">
      <c r="A865" s="193" t="s">
        <v>552</v>
      </c>
      <c r="B865" s="193">
        <v>2006</v>
      </c>
      <c r="C865" s="196">
        <v>12.472992308654</v>
      </c>
      <c r="D865" s="196">
        <v>2.2808885419912901</v>
      </c>
      <c r="E865" s="191" t="s">
        <v>536</v>
      </c>
      <c r="G865" s="193"/>
      <c r="H865" s="193"/>
      <c r="I865" s="193"/>
      <c r="J865" s="193"/>
      <c r="K865" s="193"/>
      <c r="L865" s="193"/>
      <c r="M865" s="193"/>
      <c r="N865" s="193"/>
      <c r="O865" s="193"/>
      <c r="P865" s="193"/>
      <c r="Q865" s="193"/>
      <c r="R865" s="193"/>
      <c r="S865" s="193"/>
      <c r="T865" s="193"/>
      <c r="U865" s="193"/>
      <c r="V865" s="193"/>
    </row>
    <row r="866" spans="1:22" s="191" customFormat="1">
      <c r="A866" s="193" t="s">
        <v>552</v>
      </c>
      <c r="B866" s="193">
        <v>2007</v>
      </c>
      <c r="C866" s="196">
        <v>11.6528406620673</v>
      </c>
      <c r="D866" s="196">
        <v>3.1340917857372701</v>
      </c>
      <c r="E866" s="191" t="s">
        <v>536</v>
      </c>
      <c r="G866" s="193"/>
      <c r="H866" s="193"/>
      <c r="I866" s="193"/>
      <c r="J866" s="193"/>
      <c r="K866" s="193"/>
      <c r="L866" s="193"/>
      <c r="M866" s="193"/>
      <c r="N866" s="193"/>
      <c r="O866" s="193"/>
      <c r="P866" s="193"/>
      <c r="Q866" s="193"/>
      <c r="R866" s="193"/>
      <c r="S866" s="193"/>
      <c r="T866" s="193"/>
      <c r="U866" s="193"/>
      <c r="V866" s="193"/>
    </row>
    <row r="867" spans="1:22" s="191" customFormat="1">
      <c r="A867" s="193" t="s">
        <v>552</v>
      </c>
      <c r="B867" s="193">
        <v>2008</v>
      </c>
      <c r="C867" s="196">
        <v>13.7334793118604</v>
      </c>
      <c r="D867" s="196">
        <v>2.13213029844797</v>
      </c>
      <c r="E867" s="191" t="s">
        <v>536</v>
      </c>
      <c r="G867" s="193"/>
      <c r="H867" s="193"/>
      <c r="I867" s="193"/>
      <c r="J867" s="193"/>
      <c r="K867" s="193"/>
      <c r="L867" s="193"/>
      <c r="M867" s="193"/>
      <c r="N867" s="193"/>
      <c r="O867" s="193"/>
      <c r="P867" s="193"/>
      <c r="Q867" s="193"/>
      <c r="R867" s="193"/>
      <c r="S867" s="193"/>
      <c r="T867" s="193"/>
      <c r="U867" s="193"/>
      <c r="V867" s="193"/>
    </row>
    <row r="868" spans="1:22" s="191" customFormat="1">
      <c r="A868" s="193" t="s">
        <v>552</v>
      </c>
      <c r="B868" s="193">
        <v>2009</v>
      </c>
      <c r="C868" s="196">
        <v>21.653991277090999</v>
      </c>
      <c r="D868" s="196">
        <v>-1.9066760919030901</v>
      </c>
      <c r="E868" s="191" t="s">
        <v>536</v>
      </c>
      <c r="G868" s="193"/>
      <c r="H868" s="193"/>
      <c r="I868" s="193"/>
      <c r="J868" s="193"/>
      <c r="K868" s="193"/>
      <c r="L868" s="193"/>
      <c r="M868" s="193"/>
      <c r="N868" s="193"/>
      <c r="O868" s="193"/>
      <c r="P868" s="193"/>
      <c r="Q868" s="193"/>
      <c r="R868" s="193"/>
      <c r="S868" s="193"/>
      <c r="T868" s="193"/>
      <c r="U868" s="193"/>
      <c r="V868" s="193"/>
    </row>
    <row r="869" spans="1:22" s="191" customFormat="1">
      <c r="A869" s="193" t="s">
        <v>553</v>
      </c>
      <c r="B869" s="193">
        <v>1950</v>
      </c>
      <c r="C869" s="196">
        <v>24.648379052369101</v>
      </c>
      <c r="D869" s="196">
        <v>2.8372934788954298</v>
      </c>
      <c r="E869" s="191" t="s">
        <v>536</v>
      </c>
      <c r="G869" s="193"/>
      <c r="H869" s="193"/>
      <c r="I869" s="193"/>
      <c r="J869" s="193"/>
      <c r="K869" s="193"/>
      <c r="L869" s="193"/>
      <c r="M869" s="193"/>
      <c r="N869" s="193"/>
      <c r="O869" s="193"/>
      <c r="P869" s="193"/>
      <c r="Q869" s="193"/>
      <c r="R869" s="193"/>
      <c r="S869" s="193"/>
      <c r="T869" s="193"/>
      <c r="U869" s="193"/>
      <c r="V869" s="193"/>
    </row>
    <row r="870" spans="1:22" s="191" customFormat="1">
      <c r="A870" s="193" t="s">
        <v>553</v>
      </c>
      <c r="B870" s="193">
        <v>1953</v>
      </c>
      <c r="C870" s="196">
        <v>20.792682926829301</v>
      </c>
      <c r="D870" s="196">
        <v>6.9785109615802003</v>
      </c>
      <c r="E870" s="191" t="s">
        <v>536</v>
      </c>
      <c r="G870" s="193"/>
      <c r="H870" s="193"/>
      <c r="I870" s="193"/>
      <c r="J870" s="193"/>
      <c r="K870" s="193"/>
      <c r="L870" s="193"/>
      <c r="M870" s="193"/>
      <c r="N870" s="193"/>
      <c r="O870" s="193"/>
      <c r="P870" s="193"/>
      <c r="Q870" s="193"/>
      <c r="R870" s="193"/>
      <c r="S870" s="193"/>
      <c r="T870" s="193"/>
      <c r="U870" s="193"/>
      <c r="V870" s="193"/>
    </row>
    <row r="871" spans="1:22" s="191" customFormat="1">
      <c r="A871" s="193" t="s">
        <v>553</v>
      </c>
      <c r="B871" s="193">
        <v>1954</v>
      </c>
      <c r="C871" s="196">
        <v>20.312871287128701</v>
      </c>
      <c r="D871" s="196">
        <v>4.7986202698589802</v>
      </c>
      <c r="E871" s="191" t="s">
        <v>536</v>
      </c>
      <c r="G871" s="193"/>
      <c r="H871" s="193"/>
      <c r="I871" s="193"/>
      <c r="J871" s="193"/>
      <c r="K871" s="193"/>
      <c r="L871" s="193"/>
      <c r="M871" s="193"/>
      <c r="N871" s="193"/>
      <c r="O871" s="193"/>
      <c r="P871" s="193"/>
      <c r="Q871" s="193"/>
      <c r="R871" s="193"/>
      <c r="S871" s="193"/>
      <c r="T871" s="193"/>
      <c r="U871" s="193"/>
      <c r="V871" s="193"/>
    </row>
    <row r="872" spans="1:22" s="191" customFormat="1">
      <c r="A872" s="193" t="s">
        <v>553</v>
      </c>
      <c r="B872" s="193">
        <v>1955</v>
      </c>
      <c r="C872" s="196">
        <v>19.670411985018699</v>
      </c>
      <c r="D872" s="196">
        <v>4.1239109390125899</v>
      </c>
      <c r="E872" s="191" t="s">
        <v>536</v>
      </c>
      <c r="G872" s="193"/>
      <c r="H872" s="193"/>
      <c r="I872" s="193"/>
      <c r="J872" s="193"/>
      <c r="K872" s="193"/>
      <c r="L872" s="193"/>
      <c r="M872" s="193"/>
      <c r="N872" s="193"/>
      <c r="O872" s="193"/>
      <c r="P872" s="193"/>
      <c r="Q872" s="193"/>
      <c r="R872" s="193"/>
      <c r="S872" s="193"/>
      <c r="T872" s="193"/>
      <c r="U872" s="193"/>
      <c r="V872" s="193"/>
    </row>
    <row r="873" spans="1:22" s="191" customFormat="1">
      <c r="A873" s="193" t="s">
        <v>553</v>
      </c>
      <c r="B873" s="193">
        <v>1956</v>
      </c>
      <c r="C873" s="196">
        <v>19.195121951219502</v>
      </c>
      <c r="D873" s="196">
        <v>4.3650055782818997</v>
      </c>
      <c r="E873" s="191" t="s">
        <v>536</v>
      </c>
      <c r="G873" s="193"/>
      <c r="H873" s="193"/>
      <c r="I873" s="193"/>
      <c r="J873" s="193"/>
      <c r="K873" s="193"/>
      <c r="L873" s="193"/>
      <c r="M873" s="193"/>
      <c r="N873" s="193"/>
      <c r="O873" s="193"/>
      <c r="P873" s="193"/>
      <c r="Q873" s="193"/>
      <c r="R873" s="193"/>
      <c r="S873" s="193"/>
      <c r="T873" s="193"/>
      <c r="U873" s="193"/>
      <c r="V873" s="193"/>
    </row>
    <row r="874" spans="1:22" s="191" customFormat="1">
      <c r="A874" s="193" t="s">
        <v>553</v>
      </c>
      <c r="B874" s="193">
        <v>1957</v>
      </c>
      <c r="C874" s="196">
        <v>18.524126455906799</v>
      </c>
      <c r="D874" s="196">
        <v>4.4274197140439204</v>
      </c>
      <c r="E874" s="191" t="s">
        <v>536</v>
      </c>
      <c r="G874" s="193"/>
      <c r="H874" s="193"/>
      <c r="I874" s="193"/>
      <c r="J874" s="193"/>
      <c r="K874" s="193"/>
      <c r="L874" s="193"/>
      <c r="M874" s="193"/>
      <c r="N874" s="193"/>
      <c r="O874" s="193"/>
      <c r="P874" s="193"/>
      <c r="Q874" s="193"/>
      <c r="R874" s="193"/>
      <c r="S874" s="193"/>
      <c r="T874" s="193"/>
      <c r="U874" s="193"/>
      <c r="V874" s="193"/>
    </row>
    <row r="875" spans="1:22" s="191" customFormat="1">
      <c r="A875" s="193" t="s">
        <v>553</v>
      </c>
      <c r="B875" s="193">
        <v>1958</v>
      </c>
      <c r="C875" s="196">
        <v>17.622820919175901</v>
      </c>
      <c r="D875" s="196">
        <v>1.31371294519087</v>
      </c>
      <c r="E875" s="191" t="s">
        <v>536</v>
      </c>
      <c r="G875" s="193"/>
      <c r="H875" s="193"/>
      <c r="I875" s="193"/>
      <c r="J875" s="193"/>
      <c r="K875" s="193"/>
      <c r="L875" s="193"/>
      <c r="M875" s="193"/>
      <c r="N875" s="193"/>
      <c r="O875" s="193"/>
      <c r="P875" s="193"/>
      <c r="Q875" s="193"/>
      <c r="R875" s="193"/>
      <c r="S875" s="193"/>
      <c r="T875" s="193"/>
      <c r="U875" s="193"/>
      <c r="V875" s="193"/>
    </row>
    <row r="876" spans="1:22" s="191" customFormat="1">
      <c r="A876" s="193" t="s">
        <v>553</v>
      </c>
      <c r="B876" s="193">
        <v>1959</v>
      </c>
      <c r="C876" s="196">
        <v>17.313521545319499</v>
      </c>
      <c r="D876" s="196">
        <v>5.4140529617311399</v>
      </c>
      <c r="E876" s="191" t="s">
        <v>536</v>
      </c>
      <c r="G876" s="193"/>
      <c r="H876" s="193"/>
      <c r="I876" s="193"/>
      <c r="J876" s="193"/>
      <c r="K876" s="193"/>
      <c r="L876" s="193"/>
      <c r="M876" s="193"/>
      <c r="N876" s="193"/>
      <c r="O876" s="193"/>
      <c r="P876" s="193"/>
      <c r="Q876" s="193"/>
      <c r="R876" s="193"/>
      <c r="S876" s="193"/>
      <c r="T876" s="193"/>
      <c r="U876" s="193"/>
      <c r="V876" s="193"/>
    </row>
    <row r="877" spans="1:22" s="191" customFormat="1">
      <c r="A877" s="193" t="s">
        <v>553</v>
      </c>
      <c r="B877" s="193">
        <v>1960</v>
      </c>
      <c r="C877" s="196">
        <v>15.942701227830799</v>
      </c>
      <c r="D877" s="196">
        <v>6.6775829705659104</v>
      </c>
      <c r="E877" s="191" t="s">
        <v>536</v>
      </c>
      <c r="G877" s="193"/>
      <c r="H877" s="193"/>
      <c r="I877" s="193"/>
      <c r="J877" s="193"/>
      <c r="K877" s="193"/>
      <c r="L877" s="193"/>
      <c r="M877" s="193"/>
      <c r="N877" s="193"/>
      <c r="O877" s="193"/>
      <c r="P877" s="193"/>
      <c r="Q877" s="193"/>
      <c r="R877" s="193"/>
      <c r="S877" s="193"/>
      <c r="T877" s="193"/>
      <c r="U877" s="193"/>
      <c r="V877" s="193"/>
    </row>
    <row r="878" spans="1:22" s="191" customFormat="1">
      <c r="A878" s="193" t="s">
        <v>553</v>
      </c>
      <c r="B878" s="193">
        <v>1961</v>
      </c>
      <c r="C878" s="196">
        <v>14.850443599493</v>
      </c>
      <c r="D878" s="196">
        <v>5.4621691437984499</v>
      </c>
      <c r="E878" s="191" t="s">
        <v>536</v>
      </c>
      <c r="G878" s="193"/>
      <c r="H878" s="193"/>
      <c r="I878" s="193"/>
      <c r="J878" s="193"/>
      <c r="K878" s="193"/>
      <c r="L878" s="193"/>
      <c r="M878" s="193"/>
      <c r="N878" s="193"/>
      <c r="O878" s="193"/>
      <c r="P878" s="193"/>
      <c r="Q878" s="193"/>
      <c r="R878" s="193"/>
      <c r="S878" s="193"/>
      <c r="T878" s="193"/>
      <c r="U878" s="193"/>
      <c r="V878" s="193"/>
    </row>
    <row r="879" spans="1:22" s="191" customFormat="1">
      <c r="A879" s="193" t="s">
        <v>553</v>
      </c>
      <c r="B879" s="193">
        <v>1962</v>
      </c>
      <c r="C879" s="196">
        <v>13.985697258641199</v>
      </c>
      <c r="D879" s="196">
        <v>6.63826766063187</v>
      </c>
      <c r="E879" s="191" t="s">
        <v>536</v>
      </c>
      <c r="G879" s="193"/>
      <c r="H879" s="193"/>
      <c r="I879" s="193"/>
      <c r="J879" s="193"/>
      <c r="K879" s="193"/>
      <c r="L879" s="193"/>
      <c r="M879" s="193"/>
      <c r="N879" s="193"/>
      <c r="O879" s="193"/>
      <c r="P879" s="193"/>
      <c r="Q879" s="193"/>
      <c r="R879" s="193"/>
      <c r="S879" s="193"/>
      <c r="T879" s="193"/>
      <c r="U879" s="193"/>
      <c r="V879" s="193"/>
    </row>
    <row r="880" spans="1:22" s="191" customFormat="1">
      <c r="A880" s="193" t="s">
        <v>553</v>
      </c>
      <c r="B880" s="193">
        <v>1963</v>
      </c>
      <c r="C880" s="196">
        <v>16.234906695938498</v>
      </c>
      <c r="D880" s="196">
        <v>5.9354194407456697</v>
      </c>
      <c r="E880" s="191" t="s">
        <v>536</v>
      </c>
      <c r="G880" s="193"/>
      <c r="H880" s="193"/>
      <c r="I880" s="193"/>
      <c r="J880" s="193"/>
      <c r="K880" s="193"/>
      <c r="L880" s="193"/>
      <c r="M880" s="193"/>
      <c r="N880" s="193"/>
      <c r="O880" s="193"/>
      <c r="P880" s="193"/>
      <c r="Q880" s="193"/>
      <c r="R880" s="193"/>
      <c r="S880" s="193"/>
      <c r="T880" s="193"/>
      <c r="U880" s="193"/>
      <c r="V880" s="193"/>
    </row>
    <row r="881" spans="1:22" s="191" customFormat="1">
      <c r="A881" s="193" t="s">
        <v>553</v>
      </c>
      <c r="B881" s="193">
        <v>1964</v>
      </c>
      <c r="C881" s="196">
        <v>15.547667342799199</v>
      </c>
      <c r="D881" s="196">
        <v>6.5927159601546004</v>
      </c>
      <c r="E881" s="191" t="s">
        <v>536</v>
      </c>
      <c r="G881" s="193"/>
      <c r="H881" s="193"/>
      <c r="I881" s="193"/>
      <c r="J881" s="193"/>
      <c r="K881" s="193"/>
      <c r="L881" s="193"/>
      <c r="M881" s="193"/>
      <c r="N881" s="193"/>
      <c r="O881" s="193"/>
      <c r="P881" s="193"/>
      <c r="Q881" s="193"/>
      <c r="R881" s="193"/>
      <c r="S881" s="193"/>
      <c r="T881" s="193"/>
      <c r="U881" s="193"/>
      <c r="V881" s="193"/>
    </row>
    <row r="882" spans="1:22" s="191" customFormat="1">
      <c r="A882" s="193" t="s">
        <v>553</v>
      </c>
      <c r="B882" s="193">
        <v>1965</v>
      </c>
      <c r="C882" s="196">
        <v>14.7170154686078</v>
      </c>
      <c r="D882" s="196">
        <v>7.4437663983962796</v>
      </c>
      <c r="E882" s="191" t="s">
        <v>536</v>
      </c>
      <c r="G882" s="193"/>
      <c r="H882" s="193"/>
      <c r="I882" s="193"/>
      <c r="J882" s="193"/>
      <c r="K882" s="193"/>
      <c r="L882" s="193"/>
      <c r="M882" s="193"/>
      <c r="N882" s="193"/>
      <c r="O882" s="193"/>
      <c r="P882" s="193"/>
      <c r="Q882" s="193"/>
      <c r="R882" s="193"/>
      <c r="S882" s="193"/>
      <c r="T882" s="193"/>
      <c r="U882" s="193"/>
      <c r="V882" s="193"/>
    </row>
    <row r="883" spans="1:22" s="191" customFormat="1">
      <c r="A883" s="193" t="s">
        <v>553</v>
      </c>
      <c r="B883" s="193">
        <v>1966</v>
      </c>
      <c r="C883" s="196">
        <v>14.578073089701</v>
      </c>
      <c r="D883" s="196">
        <v>4.0690336388081096</v>
      </c>
      <c r="E883" s="191" t="s">
        <v>536</v>
      </c>
      <c r="G883" s="193"/>
      <c r="H883" s="193"/>
      <c r="I883" s="193"/>
      <c r="J883" s="193"/>
      <c r="K883" s="193"/>
      <c r="L883" s="193"/>
      <c r="M883" s="193"/>
      <c r="N883" s="193"/>
      <c r="O883" s="193"/>
      <c r="P883" s="193"/>
      <c r="Q883" s="193"/>
      <c r="R883" s="193"/>
      <c r="S883" s="193"/>
      <c r="T883" s="193"/>
      <c r="U883" s="193"/>
      <c r="V883" s="193"/>
    </row>
    <row r="884" spans="1:22" s="191" customFormat="1">
      <c r="A884" s="193" t="s">
        <v>553</v>
      </c>
      <c r="B884" s="193">
        <v>1967</v>
      </c>
      <c r="C884" s="196">
        <v>15.9910846953938</v>
      </c>
      <c r="D884" s="196">
        <v>7.5483139550212197</v>
      </c>
      <c r="E884" s="191" t="s">
        <v>536</v>
      </c>
      <c r="G884" s="193"/>
      <c r="H884" s="193"/>
      <c r="I884" s="193"/>
      <c r="J884" s="193"/>
      <c r="K884" s="193"/>
      <c r="L884" s="193"/>
      <c r="M884" s="193"/>
      <c r="N884" s="193"/>
      <c r="O884" s="193"/>
      <c r="P884" s="193"/>
      <c r="Q884" s="193"/>
      <c r="R884" s="193"/>
      <c r="S884" s="193"/>
      <c r="T884" s="193"/>
      <c r="U884" s="193"/>
      <c r="V884" s="193"/>
    </row>
    <row r="885" spans="1:22" s="191" customFormat="1">
      <c r="A885" s="193" t="s">
        <v>553</v>
      </c>
      <c r="B885" s="193">
        <v>1968</v>
      </c>
      <c r="C885" s="196">
        <v>16.892759562841501</v>
      </c>
      <c r="D885" s="196">
        <v>8.8963522259266608</v>
      </c>
      <c r="E885" s="191" t="s">
        <v>536</v>
      </c>
      <c r="G885" s="193"/>
      <c r="H885" s="193"/>
      <c r="I885" s="193"/>
      <c r="J885" s="193"/>
      <c r="K885" s="193"/>
      <c r="L885" s="193"/>
      <c r="M885" s="193"/>
      <c r="N885" s="193"/>
      <c r="O885" s="193"/>
      <c r="P885" s="193"/>
      <c r="Q885" s="193"/>
      <c r="R885" s="193"/>
      <c r="S885" s="193"/>
      <c r="T885" s="193"/>
      <c r="U885" s="193"/>
      <c r="V885" s="193"/>
    </row>
    <row r="886" spans="1:22" s="191" customFormat="1">
      <c r="A886" s="193" t="s">
        <v>553</v>
      </c>
      <c r="B886" s="193">
        <v>1969</v>
      </c>
      <c r="C886" s="196">
        <v>17.617445482866</v>
      </c>
      <c r="D886" s="196">
        <v>2.1228698138267901</v>
      </c>
      <c r="E886" s="191" t="s">
        <v>536</v>
      </c>
      <c r="G886" s="193"/>
      <c r="H886" s="193"/>
      <c r="I886" s="193"/>
      <c r="J886" s="193"/>
      <c r="K886" s="193"/>
      <c r="L886" s="193"/>
      <c r="M886" s="193"/>
      <c r="N886" s="193"/>
      <c r="O886" s="193"/>
      <c r="P886" s="193"/>
      <c r="Q886" s="193"/>
      <c r="R886" s="193"/>
      <c r="S886" s="193"/>
      <c r="T886" s="193"/>
      <c r="U886" s="193"/>
      <c r="V886" s="193"/>
    </row>
    <row r="887" spans="1:22" s="191" customFormat="1">
      <c r="A887" s="193" t="s">
        <v>553</v>
      </c>
      <c r="B887" s="193">
        <v>1970</v>
      </c>
      <c r="C887" s="196">
        <v>16.964483906770301</v>
      </c>
      <c r="D887" s="196">
        <v>9.1129530023807508</v>
      </c>
      <c r="E887" s="191" t="s">
        <v>536</v>
      </c>
      <c r="G887" s="193"/>
      <c r="H887" s="193"/>
      <c r="I887" s="193"/>
      <c r="J887" s="193"/>
      <c r="K887" s="193"/>
      <c r="L887" s="193"/>
      <c r="M887" s="193"/>
      <c r="N887" s="193"/>
      <c r="O887" s="193"/>
      <c r="P887" s="193"/>
      <c r="Q887" s="193"/>
      <c r="R887" s="193"/>
      <c r="S887" s="193"/>
      <c r="T887" s="193"/>
      <c r="U887" s="193"/>
      <c r="V887" s="193"/>
    </row>
    <row r="888" spans="1:22" s="191" customFormat="1">
      <c r="A888" s="193" t="s">
        <v>553</v>
      </c>
      <c r="B888" s="193">
        <v>1971</v>
      </c>
      <c r="C888" s="196">
        <v>16.053987122337801</v>
      </c>
      <c r="D888" s="196">
        <v>6.6325912158067002</v>
      </c>
      <c r="E888" s="191" t="s">
        <v>536</v>
      </c>
      <c r="G888" s="193"/>
      <c r="H888" s="193"/>
      <c r="I888" s="193"/>
      <c r="J888" s="193"/>
      <c r="K888" s="193"/>
      <c r="L888" s="193"/>
      <c r="M888" s="193"/>
      <c r="N888" s="193"/>
      <c r="O888" s="193"/>
      <c r="P888" s="193"/>
      <c r="Q888" s="193"/>
      <c r="R888" s="193"/>
      <c r="S888" s="193"/>
      <c r="T888" s="193"/>
      <c r="U888" s="193"/>
      <c r="V888" s="193"/>
    </row>
    <row r="889" spans="1:22" s="191" customFormat="1">
      <c r="A889" s="193" t="s">
        <v>553</v>
      </c>
      <c r="B889" s="193">
        <v>1972</v>
      </c>
      <c r="C889" s="196">
        <v>14.1072340425532</v>
      </c>
      <c r="D889" s="196">
        <v>8.0142475512021498</v>
      </c>
      <c r="E889" s="191" t="s">
        <v>536</v>
      </c>
      <c r="G889" s="193"/>
      <c r="H889" s="193"/>
      <c r="I889" s="193"/>
      <c r="J889" s="193"/>
      <c r="K889" s="193"/>
      <c r="L889" s="193"/>
      <c r="M889" s="193"/>
      <c r="N889" s="193"/>
      <c r="O889" s="193"/>
      <c r="P889" s="193"/>
      <c r="Q889" s="193"/>
      <c r="R889" s="193"/>
      <c r="S889" s="193"/>
      <c r="T889" s="193"/>
      <c r="U889" s="193"/>
      <c r="V889" s="193"/>
    </row>
    <row r="890" spans="1:22" s="191" customFormat="1">
      <c r="A890" s="193" t="s">
        <v>553</v>
      </c>
      <c r="B890" s="193">
        <v>1973</v>
      </c>
      <c r="C890" s="196">
        <v>11.801559177888</v>
      </c>
      <c r="D890" s="196">
        <v>11.201347108452801</v>
      </c>
      <c r="E890" s="191" t="s">
        <v>536</v>
      </c>
      <c r="G890" s="193"/>
      <c r="H890" s="193"/>
      <c r="I890" s="193"/>
      <c r="J890" s="193"/>
      <c r="K890" s="193"/>
      <c r="L890" s="193"/>
      <c r="M890" s="193"/>
      <c r="N890" s="193"/>
      <c r="O890" s="193"/>
      <c r="P890" s="193"/>
      <c r="Q890" s="193"/>
      <c r="R890" s="193"/>
      <c r="S890" s="193"/>
      <c r="T890" s="193"/>
      <c r="U890" s="193"/>
      <c r="V890" s="193"/>
    </row>
    <row r="891" spans="1:22" s="191" customFormat="1">
      <c r="A891" s="193" t="s">
        <v>553</v>
      </c>
      <c r="B891" s="193">
        <v>1974</v>
      </c>
      <c r="C891" s="196">
        <v>10.309755378720901</v>
      </c>
      <c r="D891" s="196">
        <v>1.14358723598909</v>
      </c>
      <c r="E891" s="191" t="s">
        <v>536</v>
      </c>
      <c r="G891" s="193"/>
      <c r="H891" s="193"/>
      <c r="I891" s="193"/>
      <c r="J891" s="193"/>
      <c r="K891" s="193"/>
      <c r="L891" s="193"/>
      <c r="M891" s="193"/>
      <c r="N891" s="193"/>
      <c r="O891" s="193"/>
      <c r="P891" s="193"/>
      <c r="Q891" s="193"/>
      <c r="R891" s="193"/>
      <c r="S891" s="193"/>
      <c r="T891" s="193"/>
      <c r="U891" s="193"/>
      <c r="V891" s="193"/>
    </row>
    <row r="892" spans="1:22" s="191" customFormat="1">
      <c r="A892" s="193" t="s">
        <v>553</v>
      </c>
      <c r="B892" s="193">
        <v>1975</v>
      </c>
      <c r="C892" s="196">
        <v>10.2486744432662</v>
      </c>
      <c r="D892" s="196">
        <v>-4.3479616980131599</v>
      </c>
      <c r="E892" s="191" t="s">
        <v>536</v>
      </c>
      <c r="G892" s="193"/>
      <c r="H892" s="193"/>
      <c r="I892" s="193"/>
      <c r="J892" s="193"/>
      <c r="K892" s="193"/>
      <c r="L892" s="193"/>
      <c r="M892" s="193"/>
      <c r="N892" s="193"/>
      <c r="O892" s="193"/>
      <c r="P892" s="193"/>
      <c r="Q892" s="193"/>
      <c r="R892" s="193"/>
      <c r="S892" s="193"/>
      <c r="T892" s="193"/>
      <c r="U892" s="193"/>
      <c r="V892" s="193"/>
    </row>
    <row r="893" spans="1:22" s="191" customFormat="1">
      <c r="A893" s="193" t="s">
        <v>553</v>
      </c>
      <c r="B893" s="193">
        <v>1976</v>
      </c>
      <c r="C893" s="196">
        <v>9.1113243761996205</v>
      </c>
      <c r="D893" s="196">
        <v>6.8999250008152</v>
      </c>
      <c r="E893" s="191" t="s">
        <v>536</v>
      </c>
      <c r="G893" s="193"/>
      <c r="H893" s="193"/>
      <c r="I893" s="193"/>
      <c r="J893" s="193"/>
      <c r="K893" s="193"/>
      <c r="L893" s="193"/>
      <c r="M893" s="193"/>
      <c r="N893" s="193"/>
      <c r="O893" s="193"/>
      <c r="P893" s="193"/>
      <c r="Q893" s="193"/>
      <c r="R893" s="193"/>
      <c r="S893" s="193"/>
      <c r="T893" s="193"/>
      <c r="U893" s="193"/>
      <c r="V893" s="193"/>
    </row>
    <row r="894" spans="1:22" s="191" customFormat="1">
      <c r="A894" s="193" t="s">
        <v>553</v>
      </c>
      <c r="B894" s="193">
        <v>1977</v>
      </c>
      <c r="C894" s="196">
        <v>7.4299373794606502</v>
      </c>
      <c r="D894" s="196">
        <v>5.6019888356770204</v>
      </c>
      <c r="E894" s="191" t="s">
        <v>536</v>
      </c>
      <c r="G894" s="193"/>
      <c r="H894" s="193"/>
      <c r="I894" s="193"/>
      <c r="J894" s="193"/>
      <c r="K894" s="193"/>
      <c r="L894" s="193"/>
      <c r="M894" s="193"/>
      <c r="N894" s="193"/>
      <c r="O894" s="193"/>
      <c r="P894" s="193"/>
      <c r="Q894" s="193"/>
      <c r="R894" s="193"/>
      <c r="S894" s="193"/>
      <c r="T894" s="193"/>
      <c r="U894" s="193"/>
      <c r="V894" s="193"/>
    </row>
    <row r="895" spans="1:22" s="191" customFormat="1">
      <c r="A895" s="193" t="s">
        <v>553</v>
      </c>
      <c r="B895" s="193">
        <v>1978</v>
      </c>
      <c r="C895" s="196">
        <v>6.81163157286373</v>
      </c>
      <c r="D895" s="196">
        <v>2.8163318361039198</v>
      </c>
      <c r="E895" s="191" t="s">
        <v>536</v>
      </c>
      <c r="G895" s="193"/>
      <c r="H895" s="193"/>
      <c r="I895" s="193"/>
      <c r="J895" s="193"/>
      <c r="K895" s="193"/>
      <c r="L895" s="193"/>
      <c r="M895" s="193"/>
      <c r="N895" s="193"/>
      <c r="O895" s="193"/>
      <c r="P895" s="193"/>
      <c r="Q895" s="193"/>
      <c r="R895" s="193"/>
      <c r="S895" s="193"/>
      <c r="T895" s="193"/>
      <c r="U895" s="193"/>
      <c r="V895" s="193"/>
    </row>
    <row r="896" spans="1:22" s="191" customFormat="1">
      <c r="A896" s="193" t="s">
        <v>553</v>
      </c>
      <c r="B896" s="193">
        <v>1979</v>
      </c>
      <c r="C896" s="196">
        <v>6.3095770275904002</v>
      </c>
      <c r="D896" s="196">
        <v>5.6385115677983997</v>
      </c>
      <c r="E896" s="191" t="s">
        <v>536</v>
      </c>
      <c r="G896" s="193"/>
      <c r="H896" s="193"/>
      <c r="I896" s="193"/>
      <c r="J896" s="193"/>
      <c r="K896" s="193"/>
      <c r="L896" s="193"/>
      <c r="M896" s="193"/>
      <c r="N896" s="193"/>
      <c r="O896" s="193"/>
      <c r="P896" s="193"/>
      <c r="Q896" s="193"/>
      <c r="R896" s="193"/>
      <c r="S896" s="193"/>
      <c r="T896" s="193"/>
      <c r="U896" s="193"/>
      <c r="V896" s="193"/>
    </row>
    <row r="897" spans="1:22" s="191" customFormat="1">
      <c r="A897" s="193" t="s">
        <v>553</v>
      </c>
      <c r="B897" s="193">
        <v>1980</v>
      </c>
      <c r="C897" s="196">
        <v>7.9885990892009797</v>
      </c>
      <c r="D897" s="196">
        <v>4.59024241054213</v>
      </c>
      <c r="E897" s="191" t="s">
        <v>536</v>
      </c>
      <c r="G897" s="193"/>
      <c r="H897" s="193"/>
      <c r="I897" s="193"/>
      <c r="J897" s="193"/>
      <c r="K897" s="193"/>
      <c r="L897" s="193"/>
      <c r="M897" s="193"/>
      <c r="N897" s="193"/>
      <c r="O897" s="193"/>
      <c r="P897" s="193"/>
      <c r="Q897" s="193"/>
      <c r="R897" s="193"/>
      <c r="S897" s="193"/>
      <c r="T897" s="193"/>
      <c r="U897" s="193"/>
      <c r="V897" s="193"/>
    </row>
    <row r="898" spans="1:22" s="191" customFormat="1">
      <c r="A898" s="193" t="s">
        <v>553</v>
      </c>
      <c r="B898" s="193">
        <v>1981</v>
      </c>
      <c r="C898" s="196">
        <v>10.085468377366499</v>
      </c>
      <c r="D898" s="196">
        <v>1.5475053130301</v>
      </c>
      <c r="E898" s="191" t="s">
        <v>536</v>
      </c>
      <c r="G898" s="193"/>
      <c r="H898" s="193"/>
      <c r="I898" s="193"/>
      <c r="J898" s="193"/>
      <c r="K898" s="193"/>
      <c r="L898" s="193"/>
      <c r="M898" s="193"/>
      <c r="N898" s="193"/>
      <c r="O898" s="193"/>
      <c r="P898" s="193"/>
      <c r="Q898" s="193"/>
      <c r="R898" s="193"/>
      <c r="S898" s="193"/>
      <c r="T898" s="193"/>
      <c r="U898" s="193"/>
      <c r="V898" s="193"/>
    </row>
    <row r="899" spans="1:22" s="191" customFormat="1">
      <c r="A899" s="193" t="s">
        <v>553</v>
      </c>
      <c r="B899" s="193">
        <v>1982</v>
      </c>
      <c r="C899" s="196">
        <v>11.3785053042299</v>
      </c>
      <c r="D899" s="196">
        <v>0.12499351992121301</v>
      </c>
      <c r="E899" s="191" t="s">
        <v>536</v>
      </c>
      <c r="G899" s="193"/>
      <c r="H899" s="193"/>
      <c r="I899" s="193"/>
      <c r="J899" s="193"/>
      <c r="K899" s="193"/>
      <c r="L899" s="193"/>
      <c r="M899" s="193"/>
      <c r="N899" s="193"/>
      <c r="O899" s="193"/>
      <c r="P899" s="193"/>
      <c r="Q899" s="193"/>
      <c r="R899" s="193"/>
      <c r="S899" s="193"/>
      <c r="T899" s="193"/>
      <c r="U899" s="193"/>
      <c r="V899" s="193"/>
    </row>
    <row r="900" spans="1:22" s="191" customFormat="1">
      <c r="A900" s="193" t="s">
        <v>553</v>
      </c>
      <c r="B900" s="193">
        <v>1983</v>
      </c>
      <c r="C900" s="196">
        <v>12.7093018203936</v>
      </c>
      <c r="D900" s="196">
        <v>3.8668937136369999</v>
      </c>
      <c r="E900" s="191" t="s">
        <v>536</v>
      </c>
      <c r="G900" s="193"/>
      <c r="H900" s="193"/>
      <c r="I900" s="193"/>
      <c r="J900" s="193"/>
      <c r="K900" s="193"/>
      <c r="L900" s="193"/>
      <c r="M900" s="193"/>
      <c r="N900" s="193"/>
      <c r="O900" s="193"/>
      <c r="P900" s="193"/>
      <c r="Q900" s="193"/>
      <c r="R900" s="193"/>
      <c r="S900" s="193"/>
      <c r="T900" s="193"/>
      <c r="U900" s="193"/>
      <c r="V900" s="193"/>
    </row>
    <row r="901" spans="1:22" s="191" customFormat="1">
      <c r="A901" s="193" t="s">
        <v>553</v>
      </c>
      <c r="B901" s="193">
        <v>1984</v>
      </c>
      <c r="C901" s="196">
        <v>9.0126894268981808</v>
      </c>
      <c r="D901" s="196">
        <v>5.8941036808377403</v>
      </c>
      <c r="E901" s="191" t="s">
        <v>536</v>
      </c>
      <c r="G901" s="193"/>
      <c r="H901" s="193"/>
      <c r="I901" s="193"/>
      <c r="J901" s="193"/>
      <c r="K901" s="193"/>
      <c r="L901" s="193"/>
      <c r="M901" s="193"/>
      <c r="N901" s="193"/>
      <c r="O901" s="193"/>
      <c r="P901" s="193"/>
      <c r="Q901" s="193"/>
      <c r="R901" s="193"/>
      <c r="S901" s="193"/>
      <c r="T901" s="193"/>
      <c r="U901" s="193"/>
      <c r="V901" s="193"/>
    </row>
    <row r="902" spans="1:22" s="191" customFormat="1">
      <c r="A902" s="193" t="s">
        <v>553</v>
      </c>
      <c r="B902" s="193">
        <v>1985</v>
      </c>
      <c r="C902" s="196">
        <v>13.249885071823</v>
      </c>
      <c r="D902" s="196">
        <v>5.3540295135014597</v>
      </c>
      <c r="E902" s="191" t="s">
        <v>536</v>
      </c>
      <c r="G902" s="193"/>
      <c r="H902" s="193"/>
      <c r="I902" s="193"/>
      <c r="J902" s="193"/>
      <c r="K902" s="193"/>
      <c r="L902" s="193"/>
      <c r="M902" s="193"/>
      <c r="N902" s="193"/>
      <c r="O902" s="193"/>
      <c r="P902" s="193"/>
      <c r="Q902" s="193"/>
      <c r="R902" s="193"/>
      <c r="S902" s="193"/>
      <c r="T902" s="193"/>
      <c r="U902" s="193"/>
      <c r="V902" s="193"/>
    </row>
    <row r="903" spans="1:22" s="191" customFormat="1">
      <c r="A903" s="193" t="s">
        <v>553</v>
      </c>
      <c r="B903" s="193">
        <v>1986</v>
      </c>
      <c r="C903" s="196">
        <v>14.0260084191387</v>
      </c>
      <c r="D903" s="196">
        <v>4.0375523145842003</v>
      </c>
      <c r="E903" s="191" t="s">
        <v>536</v>
      </c>
      <c r="G903" s="193"/>
      <c r="H903" s="193"/>
      <c r="I903" s="193"/>
      <c r="J903" s="193"/>
      <c r="K903" s="193"/>
      <c r="L903" s="193"/>
      <c r="M903" s="193"/>
      <c r="N903" s="193"/>
      <c r="O903" s="193"/>
      <c r="P903" s="193"/>
      <c r="Q903" s="193"/>
      <c r="R903" s="193"/>
      <c r="S903" s="193"/>
      <c r="T903" s="193"/>
      <c r="U903" s="193"/>
      <c r="V903" s="193"/>
    </row>
    <row r="904" spans="1:22" s="191" customFormat="1">
      <c r="A904" s="193" t="s">
        <v>553</v>
      </c>
      <c r="B904" s="193">
        <v>1987</v>
      </c>
      <c r="C904" s="196">
        <v>15.836479260496301</v>
      </c>
      <c r="D904" s="196">
        <v>1.78001352049946</v>
      </c>
      <c r="E904" s="191" t="s">
        <v>536</v>
      </c>
      <c r="G904" s="193"/>
      <c r="H904" s="193"/>
      <c r="I904" s="193"/>
      <c r="J904" s="193"/>
      <c r="K904" s="193"/>
      <c r="L904" s="193"/>
      <c r="M904" s="193"/>
      <c r="N904" s="193"/>
      <c r="O904" s="193"/>
      <c r="P904" s="193"/>
      <c r="Q904" s="193"/>
      <c r="R904" s="193"/>
      <c r="S904" s="193"/>
      <c r="T904" s="193"/>
      <c r="U904" s="193"/>
      <c r="V904" s="193"/>
    </row>
    <row r="905" spans="1:22" s="191" customFormat="1">
      <c r="A905" s="193" t="s">
        <v>553</v>
      </c>
      <c r="B905" s="193">
        <v>1988</v>
      </c>
      <c r="C905" s="196">
        <v>18.420300881601801</v>
      </c>
      <c r="D905" s="196">
        <v>-0.17284882526092901</v>
      </c>
      <c r="E905" s="191" t="s">
        <v>536</v>
      </c>
      <c r="G905" s="193"/>
      <c r="H905" s="193"/>
      <c r="I905" s="193"/>
      <c r="J905" s="193"/>
      <c r="K905" s="193"/>
      <c r="L905" s="193"/>
      <c r="M905" s="193"/>
      <c r="N905" s="193"/>
      <c r="O905" s="193"/>
      <c r="P905" s="193"/>
      <c r="Q905" s="193"/>
      <c r="R905" s="193"/>
      <c r="S905" s="193"/>
      <c r="T905" s="193"/>
      <c r="U905" s="193"/>
      <c r="V905" s="193"/>
    </row>
    <row r="906" spans="1:22" s="191" customFormat="1">
      <c r="A906" s="193" t="s">
        <v>553</v>
      </c>
      <c r="B906" s="193">
        <v>1989</v>
      </c>
      <c r="C906" s="196">
        <v>21.220255151546301</v>
      </c>
      <c r="D906" s="196">
        <v>0.99755854903136298</v>
      </c>
      <c r="E906" s="191" t="s">
        <v>536</v>
      </c>
      <c r="G906" s="193"/>
      <c r="H906" s="193"/>
      <c r="I906" s="193"/>
      <c r="J906" s="193"/>
      <c r="K906" s="193"/>
      <c r="L906" s="193"/>
      <c r="M906" s="193"/>
      <c r="N906" s="193"/>
      <c r="O906" s="193"/>
      <c r="P906" s="193"/>
      <c r="Q906" s="193"/>
      <c r="R906" s="193"/>
      <c r="S906" s="193"/>
      <c r="T906" s="193"/>
      <c r="U906" s="193"/>
      <c r="V906" s="193"/>
    </row>
    <row r="907" spans="1:22" s="191" customFormat="1">
      <c r="A907" s="193" t="s">
        <v>553</v>
      </c>
      <c r="B907" s="193">
        <v>1990</v>
      </c>
      <c r="C907" s="196">
        <v>23.8194764206321</v>
      </c>
      <c r="D907" s="196">
        <v>1.9275140029591</v>
      </c>
      <c r="E907" s="191" t="s">
        <v>536</v>
      </c>
      <c r="G907" s="193"/>
      <c r="H907" s="193"/>
      <c r="I907" s="193"/>
      <c r="J907" s="193"/>
      <c r="K907" s="193"/>
      <c r="L907" s="193"/>
      <c r="M907" s="193"/>
      <c r="N907" s="193"/>
      <c r="O907" s="193"/>
      <c r="P907" s="193"/>
      <c r="Q907" s="193"/>
      <c r="R907" s="193"/>
      <c r="S907" s="193"/>
      <c r="T907" s="193"/>
      <c r="U907" s="193"/>
      <c r="V907" s="193"/>
    </row>
    <row r="908" spans="1:22" s="191" customFormat="1">
      <c r="A908" s="193" t="s">
        <v>553</v>
      </c>
      <c r="B908" s="193">
        <v>1991</v>
      </c>
      <c r="C908" s="196">
        <v>25.2796306614662</v>
      </c>
      <c r="D908" s="196">
        <v>3.1046289614814699</v>
      </c>
      <c r="E908" s="191" t="s">
        <v>536</v>
      </c>
      <c r="G908" s="193"/>
      <c r="H908" s="193"/>
      <c r="I908" s="193"/>
      <c r="J908" s="193"/>
      <c r="K908" s="193"/>
      <c r="L908" s="193"/>
      <c r="M908" s="193"/>
      <c r="N908" s="193"/>
      <c r="O908" s="193"/>
      <c r="P908" s="193"/>
      <c r="Q908" s="193"/>
      <c r="R908" s="193"/>
      <c r="S908" s="193"/>
      <c r="T908" s="193"/>
      <c r="U908" s="193"/>
      <c r="V908" s="193"/>
    </row>
    <row r="909" spans="1:22" s="191" customFormat="1">
      <c r="A909" s="193" t="s">
        <v>553</v>
      </c>
      <c r="B909" s="193">
        <v>1992</v>
      </c>
      <c r="C909" s="196">
        <v>29.569307552263201</v>
      </c>
      <c r="D909" s="196">
        <v>3.5231049814781001</v>
      </c>
      <c r="E909" s="191" t="s">
        <v>536</v>
      </c>
      <c r="G909" s="193"/>
      <c r="H909" s="193"/>
      <c r="I909" s="193"/>
      <c r="J909" s="193"/>
      <c r="K909" s="193"/>
      <c r="L909" s="193"/>
      <c r="M909" s="193"/>
      <c r="N909" s="193"/>
      <c r="O909" s="193"/>
      <c r="P909" s="193"/>
      <c r="Q909" s="193"/>
      <c r="R909" s="193"/>
      <c r="S909" s="193"/>
      <c r="T909" s="193"/>
      <c r="U909" s="193"/>
      <c r="V909" s="193"/>
    </row>
    <row r="910" spans="1:22" s="191" customFormat="1">
      <c r="A910" s="193" t="s">
        <v>553</v>
      </c>
      <c r="B910" s="193">
        <v>1993</v>
      </c>
      <c r="C910" s="196">
        <v>33.554594473987599</v>
      </c>
      <c r="D910" s="196">
        <v>2.7866370789358501</v>
      </c>
      <c r="E910" s="191" t="s">
        <v>537</v>
      </c>
      <c r="G910" s="193"/>
      <c r="H910" s="193"/>
      <c r="I910" s="193"/>
      <c r="J910" s="193"/>
      <c r="K910" s="193"/>
      <c r="L910" s="193"/>
      <c r="M910" s="193"/>
      <c r="N910" s="193"/>
      <c r="O910" s="193"/>
      <c r="P910" s="193"/>
      <c r="Q910" s="193"/>
      <c r="R910" s="193"/>
      <c r="S910" s="193"/>
      <c r="T910" s="193"/>
      <c r="U910" s="193"/>
      <c r="V910" s="193"/>
    </row>
    <row r="911" spans="1:22" s="191" customFormat="1">
      <c r="A911" s="193" t="s">
        <v>553</v>
      </c>
      <c r="B911" s="193">
        <v>1994</v>
      </c>
      <c r="C911" s="196">
        <v>35.4400005473154</v>
      </c>
      <c r="D911" s="196">
        <v>5.0513843415679496</v>
      </c>
      <c r="E911" s="191" t="s">
        <v>537</v>
      </c>
      <c r="G911" s="193"/>
      <c r="H911" s="193"/>
      <c r="I911" s="193"/>
      <c r="J911" s="193"/>
      <c r="K911" s="193"/>
      <c r="L911" s="193"/>
      <c r="M911" s="193"/>
      <c r="N911" s="193"/>
      <c r="O911" s="193"/>
      <c r="P911" s="193"/>
      <c r="Q911" s="193"/>
      <c r="R911" s="193"/>
      <c r="S911" s="193"/>
      <c r="T911" s="193"/>
      <c r="U911" s="193"/>
      <c r="V911" s="193"/>
    </row>
    <row r="912" spans="1:22" s="191" customFormat="1">
      <c r="A912" s="193" t="s">
        <v>553</v>
      </c>
      <c r="B912" s="193">
        <v>1995</v>
      </c>
      <c r="C912" s="196">
        <v>35.889628593667901</v>
      </c>
      <c r="D912" s="196">
        <v>4.1863490739812104</v>
      </c>
      <c r="E912" s="191" t="s">
        <v>537</v>
      </c>
      <c r="G912" s="193"/>
      <c r="H912" s="193"/>
      <c r="I912" s="193"/>
      <c r="J912" s="193"/>
      <c r="K912" s="193"/>
      <c r="L912" s="193"/>
      <c r="M912" s="193"/>
      <c r="N912" s="193"/>
      <c r="O912" s="193"/>
      <c r="P912" s="193"/>
      <c r="Q912" s="193"/>
      <c r="R912" s="193"/>
      <c r="S912" s="193"/>
      <c r="T912" s="193"/>
      <c r="U912" s="193"/>
      <c r="V912" s="193"/>
    </row>
    <row r="913" spans="1:22" s="191" customFormat="1">
      <c r="A913" s="193" t="s">
        <v>553</v>
      </c>
      <c r="B913" s="193">
        <v>1996</v>
      </c>
      <c r="C913" s="196">
        <v>39.170436562235999</v>
      </c>
      <c r="D913" s="196">
        <v>5.0997663359063896</v>
      </c>
      <c r="E913" s="191" t="s">
        <v>537</v>
      </c>
      <c r="G913" s="193"/>
      <c r="H913" s="193"/>
      <c r="I913" s="193"/>
      <c r="J913" s="193"/>
      <c r="K913" s="193"/>
      <c r="L913" s="193"/>
      <c r="M913" s="193"/>
      <c r="N913" s="193"/>
      <c r="O913" s="193"/>
      <c r="P913" s="193"/>
      <c r="Q913" s="193"/>
      <c r="R913" s="193"/>
      <c r="S913" s="193"/>
      <c r="T913" s="193"/>
      <c r="U913" s="193"/>
      <c r="V913" s="193"/>
    </row>
    <row r="914" spans="1:22" s="191" customFormat="1">
      <c r="A914" s="193" t="s">
        <v>553</v>
      </c>
      <c r="B914" s="193">
        <v>1997</v>
      </c>
      <c r="C914" s="196">
        <v>39.432844587904199</v>
      </c>
      <c r="D914" s="196">
        <v>5.3926403470454503</v>
      </c>
      <c r="E914" s="191" t="s">
        <v>537</v>
      </c>
      <c r="G914" s="193"/>
      <c r="H914" s="193"/>
      <c r="I914" s="193"/>
      <c r="J914" s="193"/>
      <c r="K914" s="193"/>
      <c r="L914" s="193"/>
      <c r="M914" s="193"/>
      <c r="N914" s="193"/>
      <c r="O914" s="193"/>
      <c r="P914" s="193"/>
      <c r="Q914" s="193"/>
      <c r="R914" s="193"/>
      <c r="S914" s="193"/>
      <c r="T914" s="193"/>
      <c r="U914" s="193"/>
      <c r="V914" s="193"/>
    </row>
    <row r="915" spans="1:22" s="191" customFormat="1">
      <c r="A915" s="193" t="s">
        <v>553</v>
      </c>
      <c r="B915" s="193">
        <v>1998</v>
      </c>
      <c r="C915" s="196">
        <v>32.933777415214799</v>
      </c>
      <c r="D915" s="196">
        <v>2.6827834907742201</v>
      </c>
      <c r="E915" s="191" t="s">
        <v>537</v>
      </c>
      <c r="G915" s="193"/>
      <c r="H915" s="193"/>
      <c r="I915" s="193"/>
      <c r="J915" s="193"/>
      <c r="K915" s="193"/>
      <c r="L915" s="193"/>
      <c r="M915" s="193"/>
      <c r="N915" s="193"/>
      <c r="O915" s="193"/>
      <c r="P915" s="193"/>
      <c r="Q915" s="193"/>
      <c r="R915" s="193"/>
      <c r="S915" s="193"/>
      <c r="T915" s="193"/>
      <c r="U915" s="193"/>
      <c r="V915" s="193"/>
    </row>
    <row r="916" spans="1:22" s="191" customFormat="1">
      <c r="A916" s="193" t="s">
        <v>553</v>
      </c>
      <c r="B916" s="193">
        <v>1999</v>
      </c>
      <c r="C916" s="196">
        <v>29.350732740734301</v>
      </c>
      <c r="D916" s="196">
        <v>2.0257705900823799</v>
      </c>
      <c r="E916" s="191" t="s">
        <v>536</v>
      </c>
      <c r="G916" s="193"/>
      <c r="H916" s="193"/>
      <c r="I916" s="193"/>
      <c r="J916" s="193"/>
      <c r="K916" s="193"/>
      <c r="L916" s="193"/>
      <c r="M916" s="193"/>
      <c r="N916" s="193"/>
      <c r="O916" s="193"/>
      <c r="P916" s="193"/>
      <c r="Q916" s="193"/>
      <c r="R916" s="193"/>
      <c r="S916" s="193"/>
      <c r="T916" s="193"/>
      <c r="U916" s="193"/>
      <c r="V916" s="193"/>
    </row>
    <row r="917" spans="1:22" s="191" customFormat="1">
      <c r="A917" s="193" t="s">
        <v>553</v>
      </c>
      <c r="B917" s="193">
        <v>2000</v>
      </c>
      <c r="C917" s="196">
        <v>54.122458493498002</v>
      </c>
      <c r="D917" s="196">
        <v>3.2535679946216902</v>
      </c>
      <c r="E917" s="191" t="s">
        <v>537</v>
      </c>
      <c r="G917" s="193"/>
      <c r="H917" s="193"/>
      <c r="I917" s="193"/>
      <c r="J917" s="193"/>
      <c r="K917" s="193"/>
      <c r="L917" s="193"/>
      <c r="M917" s="193"/>
      <c r="N917" s="193"/>
      <c r="O917" s="193"/>
      <c r="P917" s="193"/>
      <c r="Q917" s="193"/>
      <c r="R917" s="193"/>
      <c r="S917" s="193"/>
      <c r="T917" s="193"/>
      <c r="U917" s="193"/>
      <c r="V917" s="193"/>
    </row>
    <row r="918" spans="1:22" s="191" customFormat="1">
      <c r="A918" s="193" t="s">
        <v>553</v>
      </c>
      <c r="B918" s="193">
        <v>2001</v>
      </c>
      <c r="C918" s="196">
        <v>56.029085594085402</v>
      </c>
      <c r="D918" s="196">
        <v>1.99015413560657</v>
      </c>
      <c r="E918" s="191" t="s">
        <v>537</v>
      </c>
      <c r="G918" s="193"/>
      <c r="H918" s="193"/>
      <c r="I918" s="193"/>
      <c r="J918" s="193"/>
      <c r="K918" s="193"/>
      <c r="L918" s="193"/>
      <c r="M918" s="193"/>
      <c r="N918" s="193"/>
      <c r="O918" s="193"/>
      <c r="P918" s="193"/>
      <c r="Q918" s="193"/>
      <c r="R918" s="193"/>
      <c r="S918" s="193"/>
      <c r="T918" s="193"/>
      <c r="U918" s="193"/>
      <c r="V918" s="193"/>
    </row>
    <row r="919" spans="1:22" s="191" customFormat="1">
      <c r="A919" s="193" t="s">
        <v>553</v>
      </c>
      <c r="B919" s="193">
        <v>2002</v>
      </c>
      <c r="C919" s="196">
        <v>58.681534917376702</v>
      </c>
      <c r="D919" s="196">
        <v>1.5020556300011001</v>
      </c>
      <c r="E919" s="191" t="s">
        <v>537</v>
      </c>
      <c r="G919" s="193"/>
      <c r="H919" s="193"/>
      <c r="I919" s="193"/>
      <c r="J919" s="193"/>
      <c r="K919" s="193"/>
      <c r="L919" s="193"/>
      <c r="M919" s="193"/>
      <c r="N919" s="193"/>
      <c r="O919" s="193"/>
      <c r="P919" s="193"/>
      <c r="Q919" s="193"/>
      <c r="R919" s="193"/>
      <c r="S919" s="193"/>
      <c r="T919" s="193"/>
      <c r="U919" s="193"/>
      <c r="V919" s="193"/>
    </row>
    <row r="920" spans="1:22" s="191" customFormat="1">
      <c r="A920" s="193" t="s">
        <v>553</v>
      </c>
      <c r="B920" s="193">
        <v>2003</v>
      </c>
      <c r="C920" s="196">
        <v>60.164379212307502</v>
      </c>
      <c r="D920" s="196">
        <v>1.0135240342473499</v>
      </c>
      <c r="E920" s="191" t="s">
        <v>538</v>
      </c>
      <c r="G920" s="193"/>
      <c r="H920" s="193"/>
      <c r="I920" s="193"/>
      <c r="J920" s="193"/>
      <c r="K920" s="193"/>
      <c r="L920" s="193"/>
      <c r="M920" s="193"/>
      <c r="N920" s="193"/>
      <c r="O920" s="193"/>
      <c r="P920" s="193"/>
      <c r="Q920" s="193"/>
      <c r="R920" s="193"/>
      <c r="S920" s="193"/>
      <c r="T920" s="193"/>
      <c r="U920" s="193"/>
      <c r="V920" s="193"/>
    </row>
    <row r="921" spans="1:22" s="191" customFormat="1">
      <c r="A921" s="193" t="s">
        <v>553</v>
      </c>
      <c r="B921" s="193">
        <v>2004</v>
      </c>
      <c r="C921" s="196">
        <v>62.9572810279751</v>
      </c>
      <c r="D921" s="196">
        <v>3.8641263641794299</v>
      </c>
      <c r="E921" s="191" t="s">
        <v>538</v>
      </c>
      <c r="G921" s="193"/>
      <c r="H921" s="193"/>
      <c r="I921" s="193"/>
      <c r="J921" s="193"/>
      <c r="K921" s="193"/>
      <c r="L921" s="193"/>
      <c r="M921" s="193"/>
      <c r="N921" s="193"/>
      <c r="O921" s="193"/>
      <c r="P921" s="193"/>
      <c r="Q921" s="193"/>
      <c r="R921" s="193"/>
      <c r="S921" s="193"/>
      <c r="T921" s="193"/>
      <c r="U921" s="193"/>
      <c r="V921" s="193"/>
    </row>
    <row r="922" spans="1:22" s="191" customFormat="1">
      <c r="A922" s="193" t="s">
        <v>553</v>
      </c>
      <c r="B922" s="193">
        <v>2005</v>
      </c>
      <c r="C922" s="196">
        <v>68.237171749684805</v>
      </c>
      <c r="D922" s="196">
        <v>2.73920744287439</v>
      </c>
      <c r="E922" s="191" t="s">
        <v>538</v>
      </c>
      <c r="G922" s="193"/>
      <c r="H922" s="193"/>
      <c r="I922" s="193"/>
      <c r="J922" s="193"/>
      <c r="K922" s="193"/>
      <c r="L922" s="193"/>
      <c r="M922" s="193"/>
      <c r="N922" s="193"/>
      <c r="O922" s="193"/>
      <c r="P922" s="193"/>
      <c r="Q922" s="193"/>
      <c r="R922" s="193"/>
      <c r="S922" s="193"/>
      <c r="T922" s="193"/>
      <c r="U922" s="193"/>
      <c r="V922" s="193"/>
    </row>
    <row r="923" spans="1:22" s="191" customFormat="1">
      <c r="A923" s="193" t="s">
        <v>553</v>
      </c>
      <c r="B923" s="193">
        <v>2006</v>
      </c>
      <c r="C923" s="196">
        <v>69.835923729140703</v>
      </c>
      <c r="D923" s="196">
        <v>2.2808885419912901</v>
      </c>
      <c r="E923" s="191" t="s">
        <v>538</v>
      </c>
      <c r="G923" s="193"/>
      <c r="H923" s="193"/>
      <c r="I923" s="193"/>
      <c r="J923" s="193"/>
      <c r="K923" s="193"/>
      <c r="L923" s="193"/>
      <c r="M923" s="193"/>
      <c r="N923" s="193"/>
      <c r="O923" s="193"/>
      <c r="P923" s="193"/>
      <c r="Q923" s="193"/>
      <c r="R923" s="193"/>
      <c r="S923" s="193"/>
      <c r="T923" s="193"/>
      <c r="U923" s="193"/>
      <c r="V923" s="193"/>
    </row>
    <row r="924" spans="1:22" s="191" customFormat="1">
      <c r="A924" s="193" t="s">
        <v>553</v>
      </c>
      <c r="B924" s="193">
        <v>2007</v>
      </c>
      <c r="C924" s="196">
        <v>69.1290729812047</v>
      </c>
      <c r="D924" s="196">
        <v>3.1340917857372701</v>
      </c>
      <c r="E924" s="191" t="s">
        <v>538</v>
      </c>
      <c r="G924" s="193"/>
      <c r="H924" s="193"/>
      <c r="I924" s="193"/>
      <c r="J924" s="193"/>
      <c r="K924" s="193"/>
      <c r="L924" s="193"/>
      <c r="M924" s="193"/>
      <c r="N924" s="193"/>
      <c r="O924" s="193"/>
      <c r="P924" s="193"/>
      <c r="Q924" s="193"/>
      <c r="R924" s="193"/>
      <c r="S924" s="193"/>
      <c r="T924" s="193"/>
      <c r="U924" s="193"/>
      <c r="V924" s="193"/>
    </row>
    <row r="925" spans="1:22" s="191" customFormat="1">
      <c r="A925" s="193" t="s">
        <v>553</v>
      </c>
      <c r="B925" s="193">
        <v>2008</v>
      </c>
      <c r="C925" s="196">
        <v>71.265189980027401</v>
      </c>
      <c r="D925" s="196">
        <v>2.13213029844797</v>
      </c>
      <c r="E925" s="191" t="s">
        <v>538</v>
      </c>
      <c r="G925" s="193"/>
      <c r="H925" s="193"/>
      <c r="I925" s="193"/>
      <c r="J925" s="193"/>
      <c r="K925" s="193"/>
      <c r="L925" s="193"/>
      <c r="M925" s="193"/>
      <c r="N925" s="193"/>
      <c r="O925" s="193"/>
      <c r="P925" s="193"/>
      <c r="Q925" s="193"/>
      <c r="R925" s="193"/>
      <c r="S925" s="193"/>
      <c r="T925" s="193"/>
      <c r="U925" s="193"/>
      <c r="V925" s="193"/>
    </row>
    <row r="926" spans="1:22" s="191" customFormat="1">
      <c r="A926" s="193" t="s">
        <v>553</v>
      </c>
      <c r="B926" s="193">
        <v>2009</v>
      </c>
      <c r="C926" s="196">
        <v>80.101451176621296</v>
      </c>
      <c r="D926" s="196">
        <v>-1.9066760919030901</v>
      </c>
      <c r="E926" s="191" t="s">
        <v>538</v>
      </c>
      <c r="G926" s="193"/>
      <c r="H926" s="193"/>
      <c r="I926" s="193"/>
      <c r="J926" s="193"/>
      <c r="K926" s="193"/>
      <c r="L926" s="193"/>
      <c r="M926" s="193"/>
      <c r="N926" s="193"/>
      <c r="O926" s="193"/>
      <c r="P926" s="193"/>
      <c r="Q926" s="193"/>
      <c r="R926" s="193"/>
      <c r="S926" s="193"/>
      <c r="T926" s="193"/>
      <c r="U926" s="193"/>
      <c r="V926" s="193"/>
    </row>
    <row r="927" spans="1:22" s="191" customFormat="1">
      <c r="A927" s="193" t="s">
        <v>554</v>
      </c>
      <c r="B927" s="193">
        <v>1946</v>
      </c>
      <c r="C927" s="196">
        <v>61.199297708249397</v>
      </c>
      <c r="D927" s="196">
        <v>4.1562496723491504</v>
      </c>
      <c r="E927" s="191" t="s">
        <v>538</v>
      </c>
      <c r="G927" s="193"/>
      <c r="H927" s="193"/>
      <c r="I927" s="193"/>
      <c r="J927" s="193"/>
      <c r="K927" s="193"/>
      <c r="L927" s="193"/>
      <c r="M927" s="193"/>
      <c r="N927" s="193"/>
      <c r="O927" s="193"/>
      <c r="P927" s="193"/>
      <c r="Q927" s="193"/>
      <c r="R927" s="193"/>
      <c r="S927" s="193"/>
      <c r="T927" s="193"/>
      <c r="U927" s="193"/>
      <c r="V927" s="193"/>
    </row>
    <row r="928" spans="1:22" s="191" customFormat="1">
      <c r="A928" s="193" t="s">
        <v>554</v>
      </c>
      <c r="B928" s="193">
        <v>1947</v>
      </c>
      <c r="C928" s="196">
        <v>55.108075339252402</v>
      </c>
      <c r="D928" s="196">
        <v>1.9840148377332101</v>
      </c>
      <c r="E928" s="191" t="s">
        <v>537</v>
      </c>
      <c r="G928" s="193"/>
      <c r="H928" s="193"/>
      <c r="I928" s="193"/>
      <c r="J928" s="193"/>
      <c r="K928" s="193"/>
      <c r="L928" s="193"/>
      <c r="M928" s="193"/>
      <c r="N928" s="193"/>
      <c r="O928" s="193"/>
      <c r="P928" s="193"/>
      <c r="Q928" s="193"/>
      <c r="R928" s="193"/>
      <c r="S928" s="193"/>
      <c r="T928" s="193"/>
      <c r="U928" s="193"/>
      <c r="V928" s="193"/>
    </row>
    <row r="929" spans="1:22" s="191" customFormat="1">
      <c r="A929" s="193" t="s">
        <v>554</v>
      </c>
      <c r="B929" s="193">
        <v>1948</v>
      </c>
      <c r="C929" s="196">
        <v>55.609531530894003</v>
      </c>
      <c r="D929" s="196">
        <v>0.28195043487897498</v>
      </c>
      <c r="E929" s="191" t="s">
        <v>537</v>
      </c>
      <c r="G929" s="193"/>
      <c r="H929" s="193"/>
      <c r="I929" s="193"/>
      <c r="J929" s="193"/>
      <c r="K929" s="193"/>
      <c r="L929" s="193"/>
      <c r="M929" s="193"/>
      <c r="N929" s="193"/>
      <c r="O929" s="193"/>
      <c r="P929" s="193"/>
      <c r="Q929" s="193"/>
      <c r="R929" s="193"/>
      <c r="S929" s="193"/>
      <c r="T929" s="193"/>
      <c r="U929" s="193"/>
      <c r="V929" s="193"/>
    </row>
    <row r="930" spans="1:22" s="191" customFormat="1">
      <c r="A930" s="193" t="s">
        <v>554</v>
      </c>
      <c r="B930" s="193">
        <v>1949</v>
      </c>
      <c r="C930" s="196">
        <v>53.878367272488099</v>
      </c>
      <c r="D930" s="196">
        <v>-1.67943029228068E-2</v>
      </c>
      <c r="E930" s="191" t="s">
        <v>537</v>
      </c>
      <c r="G930" s="193"/>
      <c r="H930" s="193"/>
      <c r="I930" s="193"/>
      <c r="J930" s="193"/>
      <c r="K930" s="193"/>
      <c r="L930" s="193"/>
      <c r="M930" s="193"/>
      <c r="N930" s="193"/>
      <c r="O930" s="193"/>
      <c r="P930" s="193"/>
      <c r="Q930" s="193"/>
      <c r="R930" s="193"/>
      <c r="S930" s="193"/>
      <c r="T930" s="193"/>
      <c r="U930" s="193"/>
      <c r="V930" s="193"/>
    </row>
    <row r="931" spans="1:22" s="191" customFormat="1">
      <c r="A931" s="193" t="s">
        <v>554</v>
      </c>
      <c r="B931" s="193">
        <v>1950</v>
      </c>
      <c r="C931" s="196">
        <v>46.221943239781297</v>
      </c>
      <c r="D931" s="196">
        <v>2.0570026199612701</v>
      </c>
      <c r="E931" s="191" t="s">
        <v>537</v>
      </c>
      <c r="G931" s="193"/>
      <c r="H931" s="193"/>
      <c r="I931" s="193"/>
      <c r="J931" s="193"/>
      <c r="K931" s="193"/>
      <c r="L931" s="193"/>
      <c r="M931" s="193"/>
      <c r="N931" s="193"/>
      <c r="O931" s="193"/>
      <c r="P931" s="193"/>
      <c r="Q931" s="193"/>
      <c r="R931" s="193"/>
      <c r="S931" s="193"/>
      <c r="T931" s="193"/>
      <c r="U931" s="193"/>
      <c r="V931" s="193"/>
    </row>
    <row r="932" spans="1:22" s="191" customFormat="1">
      <c r="A932" s="193" t="s">
        <v>554</v>
      </c>
      <c r="B932" s="193">
        <v>1951</v>
      </c>
      <c r="C932" s="196">
        <v>39.961650717147599</v>
      </c>
      <c r="D932" s="196">
        <v>9.2057477826302794</v>
      </c>
      <c r="E932" s="191" t="s">
        <v>537</v>
      </c>
      <c r="G932" s="193"/>
      <c r="H932" s="193"/>
      <c r="I932" s="193"/>
      <c r="J932" s="193"/>
      <c r="K932" s="193"/>
      <c r="L932" s="193"/>
      <c r="M932" s="193"/>
      <c r="N932" s="193"/>
      <c r="O932" s="193"/>
      <c r="P932" s="193"/>
      <c r="Q932" s="193"/>
      <c r="R932" s="193"/>
      <c r="S932" s="193"/>
      <c r="T932" s="193"/>
      <c r="U932" s="193"/>
      <c r="V932" s="193"/>
    </row>
    <row r="933" spans="1:22" s="191" customFormat="1">
      <c r="A933" s="193" t="s">
        <v>554</v>
      </c>
      <c r="B933" s="193">
        <v>1952</v>
      </c>
      <c r="C933" s="196">
        <v>38.9038378036674</v>
      </c>
      <c r="D933" s="196">
        <v>8.5653380451544194</v>
      </c>
      <c r="E933" s="191" t="s">
        <v>537</v>
      </c>
      <c r="G933" s="193"/>
      <c r="H933" s="193"/>
      <c r="I933" s="193"/>
      <c r="J933" s="193"/>
      <c r="K933" s="193"/>
      <c r="L933" s="193"/>
      <c r="M933" s="193"/>
      <c r="N933" s="193"/>
      <c r="O933" s="193"/>
      <c r="P933" s="193"/>
      <c r="Q933" s="193"/>
      <c r="R933" s="193"/>
      <c r="S933" s="193"/>
      <c r="T933" s="193"/>
      <c r="U933" s="193"/>
      <c r="V933" s="193"/>
    </row>
    <row r="934" spans="1:22" s="191" customFormat="1">
      <c r="A934" s="193" t="s">
        <v>554</v>
      </c>
      <c r="B934" s="193">
        <v>1953</v>
      </c>
      <c r="C934" s="196">
        <v>40.299853092848899</v>
      </c>
      <c r="D934" s="196">
        <v>-2.87254646297752E-2</v>
      </c>
      <c r="E934" s="191" t="s">
        <v>537</v>
      </c>
      <c r="G934" s="193"/>
      <c r="H934" s="193"/>
      <c r="I934" s="193"/>
      <c r="J934" s="193"/>
      <c r="K934" s="193"/>
      <c r="L934" s="193"/>
      <c r="M934" s="193"/>
      <c r="N934" s="193"/>
      <c r="O934" s="193"/>
      <c r="P934" s="193"/>
      <c r="Q934" s="193"/>
      <c r="R934" s="193"/>
      <c r="S934" s="193"/>
      <c r="T934" s="193"/>
      <c r="U934" s="193"/>
      <c r="V934" s="193"/>
    </row>
    <row r="935" spans="1:22" s="191" customFormat="1">
      <c r="A935" s="193" t="s">
        <v>554</v>
      </c>
      <c r="B935" s="193">
        <v>1954</v>
      </c>
      <c r="C935" s="196">
        <v>37.9393484675048</v>
      </c>
      <c r="D935" s="196">
        <v>7.0976324600566603</v>
      </c>
      <c r="E935" s="191" t="s">
        <v>537</v>
      </c>
      <c r="G935" s="193"/>
      <c r="H935" s="193"/>
      <c r="I935" s="193"/>
      <c r="J935" s="193"/>
      <c r="K935" s="193"/>
      <c r="L935" s="193"/>
      <c r="M935" s="193"/>
      <c r="N935" s="193"/>
      <c r="O935" s="193"/>
      <c r="P935" s="193"/>
      <c r="Q935" s="193"/>
      <c r="R935" s="193"/>
      <c r="S935" s="193"/>
      <c r="T935" s="193"/>
      <c r="U935" s="193"/>
      <c r="V935" s="193"/>
    </row>
    <row r="936" spans="1:22" s="191" customFormat="1">
      <c r="A936" s="193" t="s">
        <v>554</v>
      </c>
      <c r="B936" s="193">
        <v>1955</v>
      </c>
      <c r="C936" s="196">
        <v>38.872555135785603</v>
      </c>
      <c r="D936" s="196">
        <v>3.3186168253964698</v>
      </c>
      <c r="E936" s="191" t="s">
        <v>537</v>
      </c>
      <c r="G936" s="193"/>
      <c r="H936" s="193"/>
      <c r="I936" s="193"/>
      <c r="J936" s="193"/>
      <c r="K936" s="193"/>
      <c r="L936" s="193"/>
      <c r="M936" s="193"/>
      <c r="N936" s="193"/>
      <c r="O936" s="193"/>
      <c r="P936" s="193"/>
      <c r="Q936" s="193"/>
      <c r="R936" s="193"/>
      <c r="S936" s="193"/>
      <c r="T936" s="193"/>
      <c r="U936" s="193"/>
      <c r="V936" s="193"/>
    </row>
    <row r="937" spans="1:22" s="191" customFormat="1">
      <c r="A937" s="193" t="s">
        <v>554</v>
      </c>
      <c r="B937" s="193">
        <v>1956</v>
      </c>
      <c r="C937" s="196">
        <v>35.290189751505103</v>
      </c>
      <c r="D937" s="196">
        <v>8.1839979216212608</v>
      </c>
      <c r="E937" s="191" t="s">
        <v>537</v>
      </c>
      <c r="G937" s="193"/>
      <c r="H937" s="193"/>
      <c r="I937" s="193"/>
      <c r="J937" s="193"/>
      <c r="K937" s="193"/>
      <c r="L937" s="193"/>
      <c r="M937" s="193"/>
      <c r="N937" s="193"/>
      <c r="O937" s="193"/>
      <c r="P937" s="193"/>
      <c r="Q937" s="193"/>
      <c r="R937" s="193"/>
      <c r="S937" s="193"/>
      <c r="T937" s="193"/>
      <c r="U937" s="193"/>
      <c r="V937" s="193"/>
    </row>
    <row r="938" spans="1:22" s="191" customFormat="1">
      <c r="A938" s="193" t="s">
        <v>554</v>
      </c>
      <c r="B938" s="193">
        <v>1957</v>
      </c>
      <c r="C938" s="196">
        <v>34.051233016679099</v>
      </c>
      <c r="D938" s="196">
        <v>3.2834265316451301</v>
      </c>
      <c r="E938" s="191" t="s">
        <v>537</v>
      </c>
      <c r="G938" s="193"/>
      <c r="H938" s="193"/>
      <c r="I938" s="193"/>
      <c r="J938" s="193"/>
      <c r="K938" s="193"/>
      <c r="L938" s="193"/>
      <c r="M938" s="193"/>
      <c r="N938" s="193"/>
      <c r="O938" s="193"/>
      <c r="P938" s="193"/>
      <c r="Q938" s="193"/>
      <c r="R938" s="193"/>
      <c r="S938" s="193"/>
      <c r="T938" s="193"/>
      <c r="U938" s="193"/>
      <c r="V938" s="193"/>
    </row>
    <row r="939" spans="1:22" s="191" customFormat="1">
      <c r="A939" s="193" t="s">
        <v>554</v>
      </c>
      <c r="B939" s="193">
        <v>1958</v>
      </c>
      <c r="C939" s="196">
        <v>30.0156438026474</v>
      </c>
      <c r="D939" s="196">
        <v>6.2750474991198697</v>
      </c>
      <c r="E939" s="191" t="s">
        <v>537</v>
      </c>
      <c r="G939" s="193"/>
      <c r="H939" s="193"/>
      <c r="I939" s="193"/>
      <c r="J939" s="193"/>
      <c r="K939" s="193"/>
      <c r="L939" s="193"/>
      <c r="M939" s="193"/>
      <c r="N939" s="193"/>
      <c r="O939" s="193"/>
      <c r="P939" s="193"/>
      <c r="Q939" s="193"/>
      <c r="R939" s="193"/>
      <c r="S939" s="193"/>
      <c r="T939" s="193"/>
      <c r="U939" s="193"/>
      <c r="V939" s="193"/>
    </row>
    <row r="940" spans="1:22" s="191" customFormat="1">
      <c r="A940" s="193" t="s">
        <v>554</v>
      </c>
      <c r="B940" s="193">
        <v>1981</v>
      </c>
      <c r="C940" s="196">
        <v>10.3996583828247</v>
      </c>
      <c r="D940" s="196">
        <v>-0.40798650681497201</v>
      </c>
      <c r="E940" s="191" t="s">
        <v>536</v>
      </c>
      <c r="G940" s="193"/>
      <c r="H940" s="193"/>
      <c r="I940" s="193"/>
      <c r="J940" s="193"/>
      <c r="K940" s="193"/>
      <c r="L940" s="193"/>
      <c r="M940" s="193"/>
      <c r="N940" s="193"/>
      <c r="O940" s="193"/>
      <c r="P940" s="193"/>
      <c r="Q940" s="193"/>
      <c r="R940" s="193"/>
      <c r="S940" s="193"/>
      <c r="T940" s="193"/>
      <c r="U940" s="193"/>
      <c r="V940" s="193"/>
    </row>
    <row r="941" spans="1:22" s="191" customFormat="1">
      <c r="A941" s="193" t="s">
        <v>554</v>
      </c>
      <c r="B941" s="193">
        <v>1982</v>
      </c>
      <c r="C941" s="196">
        <v>11.583411507192</v>
      </c>
      <c r="D941" s="196">
        <v>1.23878181550685</v>
      </c>
      <c r="E941" s="191" t="s">
        <v>536</v>
      </c>
      <c r="G941" s="193"/>
      <c r="H941" s="193"/>
      <c r="I941" s="193"/>
      <c r="J941" s="193"/>
      <c r="K941" s="193"/>
      <c r="L941" s="193"/>
      <c r="M941" s="193"/>
      <c r="N941" s="193"/>
      <c r="O941" s="193"/>
      <c r="P941" s="193"/>
      <c r="Q941" s="193"/>
      <c r="R941" s="193"/>
      <c r="S941" s="193"/>
      <c r="T941" s="193"/>
      <c r="U941" s="193"/>
      <c r="V941" s="193"/>
    </row>
    <row r="942" spans="1:22" s="191" customFormat="1">
      <c r="A942" s="193" t="s">
        <v>554</v>
      </c>
      <c r="B942" s="193">
        <v>1983</v>
      </c>
      <c r="C942" s="196">
        <v>12.9976399914182</v>
      </c>
      <c r="D942" s="196">
        <v>1.6524895528557699</v>
      </c>
      <c r="E942" s="191" t="s">
        <v>536</v>
      </c>
      <c r="G942" s="193"/>
      <c r="H942" s="193"/>
      <c r="I942" s="193"/>
      <c r="J942" s="193"/>
      <c r="K942" s="193"/>
      <c r="L942" s="193"/>
      <c r="M942" s="193"/>
      <c r="N942" s="193"/>
      <c r="O942" s="193"/>
      <c r="P942" s="193"/>
      <c r="Q942" s="193"/>
      <c r="R942" s="193"/>
      <c r="S942" s="193"/>
      <c r="T942" s="193"/>
      <c r="U942" s="193"/>
      <c r="V942" s="193"/>
    </row>
    <row r="943" spans="1:22" s="191" customFormat="1">
      <c r="A943" s="193" t="s">
        <v>554</v>
      </c>
      <c r="B943" s="193">
        <v>1984</v>
      </c>
      <c r="C943" s="196">
        <v>17.7343610374894</v>
      </c>
      <c r="D943" s="196">
        <v>1.6980598593898399</v>
      </c>
      <c r="E943" s="191" t="s">
        <v>536</v>
      </c>
      <c r="G943" s="193"/>
      <c r="H943" s="193"/>
      <c r="I943" s="193"/>
      <c r="J943" s="193"/>
      <c r="K943" s="193"/>
      <c r="L943" s="193"/>
      <c r="M943" s="193"/>
      <c r="N943" s="193"/>
      <c r="O943" s="193"/>
      <c r="P943" s="193"/>
      <c r="Q943" s="193"/>
      <c r="R943" s="193"/>
      <c r="S943" s="193"/>
      <c r="T943" s="193"/>
      <c r="U943" s="193"/>
      <c r="V943" s="193"/>
    </row>
    <row r="944" spans="1:22" s="191" customFormat="1">
      <c r="A944" s="193" t="s">
        <v>554</v>
      </c>
      <c r="B944" s="193">
        <v>1985</v>
      </c>
      <c r="C944" s="196">
        <v>30.3881375420921</v>
      </c>
      <c r="D944" s="196">
        <v>2.3616439040847799</v>
      </c>
      <c r="E944" s="191" t="s">
        <v>537</v>
      </c>
      <c r="G944" s="193"/>
      <c r="H944" s="193"/>
      <c r="I944" s="193"/>
      <c r="J944" s="193"/>
      <c r="K944" s="193"/>
      <c r="L944" s="193"/>
      <c r="M944" s="193"/>
      <c r="N944" s="193"/>
      <c r="O944" s="193"/>
      <c r="P944" s="193"/>
      <c r="Q944" s="193"/>
      <c r="R944" s="193"/>
      <c r="S944" s="193"/>
      <c r="T944" s="193"/>
      <c r="U944" s="193"/>
      <c r="V944" s="193"/>
    </row>
    <row r="945" spans="1:22" s="191" customFormat="1">
      <c r="A945" s="193" t="s">
        <v>554</v>
      </c>
      <c r="B945" s="193">
        <v>1986</v>
      </c>
      <c r="C945" s="196">
        <v>35.235126022287098</v>
      </c>
      <c r="D945" s="196">
        <v>3.4320487310636199</v>
      </c>
      <c r="E945" s="191" t="s">
        <v>537</v>
      </c>
      <c r="G945" s="193"/>
      <c r="H945" s="193"/>
      <c r="I945" s="193"/>
      <c r="J945" s="193"/>
      <c r="K945" s="193"/>
      <c r="L945" s="193"/>
      <c r="M945" s="193"/>
      <c r="N945" s="193"/>
      <c r="O945" s="193"/>
      <c r="P945" s="193"/>
      <c r="Q945" s="193"/>
      <c r="R945" s="193"/>
      <c r="S945" s="193"/>
      <c r="T945" s="193"/>
      <c r="U945" s="193"/>
      <c r="V945" s="193"/>
    </row>
    <row r="946" spans="1:22" s="191" customFormat="1">
      <c r="A946" s="193" t="s">
        <v>554</v>
      </c>
      <c r="B946" s="193">
        <v>1987</v>
      </c>
      <c r="C946" s="196">
        <v>36.2503675586089</v>
      </c>
      <c r="D946" s="196">
        <v>5.70898318787214</v>
      </c>
      <c r="E946" s="191" t="s">
        <v>537</v>
      </c>
      <c r="G946" s="193"/>
      <c r="H946" s="193"/>
      <c r="I946" s="193"/>
      <c r="J946" s="193"/>
      <c r="K946" s="193"/>
      <c r="L946" s="193"/>
      <c r="M946" s="193"/>
      <c r="N946" s="193"/>
      <c r="O946" s="193"/>
      <c r="P946" s="193"/>
      <c r="Q946" s="193"/>
      <c r="R946" s="193"/>
      <c r="S946" s="193"/>
      <c r="T946" s="193"/>
      <c r="U946" s="193"/>
      <c r="V946" s="193"/>
    </row>
    <row r="947" spans="1:22" s="191" customFormat="1">
      <c r="A947" s="193" t="s">
        <v>554</v>
      </c>
      <c r="B947" s="193">
        <v>1988</v>
      </c>
      <c r="C947" s="196">
        <v>36.683698215048899</v>
      </c>
      <c r="D947" s="196">
        <v>5.2845471723918402</v>
      </c>
      <c r="E947" s="191" t="s">
        <v>537</v>
      </c>
      <c r="G947" s="193"/>
      <c r="H947" s="193"/>
      <c r="I947" s="193"/>
      <c r="J947" s="193"/>
      <c r="K947" s="193"/>
      <c r="L947" s="193"/>
      <c r="M947" s="193"/>
      <c r="N947" s="193"/>
      <c r="O947" s="193"/>
      <c r="P947" s="193"/>
      <c r="Q947" s="193"/>
      <c r="R947" s="193"/>
      <c r="S947" s="193"/>
      <c r="T947" s="193"/>
      <c r="U947" s="193"/>
      <c r="V947" s="193"/>
    </row>
    <row r="948" spans="1:22" s="191" customFormat="1">
      <c r="A948" s="193" t="s">
        <v>554</v>
      </c>
      <c r="B948" s="193">
        <v>1989</v>
      </c>
      <c r="C948" s="196">
        <v>33.067137491188099</v>
      </c>
      <c r="D948" s="196">
        <v>5.0039236063244203</v>
      </c>
      <c r="E948" s="191" t="s">
        <v>537</v>
      </c>
      <c r="G948" s="193"/>
      <c r="H948" s="193"/>
      <c r="I948" s="193"/>
      <c r="J948" s="193"/>
      <c r="K948" s="193"/>
      <c r="L948" s="193"/>
      <c r="M948" s="193"/>
      <c r="N948" s="193"/>
      <c r="O948" s="193"/>
      <c r="P948" s="193"/>
      <c r="Q948" s="193"/>
      <c r="R948" s="193"/>
      <c r="S948" s="193"/>
      <c r="T948" s="193"/>
      <c r="U948" s="193"/>
      <c r="V948" s="193"/>
    </row>
    <row r="949" spans="1:22" s="191" customFormat="1">
      <c r="A949" s="193" t="s">
        <v>554</v>
      </c>
      <c r="B949" s="193">
        <v>1990</v>
      </c>
      <c r="C949" s="196">
        <v>34.481664092092203</v>
      </c>
      <c r="D949" s="196">
        <v>3.8464548739014299</v>
      </c>
      <c r="E949" s="191" t="s">
        <v>537</v>
      </c>
      <c r="G949" s="193"/>
      <c r="H949" s="193"/>
      <c r="I949" s="193"/>
      <c r="J949" s="193"/>
      <c r="K949" s="193"/>
      <c r="L949" s="193"/>
      <c r="M949" s="193"/>
      <c r="N949" s="193"/>
      <c r="O949" s="193"/>
      <c r="P949" s="193"/>
      <c r="Q949" s="193"/>
      <c r="R949" s="193"/>
      <c r="S949" s="193"/>
      <c r="T949" s="193"/>
      <c r="U949" s="193"/>
      <c r="V949" s="193"/>
    </row>
    <row r="950" spans="1:22" s="191" customFormat="1">
      <c r="A950" s="193" t="s">
        <v>554</v>
      </c>
      <c r="B950" s="193">
        <v>1991</v>
      </c>
      <c r="C950" s="196">
        <v>35.989719929477999</v>
      </c>
      <c r="D950" s="196">
        <v>2.5255644106449102</v>
      </c>
      <c r="E950" s="191" t="s">
        <v>537</v>
      </c>
      <c r="G950" s="193"/>
      <c r="H950" s="193"/>
      <c r="I950" s="193"/>
      <c r="J950" s="193"/>
      <c r="K950" s="193"/>
      <c r="L950" s="193"/>
      <c r="M950" s="193"/>
      <c r="N950" s="193"/>
      <c r="O950" s="193"/>
      <c r="P950" s="193"/>
      <c r="Q950" s="193"/>
      <c r="R950" s="193"/>
      <c r="S950" s="193"/>
      <c r="T950" s="193"/>
      <c r="U950" s="193"/>
      <c r="V950" s="193"/>
    </row>
    <row r="951" spans="1:22" s="191" customFormat="1">
      <c r="A951" s="193" t="s">
        <v>554</v>
      </c>
      <c r="B951" s="193">
        <v>1992</v>
      </c>
      <c r="C951" s="196">
        <v>36.114649266543097</v>
      </c>
      <c r="D951" s="196">
        <v>0.85060066113036303</v>
      </c>
      <c r="E951" s="191" t="s">
        <v>537</v>
      </c>
      <c r="G951" s="193"/>
      <c r="H951" s="193"/>
      <c r="I951" s="193"/>
      <c r="J951" s="193"/>
      <c r="K951" s="193"/>
      <c r="L951" s="193"/>
      <c r="M951" s="193"/>
      <c r="N951" s="193"/>
      <c r="O951" s="193"/>
      <c r="P951" s="193"/>
      <c r="Q951" s="193"/>
      <c r="R951" s="193"/>
      <c r="S951" s="193"/>
      <c r="T951" s="193"/>
      <c r="U951" s="193"/>
      <c r="V951" s="193"/>
    </row>
    <row r="952" spans="1:22" s="191" customFormat="1">
      <c r="A952" s="193" t="s">
        <v>554</v>
      </c>
      <c r="B952" s="193">
        <v>1993</v>
      </c>
      <c r="C952" s="196">
        <v>39.405957117194802</v>
      </c>
      <c r="D952" s="196">
        <v>-1.3136949227466601</v>
      </c>
      <c r="E952" s="191" t="s">
        <v>537</v>
      </c>
      <c r="G952" s="193"/>
      <c r="H952" s="193"/>
      <c r="I952" s="193"/>
      <c r="J952" s="193"/>
      <c r="K952" s="193"/>
      <c r="L952" s="193"/>
      <c r="M952" s="193"/>
      <c r="N952" s="193"/>
      <c r="O952" s="193"/>
      <c r="P952" s="193"/>
      <c r="Q952" s="193"/>
      <c r="R952" s="193"/>
      <c r="S952" s="193"/>
      <c r="T952" s="193"/>
      <c r="U952" s="193"/>
      <c r="V952" s="193"/>
    </row>
    <row r="953" spans="1:22" s="191" customFormat="1">
      <c r="A953" s="193" t="s">
        <v>554</v>
      </c>
      <c r="B953" s="193">
        <v>1994</v>
      </c>
      <c r="C953" s="196">
        <v>48.6878002205627</v>
      </c>
      <c r="D953" s="196">
        <v>2.3345135357944402</v>
      </c>
      <c r="E953" s="191" t="s">
        <v>537</v>
      </c>
      <c r="G953" s="193"/>
      <c r="H953" s="193"/>
      <c r="I953" s="193"/>
      <c r="J953" s="193"/>
      <c r="K953" s="193"/>
      <c r="L953" s="193"/>
      <c r="M953" s="193"/>
      <c r="N953" s="193"/>
      <c r="O953" s="193"/>
      <c r="P953" s="193"/>
      <c r="Q953" s="193"/>
      <c r="R953" s="193"/>
      <c r="S953" s="193"/>
      <c r="T953" s="193"/>
      <c r="U953" s="193"/>
      <c r="V953" s="193"/>
    </row>
    <row r="954" spans="1:22" s="191" customFormat="1">
      <c r="A954" s="193" t="s">
        <v>554</v>
      </c>
      <c r="B954" s="193">
        <v>1995</v>
      </c>
      <c r="C954" s="196">
        <v>48.767550031112002</v>
      </c>
      <c r="D954" s="196">
        <v>4.12223515715948</v>
      </c>
      <c r="E954" s="191" t="s">
        <v>537</v>
      </c>
      <c r="G954" s="193"/>
      <c r="H954" s="193"/>
      <c r="I954" s="193"/>
      <c r="J954" s="193"/>
      <c r="K954" s="193"/>
      <c r="L954" s="193"/>
      <c r="M954" s="193"/>
      <c r="N954" s="193"/>
      <c r="O954" s="193"/>
      <c r="P954" s="193"/>
      <c r="Q954" s="193"/>
      <c r="R954" s="193"/>
      <c r="S954" s="193"/>
      <c r="T954" s="193"/>
      <c r="U954" s="193"/>
      <c r="V954" s="193"/>
    </row>
    <row r="955" spans="1:22" s="191" customFormat="1">
      <c r="A955" s="193" t="s">
        <v>554</v>
      </c>
      <c r="B955" s="193">
        <v>1996</v>
      </c>
      <c r="C955" s="196">
        <v>52.162404176411798</v>
      </c>
      <c r="D955" s="196">
        <v>2.4212609429679999</v>
      </c>
      <c r="E955" s="191" t="s">
        <v>537</v>
      </c>
      <c r="G955" s="193"/>
      <c r="H955" s="193"/>
      <c r="I955" s="193"/>
      <c r="J955" s="193"/>
      <c r="K955" s="193"/>
      <c r="L955" s="193"/>
      <c r="M955" s="193"/>
      <c r="N955" s="193"/>
      <c r="O955" s="193"/>
      <c r="P955" s="193"/>
      <c r="Q955" s="193"/>
      <c r="R955" s="193"/>
      <c r="S955" s="193"/>
      <c r="T955" s="193"/>
      <c r="U955" s="193"/>
      <c r="V955" s="193"/>
    </row>
    <row r="956" spans="1:22" s="191" customFormat="1">
      <c r="A956" s="193" t="s">
        <v>554</v>
      </c>
      <c r="B956" s="193">
        <v>1997</v>
      </c>
      <c r="C956" s="196">
        <v>55.774437238059598</v>
      </c>
      <c r="D956" s="196">
        <v>3.8654420096368498</v>
      </c>
      <c r="E956" s="191" t="s">
        <v>537</v>
      </c>
      <c r="G956" s="193"/>
      <c r="H956" s="193"/>
      <c r="I956" s="193"/>
      <c r="J956" s="193"/>
      <c r="K956" s="193"/>
      <c r="L956" s="193"/>
      <c r="M956" s="193"/>
      <c r="N956" s="193"/>
      <c r="O956" s="193"/>
      <c r="P956" s="193"/>
      <c r="Q956" s="193"/>
      <c r="R956" s="193"/>
      <c r="S956" s="193"/>
      <c r="T956" s="193"/>
      <c r="U956" s="193"/>
      <c r="V956" s="193"/>
    </row>
    <row r="957" spans="1:22" s="191" customFormat="1">
      <c r="A957" s="193" t="s">
        <v>554</v>
      </c>
      <c r="B957" s="193">
        <v>1998</v>
      </c>
      <c r="C957" s="196">
        <v>55.7152386633215</v>
      </c>
      <c r="D957" s="196">
        <v>4.4688462977521297</v>
      </c>
      <c r="E957" s="191" t="s">
        <v>537</v>
      </c>
      <c r="G957" s="193"/>
      <c r="H957" s="193"/>
      <c r="I957" s="193"/>
      <c r="J957" s="193"/>
      <c r="K957" s="193"/>
      <c r="L957" s="193"/>
      <c r="M957" s="193"/>
      <c r="N957" s="193"/>
      <c r="O957" s="193"/>
      <c r="P957" s="193"/>
      <c r="Q957" s="193"/>
      <c r="R957" s="193"/>
      <c r="S957" s="193"/>
      <c r="T957" s="193"/>
      <c r="U957" s="193"/>
      <c r="V957" s="193"/>
    </row>
    <row r="958" spans="1:22" s="191" customFormat="1">
      <c r="A958" s="193" t="s">
        <v>554</v>
      </c>
      <c r="B958" s="193">
        <v>1999</v>
      </c>
      <c r="C958" s="196">
        <v>50.821806318562899</v>
      </c>
      <c r="D958" s="196">
        <v>4.7452907255159902</v>
      </c>
      <c r="E958" s="191" t="s">
        <v>537</v>
      </c>
      <c r="G958" s="193"/>
      <c r="H958" s="193"/>
      <c r="I958" s="193"/>
      <c r="J958" s="193"/>
      <c r="K958" s="193"/>
      <c r="L958" s="193"/>
      <c r="M958" s="193"/>
      <c r="N958" s="193"/>
      <c r="O958" s="193"/>
      <c r="P958" s="193"/>
      <c r="Q958" s="193"/>
      <c r="R958" s="193"/>
      <c r="S958" s="193"/>
      <c r="T958" s="193"/>
      <c r="U958" s="193"/>
      <c r="V958" s="193"/>
    </row>
    <row r="959" spans="1:22" s="191" customFormat="1">
      <c r="A959" s="193" t="s">
        <v>554</v>
      </c>
      <c r="B959" s="193">
        <v>2000</v>
      </c>
      <c r="C959" s="196">
        <v>48.440095642612697</v>
      </c>
      <c r="D959" s="196">
        <v>5.0528062821995299</v>
      </c>
      <c r="E959" s="191" t="s">
        <v>537</v>
      </c>
      <c r="G959" s="193"/>
      <c r="H959" s="193"/>
      <c r="I959" s="193"/>
      <c r="J959" s="193"/>
      <c r="K959" s="193"/>
      <c r="L959" s="193"/>
      <c r="M959" s="193"/>
      <c r="N959" s="193"/>
      <c r="O959" s="193"/>
      <c r="P959" s="193"/>
      <c r="Q959" s="193"/>
      <c r="R959" s="193"/>
      <c r="S959" s="193"/>
      <c r="T959" s="193"/>
      <c r="U959" s="193"/>
      <c r="V959" s="193"/>
    </row>
    <row r="960" spans="1:22" s="191" customFormat="1">
      <c r="A960" s="193" t="s">
        <v>554</v>
      </c>
      <c r="B960" s="193">
        <v>2001</v>
      </c>
      <c r="C960" s="196">
        <v>45.090630224570198</v>
      </c>
      <c r="D960" s="196">
        <v>3.64500096912337</v>
      </c>
      <c r="E960" s="191" t="s">
        <v>537</v>
      </c>
      <c r="G960" s="193"/>
      <c r="H960" s="193"/>
      <c r="I960" s="193"/>
      <c r="J960" s="193"/>
      <c r="K960" s="193"/>
      <c r="L960" s="193"/>
      <c r="M960" s="193"/>
      <c r="N960" s="193"/>
      <c r="O960" s="193"/>
      <c r="P960" s="193"/>
      <c r="Q960" s="193"/>
      <c r="R960" s="193"/>
      <c r="S960" s="193"/>
      <c r="T960" s="193"/>
      <c r="U960" s="193"/>
      <c r="V960" s="193"/>
    </row>
    <row r="961" spans="1:22" s="191" customFormat="1">
      <c r="A961" s="193" t="s">
        <v>554</v>
      </c>
      <c r="B961" s="193">
        <v>2002</v>
      </c>
      <c r="C961" s="196">
        <v>42.780915132349399</v>
      </c>
      <c r="D961" s="196">
        <v>2.70385660350729</v>
      </c>
      <c r="E961" s="191" t="s">
        <v>537</v>
      </c>
      <c r="G961" s="193"/>
      <c r="H961" s="193"/>
      <c r="I961" s="193"/>
      <c r="J961" s="193"/>
      <c r="K961" s="193"/>
      <c r="L961" s="193"/>
      <c r="M961" s="193"/>
      <c r="N961" s="193"/>
      <c r="O961" s="193"/>
      <c r="P961" s="193"/>
      <c r="Q961" s="193"/>
      <c r="R961" s="193"/>
      <c r="S961" s="193"/>
      <c r="T961" s="193"/>
      <c r="U961" s="193"/>
      <c r="V961" s="193"/>
    </row>
    <row r="962" spans="1:22" s="191" customFormat="1">
      <c r="A962" s="193" t="s">
        <v>554</v>
      </c>
      <c r="B962" s="193">
        <v>2003</v>
      </c>
      <c r="C962" s="196">
        <v>39.484423236334301</v>
      </c>
      <c r="D962" s="196">
        <v>3.0976765278813301</v>
      </c>
      <c r="E962" s="191" t="s">
        <v>537</v>
      </c>
      <c r="G962" s="193"/>
      <c r="H962" s="193"/>
      <c r="I962" s="193"/>
      <c r="J962" s="193"/>
      <c r="K962" s="193"/>
      <c r="L962" s="193"/>
      <c r="M962" s="193"/>
      <c r="N962" s="193"/>
      <c r="O962" s="193"/>
      <c r="P962" s="193"/>
      <c r="Q962" s="193"/>
      <c r="R962" s="193"/>
      <c r="S962" s="193"/>
      <c r="T962" s="193"/>
      <c r="U962" s="193"/>
      <c r="V962" s="193"/>
    </row>
    <row r="963" spans="1:22" s="191" customFormat="1">
      <c r="A963" s="193" t="s">
        <v>554</v>
      </c>
      <c r="B963" s="193">
        <v>2004</v>
      </c>
      <c r="C963" s="196">
        <v>37.947450900192898</v>
      </c>
      <c r="D963" s="196">
        <v>3.2665254865631699</v>
      </c>
      <c r="E963" s="191" t="s">
        <v>537</v>
      </c>
      <c r="G963" s="193"/>
      <c r="H963" s="193"/>
      <c r="I963" s="193"/>
      <c r="J963" s="193"/>
      <c r="K963" s="193"/>
      <c r="L963" s="193"/>
      <c r="M963" s="193"/>
      <c r="N963" s="193"/>
      <c r="O963" s="193"/>
      <c r="P963" s="193"/>
      <c r="Q963" s="193"/>
      <c r="R963" s="193"/>
      <c r="S963" s="193"/>
      <c r="T963" s="193"/>
      <c r="U963" s="193"/>
      <c r="V963" s="193"/>
    </row>
    <row r="964" spans="1:22" s="191" customFormat="1">
      <c r="A964" s="193" t="s">
        <v>554</v>
      </c>
      <c r="B964" s="193">
        <v>2005</v>
      </c>
      <c r="C964" s="196">
        <v>35.119367247951097</v>
      </c>
      <c r="D964" s="196">
        <v>3.6154531256050499</v>
      </c>
      <c r="E964" s="191" t="s">
        <v>537</v>
      </c>
      <c r="G964" s="193"/>
      <c r="H964" s="193"/>
      <c r="I964" s="193"/>
      <c r="J964" s="193"/>
      <c r="K964" s="193"/>
      <c r="L964" s="193"/>
      <c r="M964" s="193"/>
      <c r="N964" s="193"/>
      <c r="O964" s="193"/>
      <c r="P964" s="193"/>
      <c r="Q964" s="193"/>
      <c r="R964" s="193"/>
      <c r="S964" s="193"/>
      <c r="T964" s="193"/>
      <c r="U964" s="193"/>
      <c r="V964" s="193"/>
    </row>
    <row r="965" spans="1:22" s="191" customFormat="1">
      <c r="A965" s="193" t="s">
        <v>554</v>
      </c>
      <c r="B965" s="193">
        <v>2006</v>
      </c>
      <c r="C965" s="196">
        <v>31.744598103799301</v>
      </c>
      <c r="D965" s="196">
        <v>4.0173343797493599</v>
      </c>
      <c r="E965" s="191" t="s">
        <v>537</v>
      </c>
      <c r="G965" s="193"/>
      <c r="H965" s="193"/>
      <c r="I965" s="193"/>
      <c r="J965" s="193"/>
      <c r="K965" s="193"/>
      <c r="L965" s="193"/>
      <c r="M965" s="193"/>
      <c r="N965" s="193"/>
      <c r="O965" s="193"/>
      <c r="P965" s="193"/>
      <c r="Q965" s="193"/>
      <c r="R965" s="193"/>
      <c r="S965" s="193"/>
      <c r="T965" s="193"/>
      <c r="U965" s="193"/>
      <c r="V965" s="193"/>
    </row>
    <row r="966" spans="1:22" s="191" customFormat="1">
      <c r="A966" s="193" t="s">
        <v>554</v>
      </c>
      <c r="B966" s="193">
        <v>2007</v>
      </c>
      <c r="C966" s="196">
        <v>29.178231835323398</v>
      </c>
      <c r="D966" s="196">
        <v>3.56531749679263</v>
      </c>
      <c r="E966" s="191" t="s">
        <v>536</v>
      </c>
      <c r="G966" s="193"/>
      <c r="H966" s="193"/>
      <c r="I966" s="193"/>
      <c r="J966" s="193"/>
      <c r="K966" s="193"/>
      <c r="L966" s="193"/>
      <c r="M966" s="193"/>
      <c r="N966" s="193"/>
      <c r="O966" s="193"/>
      <c r="P966" s="193"/>
      <c r="Q966" s="193"/>
      <c r="R966" s="193"/>
      <c r="S966" s="193"/>
      <c r="T966" s="193"/>
      <c r="U966" s="193"/>
      <c r="V966" s="193"/>
    </row>
    <row r="967" spans="1:22" s="191" customFormat="1">
      <c r="A967" s="193" t="s">
        <v>554</v>
      </c>
      <c r="B967" s="193">
        <v>2008</v>
      </c>
      <c r="C967" s="196">
        <v>32.928341754708299</v>
      </c>
      <c r="D967" s="196">
        <v>0.85572999405902905</v>
      </c>
      <c r="E967" s="191" t="s">
        <v>537</v>
      </c>
      <c r="G967" s="193"/>
      <c r="H967" s="193"/>
      <c r="I967" s="193"/>
      <c r="J967" s="193"/>
      <c r="K967" s="193"/>
      <c r="L967" s="193"/>
      <c r="M967" s="193"/>
      <c r="N967" s="193"/>
      <c r="O967" s="193"/>
      <c r="P967" s="193"/>
      <c r="Q967" s="193"/>
      <c r="R967" s="193"/>
      <c r="S967" s="193"/>
      <c r="T967" s="193"/>
      <c r="U967" s="193"/>
      <c r="V967" s="193"/>
    </row>
    <row r="968" spans="1:22" s="191" customFormat="1">
      <c r="A968" s="193" t="s">
        <v>554</v>
      </c>
      <c r="B968" s="193">
        <v>2009</v>
      </c>
      <c r="C968" s="196">
        <v>42.542680365122401</v>
      </c>
      <c r="D968" s="196">
        <v>-3.7672327428922801</v>
      </c>
      <c r="E968" s="191" t="s">
        <v>537</v>
      </c>
      <c r="G968" s="193"/>
      <c r="H968" s="193"/>
      <c r="I968" s="193"/>
      <c r="J968" s="193"/>
      <c r="K968" s="193"/>
      <c r="L968" s="193"/>
      <c r="M968" s="193"/>
      <c r="N968" s="193"/>
      <c r="O968" s="193"/>
      <c r="P968" s="193"/>
      <c r="Q968" s="193"/>
      <c r="R968" s="193"/>
      <c r="S968" s="193"/>
      <c r="T968" s="193"/>
      <c r="U968" s="193"/>
      <c r="V968" s="193"/>
    </row>
    <row r="969" spans="1:22" s="191" customFormat="1">
      <c r="A969" s="193" t="s">
        <v>555</v>
      </c>
      <c r="B969" s="193">
        <v>1946</v>
      </c>
      <c r="C969" s="196">
        <v>47.243371492153102</v>
      </c>
      <c r="D969" s="196">
        <v>11.3994033107838</v>
      </c>
      <c r="E969" s="191" t="s">
        <v>537</v>
      </c>
      <c r="G969" s="193"/>
      <c r="H969" s="193"/>
      <c r="I969" s="193"/>
      <c r="J969" s="193"/>
      <c r="K969" s="193"/>
      <c r="L969" s="193"/>
      <c r="M969" s="193"/>
      <c r="N969" s="193"/>
      <c r="O969" s="193"/>
      <c r="P969" s="193"/>
      <c r="Q969" s="193"/>
      <c r="R969" s="193"/>
      <c r="S969" s="193"/>
      <c r="T969" s="193"/>
      <c r="U969" s="193"/>
      <c r="V969" s="193"/>
    </row>
    <row r="970" spans="1:22" s="191" customFormat="1">
      <c r="A970" s="193" t="s">
        <v>555</v>
      </c>
      <c r="B970" s="193">
        <v>1947</v>
      </c>
      <c r="C970" s="196">
        <v>42.214742722963003</v>
      </c>
      <c r="D970" s="196">
        <v>7.9366447629307402</v>
      </c>
      <c r="E970" s="191" t="s">
        <v>537</v>
      </c>
      <c r="G970" s="193"/>
      <c r="H970" s="193"/>
      <c r="I970" s="193"/>
      <c r="J970" s="193"/>
      <c r="K970" s="193"/>
      <c r="L970" s="193"/>
      <c r="M970" s="193"/>
      <c r="N970" s="193"/>
      <c r="O970" s="193"/>
      <c r="P970" s="193"/>
      <c r="Q970" s="193"/>
      <c r="R970" s="193"/>
      <c r="S970" s="193"/>
      <c r="T970" s="193"/>
      <c r="U970" s="193"/>
      <c r="V970" s="193"/>
    </row>
    <row r="971" spans="1:22" s="191" customFormat="1">
      <c r="A971" s="193" t="s">
        <v>555</v>
      </c>
      <c r="B971" s="193">
        <v>1948</v>
      </c>
      <c r="C971" s="196">
        <v>39.839170017349097</v>
      </c>
      <c r="D971" s="196">
        <v>2.31577956591134</v>
      </c>
      <c r="E971" s="191" t="s">
        <v>537</v>
      </c>
      <c r="G971" s="193"/>
      <c r="H971" s="193"/>
      <c r="I971" s="193"/>
      <c r="J971" s="193"/>
      <c r="K971" s="193"/>
      <c r="L971" s="193"/>
      <c r="M971" s="193"/>
      <c r="N971" s="193"/>
      <c r="O971" s="193"/>
      <c r="P971" s="193"/>
      <c r="Q971" s="193"/>
      <c r="R971" s="193"/>
      <c r="S971" s="193"/>
      <c r="T971" s="193"/>
      <c r="U971" s="193"/>
      <c r="V971" s="193"/>
    </row>
    <row r="972" spans="1:22" s="191" customFormat="1">
      <c r="A972" s="193" t="s">
        <v>555</v>
      </c>
      <c r="B972" s="193">
        <v>1949</v>
      </c>
      <c r="C972" s="196">
        <v>39.262870901927997</v>
      </c>
      <c r="D972" s="196">
        <v>2.9491260000628698</v>
      </c>
      <c r="E972" s="191" t="s">
        <v>537</v>
      </c>
      <c r="G972" s="193"/>
      <c r="H972" s="193"/>
      <c r="I972" s="193"/>
      <c r="J972" s="193"/>
      <c r="K972" s="193"/>
      <c r="L972" s="193"/>
      <c r="M972" s="193"/>
      <c r="N972" s="193"/>
      <c r="O972" s="193"/>
      <c r="P972" s="193"/>
      <c r="Q972" s="193"/>
      <c r="R972" s="193"/>
      <c r="S972" s="193"/>
      <c r="T972" s="193"/>
      <c r="U972" s="193"/>
      <c r="V972" s="193"/>
    </row>
    <row r="973" spans="1:22" s="191" customFormat="1">
      <c r="A973" s="193" t="s">
        <v>555</v>
      </c>
      <c r="B973" s="193">
        <v>1950</v>
      </c>
      <c r="C973" s="196">
        <v>38.869830973616899</v>
      </c>
      <c r="D973" s="196">
        <v>6.0078469025313304</v>
      </c>
      <c r="E973" s="191" t="s">
        <v>537</v>
      </c>
      <c r="G973" s="193"/>
      <c r="H973" s="193"/>
      <c r="I973" s="193"/>
      <c r="J973" s="193"/>
      <c r="K973" s="193"/>
      <c r="L973" s="193"/>
      <c r="M973" s="193"/>
      <c r="N973" s="193"/>
      <c r="O973" s="193"/>
      <c r="P973" s="193"/>
      <c r="Q973" s="193"/>
      <c r="R973" s="193"/>
      <c r="S973" s="193"/>
      <c r="T973" s="193"/>
      <c r="U973" s="193"/>
      <c r="V973" s="193"/>
    </row>
    <row r="974" spans="1:22" s="191" customFormat="1">
      <c r="A974" s="193" t="s">
        <v>555</v>
      </c>
      <c r="B974" s="193">
        <v>1951</v>
      </c>
      <c r="C974" s="196">
        <v>32.387038112797697</v>
      </c>
      <c r="D974" s="196">
        <v>2.9771284842307102</v>
      </c>
      <c r="E974" s="191" t="s">
        <v>537</v>
      </c>
      <c r="G974" s="193"/>
      <c r="H974" s="193"/>
      <c r="I974" s="193"/>
      <c r="J974" s="193"/>
      <c r="K974" s="193"/>
      <c r="L974" s="193"/>
      <c r="M974" s="193"/>
      <c r="N974" s="193"/>
      <c r="O974" s="193"/>
      <c r="P974" s="193"/>
      <c r="Q974" s="193"/>
      <c r="R974" s="193"/>
      <c r="S974" s="193"/>
      <c r="T974" s="193"/>
      <c r="U974" s="193"/>
      <c r="V974" s="193"/>
    </row>
    <row r="975" spans="1:22" s="191" customFormat="1">
      <c r="A975" s="193" t="s">
        <v>555</v>
      </c>
      <c r="B975" s="193">
        <v>1952</v>
      </c>
      <c r="C975" s="196">
        <v>29.4492458119975</v>
      </c>
      <c r="D975" s="196">
        <v>0.56360978736174105</v>
      </c>
      <c r="E975" s="191" t="s">
        <v>536</v>
      </c>
      <c r="G975" s="193"/>
      <c r="H975" s="193"/>
      <c r="I975" s="193"/>
      <c r="J975" s="193"/>
      <c r="K975" s="193"/>
      <c r="L975" s="193"/>
      <c r="M975" s="193"/>
      <c r="N975" s="193"/>
      <c r="O975" s="193"/>
      <c r="P975" s="193"/>
      <c r="Q975" s="193"/>
      <c r="R975" s="193"/>
      <c r="S975" s="193"/>
      <c r="T975" s="193"/>
      <c r="U975" s="193"/>
      <c r="V975" s="193"/>
    </row>
    <row r="976" spans="1:22" s="191" customFormat="1">
      <c r="A976" s="193" t="s">
        <v>555</v>
      </c>
      <c r="B976" s="193">
        <v>1953</v>
      </c>
      <c r="C976" s="196">
        <v>31.172221347075599</v>
      </c>
      <c r="D976" s="196">
        <v>4.0344231004395503</v>
      </c>
      <c r="E976" s="191" t="s">
        <v>537</v>
      </c>
      <c r="G976" s="193"/>
      <c r="H976" s="193"/>
      <c r="I976" s="193"/>
      <c r="J976" s="193"/>
      <c r="K976" s="193"/>
      <c r="L976" s="193"/>
      <c r="M976" s="193"/>
      <c r="N976" s="193"/>
      <c r="O976" s="193"/>
      <c r="P976" s="193"/>
      <c r="Q976" s="193"/>
      <c r="R976" s="193"/>
      <c r="S976" s="193"/>
      <c r="T976" s="193"/>
      <c r="U976" s="193"/>
      <c r="V976" s="193"/>
    </row>
    <row r="977" spans="1:22" s="191" customFormat="1">
      <c r="A977" s="193" t="s">
        <v>555</v>
      </c>
      <c r="B977" s="193">
        <v>1954</v>
      </c>
      <c r="C977" s="196">
        <v>31.851350493876801</v>
      </c>
      <c r="D977" s="196">
        <v>5.2782633630408702</v>
      </c>
      <c r="E977" s="191" t="s">
        <v>537</v>
      </c>
      <c r="G977" s="193"/>
      <c r="H977" s="193"/>
      <c r="I977" s="193"/>
      <c r="J977" s="193"/>
      <c r="K977" s="193"/>
      <c r="L977" s="193"/>
      <c r="M977" s="193"/>
      <c r="N977" s="193"/>
      <c r="O977" s="193"/>
      <c r="P977" s="193"/>
      <c r="Q977" s="193"/>
      <c r="R977" s="193"/>
      <c r="S977" s="193"/>
      <c r="T977" s="193"/>
      <c r="U977" s="193"/>
      <c r="V977" s="193"/>
    </row>
    <row r="978" spans="1:22" s="191" customFormat="1">
      <c r="A978" s="193" t="s">
        <v>555</v>
      </c>
      <c r="B978" s="193">
        <v>1955</v>
      </c>
      <c r="C978" s="196">
        <v>31.6386959686781</v>
      </c>
      <c r="D978" s="196">
        <v>2.8107866050271801</v>
      </c>
      <c r="E978" s="191" t="s">
        <v>537</v>
      </c>
      <c r="G978" s="193"/>
      <c r="H978" s="193"/>
      <c r="I978" s="193"/>
      <c r="J978" s="193"/>
      <c r="K978" s="193"/>
      <c r="L978" s="193"/>
      <c r="M978" s="193"/>
      <c r="N978" s="193"/>
      <c r="O978" s="193"/>
      <c r="P978" s="193"/>
      <c r="Q978" s="193"/>
      <c r="R978" s="193"/>
      <c r="S978" s="193"/>
      <c r="T978" s="193"/>
      <c r="U978" s="193"/>
      <c r="V978" s="193"/>
    </row>
    <row r="979" spans="1:22" s="191" customFormat="1">
      <c r="A979" s="193" t="s">
        <v>555</v>
      </c>
      <c r="B979" s="193">
        <v>1956</v>
      </c>
      <c r="C979" s="196">
        <v>30.712695280679199</v>
      </c>
      <c r="D979" s="196">
        <v>3.4941008799367799</v>
      </c>
      <c r="E979" s="191" t="s">
        <v>537</v>
      </c>
      <c r="G979" s="193"/>
      <c r="H979" s="193"/>
      <c r="I979" s="193"/>
      <c r="J979" s="193"/>
      <c r="K979" s="193"/>
      <c r="L979" s="193"/>
      <c r="M979" s="193"/>
      <c r="N979" s="193"/>
      <c r="O979" s="193"/>
      <c r="P979" s="193"/>
      <c r="Q979" s="193"/>
      <c r="R979" s="193"/>
      <c r="S979" s="193"/>
      <c r="T979" s="193"/>
      <c r="U979" s="193"/>
      <c r="V979" s="193"/>
    </row>
    <row r="980" spans="1:22" s="191" customFormat="1">
      <c r="A980" s="193" t="s">
        <v>555</v>
      </c>
      <c r="B980" s="193">
        <v>1957</v>
      </c>
      <c r="C980" s="196">
        <v>32.384715838746303</v>
      </c>
      <c r="D980" s="196">
        <v>3.08230437820629</v>
      </c>
      <c r="E980" s="191" t="s">
        <v>537</v>
      </c>
      <c r="G980" s="193"/>
      <c r="H980" s="193"/>
      <c r="I980" s="193"/>
      <c r="J980" s="193"/>
      <c r="K980" s="193"/>
      <c r="L980" s="193"/>
      <c r="M980" s="193"/>
      <c r="N980" s="193"/>
      <c r="O980" s="193"/>
      <c r="P980" s="193"/>
      <c r="Q980" s="193"/>
      <c r="R980" s="193"/>
      <c r="S980" s="193"/>
      <c r="T980" s="193"/>
      <c r="U980" s="193"/>
      <c r="V980" s="193"/>
    </row>
    <row r="981" spans="1:22" s="191" customFormat="1">
      <c r="A981" s="193" t="s">
        <v>555</v>
      </c>
      <c r="B981" s="193">
        <v>1958</v>
      </c>
      <c r="C981" s="196">
        <v>31.879426359825899</v>
      </c>
      <c r="D981" s="196">
        <v>3.6392377736958599</v>
      </c>
      <c r="E981" s="191" t="s">
        <v>537</v>
      </c>
      <c r="G981" s="193"/>
      <c r="H981" s="193"/>
      <c r="I981" s="193"/>
      <c r="J981" s="193"/>
      <c r="K981" s="193"/>
      <c r="L981" s="193"/>
      <c r="M981" s="193"/>
      <c r="N981" s="193"/>
      <c r="O981" s="193"/>
      <c r="P981" s="193"/>
      <c r="Q981" s="193"/>
      <c r="R981" s="193"/>
      <c r="S981" s="193"/>
      <c r="T981" s="193"/>
      <c r="U981" s="193"/>
      <c r="V981" s="193"/>
    </row>
    <row r="982" spans="1:22" s="191" customFormat="1">
      <c r="A982" s="193" t="s">
        <v>555</v>
      </c>
      <c r="B982" s="193">
        <v>1959</v>
      </c>
      <c r="C982" s="196">
        <v>32.8658766699374</v>
      </c>
      <c r="D982" s="196">
        <v>4.7004653545521098</v>
      </c>
      <c r="E982" s="191" t="s">
        <v>537</v>
      </c>
      <c r="G982" s="193"/>
      <c r="H982" s="193"/>
      <c r="I982" s="193"/>
      <c r="J982" s="193"/>
      <c r="K982" s="193"/>
      <c r="L982" s="193"/>
      <c r="M982" s="193"/>
      <c r="N982" s="193"/>
      <c r="O982" s="193"/>
      <c r="P982" s="193"/>
      <c r="Q982" s="193"/>
      <c r="R982" s="193"/>
      <c r="S982" s="193"/>
      <c r="T982" s="193"/>
      <c r="U982" s="193"/>
      <c r="V982" s="193"/>
    </row>
    <row r="983" spans="1:22" s="191" customFormat="1">
      <c r="A983" s="193" t="s">
        <v>555</v>
      </c>
      <c r="B983" s="193">
        <v>1960</v>
      </c>
      <c r="C983" s="196">
        <v>31.5544407644018</v>
      </c>
      <c r="D983" s="196">
        <v>5.6229558910258604</v>
      </c>
      <c r="E983" s="191" t="s">
        <v>537</v>
      </c>
      <c r="G983" s="193"/>
      <c r="H983" s="193"/>
      <c r="I983" s="193"/>
      <c r="J983" s="193"/>
      <c r="K983" s="193"/>
      <c r="L983" s="193"/>
      <c r="M983" s="193"/>
      <c r="N983" s="193"/>
      <c r="O983" s="193"/>
      <c r="P983" s="193"/>
      <c r="Q983" s="193"/>
      <c r="R983" s="193"/>
      <c r="S983" s="193"/>
      <c r="T983" s="193"/>
      <c r="U983" s="193"/>
      <c r="V983" s="193"/>
    </row>
    <row r="984" spans="1:22" s="191" customFormat="1">
      <c r="A984" s="193" t="s">
        <v>555</v>
      </c>
      <c r="B984" s="193">
        <v>1961</v>
      </c>
      <c r="C984" s="196">
        <v>28.5423193499911</v>
      </c>
      <c r="D984" s="196">
        <v>5.0915188960289202</v>
      </c>
      <c r="E984" s="191" t="s">
        <v>536</v>
      </c>
      <c r="G984" s="193"/>
      <c r="H984" s="193"/>
      <c r="I984" s="193"/>
      <c r="J984" s="193"/>
      <c r="K984" s="193"/>
      <c r="L984" s="193"/>
      <c r="M984" s="193"/>
      <c r="N984" s="193"/>
      <c r="O984" s="193"/>
      <c r="P984" s="193"/>
      <c r="Q984" s="193"/>
      <c r="R984" s="193"/>
      <c r="S984" s="193"/>
      <c r="T984" s="193"/>
      <c r="U984" s="193"/>
      <c r="V984" s="193"/>
    </row>
    <row r="985" spans="1:22" s="191" customFormat="1">
      <c r="A985" s="193" t="s">
        <v>555</v>
      </c>
      <c r="B985" s="193">
        <v>1962</v>
      </c>
      <c r="C985" s="196">
        <v>25.030517864688498</v>
      </c>
      <c r="D985" s="196">
        <v>6.0475553376963598</v>
      </c>
      <c r="E985" s="191" t="s">
        <v>536</v>
      </c>
      <c r="G985" s="193"/>
      <c r="H985" s="193"/>
      <c r="I985" s="193"/>
      <c r="J985" s="193"/>
      <c r="K985" s="193"/>
      <c r="L985" s="193"/>
      <c r="M985" s="193"/>
      <c r="N985" s="193"/>
      <c r="O985" s="193"/>
      <c r="P985" s="193"/>
      <c r="Q985" s="193"/>
      <c r="R985" s="193"/>
      <c r="S985" s="193"/>
      <c r="T985" s="193"/>
      <c r="U985" s="193"/>
      <c r="V985" s="193"/>
    </row>
    <row r="986" spans="1:22" s="191" customFormat="1">
      <c r="A986" s="193" t="s">
        <v>555</v>
      </c>
      <c r="B986" s="193">
        <v>1963</v>
      </c>
      <c r="C986" s="196">
        <v>23.644335051149898</v>
      </c>
      <c r="D986" s="196">
        <v>5.2707268027036598</v>
      </c>
      <c r="E986" s="191" t="s">
        <v>536</v>
      </c>
      <c r="G986" s="193"/>
      <c r="H986" s="193"/>
      <c r="I986" s="193"/>
      <c r="J986" s="193"/>
      <c r="K986" s="193"/>
      <c r="L986" s="193"/>
      <c r="M986" s="193"/>
      <c r="N986" s="193"/>
      <c r="O986" s="193"/>
      <c r="P986" s="193"/>
      <c r="Q986" s="193"/>
      <c r="R986" s="193"/>
      <c r="S986" s="193"/>
      <c r="T986" s="193"/>
      <c r="U986" s="193"/>
      <c r="V986" s="193"/>
    </row>
    <row r="987" spans="1:22" s="191" customFormat="1">
      <c r="A987" s="193" t="s">
        <v>555</v>
      </c>
      <c r="B987" s="193">
        <v>1964</v>
      </c>
      <c r="C987" s="196">
        <v>21.4456003467707</v>
      </c>
      <c r="D987" s="196">
        <v>8.0303933007580994</v>
      </c>
      <c r="E987" s="191" t="s">
        <v>536</v>
      </c>
      <c r="G987" s="193"/>
      <c r="H987" s="193"/>
      <c r="I987" s="193"/>
      <c r="J987" s="193"/>
      <c r="K987" s="193"/>
      <c r="L987" s="193"/>
      <c r="M987" s="193"/>
      <c r="N987" s="193"/>
      <c r="O987" s="193"/>
      <c r="P987" s="193"/>
      <c r="Q987" s="193"/>
      <c r="R987" s="193"/>
      <c r="S987" s="193"/>
      <c r="T987" s="193"/>
      <c r="U987" s="193"/>
      <c r="V987" s="193"/>
    </row>
    <row r="988" spans="1:22" s="191" customFormat="1">
      <c r="A988" s="193" t="s">
        <v>555</v>
      </c>
      <c r="B988" s="193">
        <v>1965</v>
      </c>
      <c r="C988" s="196">
        <v>19.264937670153301</v>
      </c>
      <c r="D988" s="196">
        <v>5.10999792918276</v>
      </c>
      <c r="E988" s="191" t="s">
        <v>536</v>
      </c>
      <c r="G988" s="193"/>
      <c r="H988" s="193"/>
      <c r="I988" s="193"/>
      <c r="J988" s="193"/>
      <c r="K988" s="193"/>
      <c r="L988" s="193"/>
      <c r="M988" s="193"/>
      <c r="N988" s="193"/>
      <c r="O988" s="193"/>
      <c r="P988" s="193"/>
      <c r="Q988" s="193"/>
      <c r="R988" s="193"/>
      <c r="S988" s="193"/>
      <c r="T988" s="193"/>
      <c r="U988" s="193"/>
      <c r="V988" s="193"/>
    </row>
    <row r="989" spans="1:22" s="191" customFormat="1">
      <c r="A989" s="193" t="s">
        <v>555</v>
      </c>
      <c r="B989" s="193">
        <v>1966</v>
      </c>
      <c r="C989" s="196">
        <v>19.081213975019899</v>
      </c>
      <c r="D989" s="196">
        <v>4.3749374454756103</v>
      </c>
      <c r="E989" s="191" t="s">
        <v>536</v>
      </c>
      <c r="G989" s="193"/>
      <c r="H989" s="193"/>
      <c r="I989" s="193"/>
      <c r="J989" s="193"/>
      <c r="K989" s="193"/>
      <c r="L989" s="193"/>
      <c r="M989" s="193"/>
      <c r="N989" s="193"/>
      <c r="O989" s="193"/>
      <c r="P989" s="193"/>
      <c r="Q989" s="193"/>
      <c r="R989" s="193"/>
      <c r="S989" s="193"/>
      <c r="T989" s="193"/>
      <c r="U989" s="193"/>
      <c r="V989" s="193"/>
    </row>
    <row r="990" spans="1:22" s="191" customFormat="1">
      <c r="A990" s="193" t="s">
        <v>555</v>
      </c>
      <c r="B990" s="193">
        <v>1967</v>
      </c>
      <c r="C990" s="196">
        <v>19.5190283646056</v>
      </c>
      <c r="D990" s="196">
        <v>3.2085376117403399</v>
      </c>
      <c r="E990" s="191" t="s">
        <v>536</v>
      </c>
      <c r="G990" s="193"/>
      <c r="H990" s="193"/>
      <c r="I990" s="193"/>
      <c r="J990" s="193"/>
      <c r="K990" s="193"/>
      <c r="L990" s="193"/>
      <c r="M990" s="193"/>
      <c r="N990" s="193"/>
      <c r="O990" s="193"/>
      <c r="P990" s="193"/>
      <c r="Q990" s="193"/>
      <c r="R990" s="193"/>
      <c r="S990" s="193"/>
      <c r="T990" s="193"/>
      <c r="U990" s="193"/>
      <c r="V990" s="193"/>
    </row>
    <row r="991" spans="1:22" s="191" customFormat="1">
      <c r="A991" s="193" t="s">
        <v>555</v>
      </c>
      <c r="B991" s="193">
        <v>1968</v>
      </c>
      <c r="C991" s="196">
        <v>21.007827229617799</v>
      </c>
      <c r="D991" s="196">
        <v>4.4058384111220104</v>
      </c>
      <c r="E991" s="191" t="s">
        <v>536</v>
      </c>
      <c r="G991" s="193"/>
      <c r="H991" s="193"/>
      <c r="I991" s="193"/>
      <c r="J991" s="193"/>
      <c r="K991" s="193"/>
      <c r="L991" s="193"/>
      <c r="M991" s="193"/>
      <c r="N991" s="193"/>
      <c r="O991" s="193"/>
      <c r="P991" s="193"/>
      <c r="Q991" s="193"/>
      <c r="R991" s="193"/>
      <c r="S991" s="193"/>
      <c r="T991" s="193"/>
      <c r="U991" s="193"/>
      <c r="V991" s="193"/>
    </row>
    <row r="992" spans="1:22" s="191" customFormat="1">
      <c r="A992" s="193" t="s">
        <v>555</v>
      </c>
      <c r="B992" s="193">
        <v>1969</v>
      </c>
      <c r="C992" s="196">
        <v>26.256351600965001</v>
      </c>
      <c r="D992" s="196">
        <v>5.6192938965014898</v>
      </c>
      <c r="E992" s="191" t="s">
        <v>536</v>
      </c>
      <c r="G992" s="193"/>
      <c r="H992" s="193"/>
      <c r="I992" s="193"/>
      <c r="J992" s="193"/>
      <c r="K992" s="193"/>
      <c r="L992" s="193"/>
      <c r="M992" s="193"/>
      <c r="N992" s="193"/>
      <c r="O992" s="193"/>
      <c r="P992" s="193"/>
      <c r="Q992" s="193"/>
      <c r="R992" s="193"/>
      <c r="S992" s="193"/>
      <c r="T992" s="193"/>
      <c r="U992" s="193"/>
      <c r="V992" s="193"/>
    </row>
    <row r="993" spans="1:22" s="191" customFormat="1">
      <c r="A993" s="193" t="s">
        <v>555</v>
      </c>
      <c r="B993" s="193">
        <v>1970</v>
      </c>
      <c r="C993" s="196">
        <v>20.9927653199865</v>
      </c>
      <c r="D993" s="196">
        <v>5.5901037335187098</v>
      </c>
      <c r="E993" s="191" t="s">
        <v>536</v>
      </c>
      <c r="G993" s="193"/>
      <c r="H993" s="193"/>
      <c r="I993" s="193"/>
      <c r="J993" s="193"/>
      <c r="K993" s="193"/>
      <c r="L993" s="193"/>
      <c r="M993" s="193"/>
      <c r="N993" s="193"/>
      <c r="O993" s="193"/>
      <c r="P993" s="193"/>
      <c r="Q993" s="193"/>
      <c r="R993" s="193"/>
      <c r="S993" s="193"/>
      <c r="T993" s="193"/>
      <c r="U993" s="193"/>
      <c r="V993" s="193"/>
    </row>
    <row r="994" spans="1:22" s="191" customFormat="1">
      <c r="A994" s="193" t="s">
        <v>555</v>
      </c>
      <c r="B994" s="193">
        <v>1971</v>
      </c>
      <c r="C994" s="196">
        <v>20.8286120881776</v>
      </c>
      <c r="D994" s="196">
        <v>0.301218113903712</v>
      </c>
      <c r="E994" s="191" t="s">
        <v>536</v>
      </c>
      <c r="G994" s="193"/>
      <c r="H994" s="193"/>
      <c r="I994" s="193"/>
      <c r="J994" s="193"/>
      <c r="K994" s="193"/>
      <c r="L994" s="193"/>
      <c r="M994" s="193"/>
      <c r="N994" s="193"/>
      <c r="O994" s="193"/>
      <c r="P994" s="193"/>
      <c r="Q994" s="193"/>
      <c r="R994" s="193"/>
      <c r="S994" s="193"/>
      <c r="T994" s="193"/>
      <c r="U994" s="193"/>
      <c r="V994" s="193"/>
    </row>
    <row r="995" spans="1:22" s="191" customFormat="1">
      <c r="A995" s="193" t="s">
        <v>555</v>
      </c>
      <c r="B995" s="193">
        <v>1972</v>
      </c>
      <c r="C995" s="196">
        <v>22.1517682741291</v>
      </c>
      <c r="D995" s="196">
        <v>3.3021638705464702</v>
      </c>
      <c r="E995" s="191" t="s">
        <v>536</v>
      </c>
      <c r="G995" s="193"/>
      <c r="H995" s="193"/>
      <c r="I995" s="193"/>
      <c r="J995" s="193"/>
      <c r="K995" s="193"/>
      <c r="L995" s="193"/>
      <c r="M995" s="193"/>
      <c r="N995" s="193"/>
      <c r="O995" s="193"/>
      <c r="P995" s="193"/>
      <c r="Q995" s="193"/>
      <c r="R995" s="193"/>
      <c r="S995" s="193"/>
      <c r="T995" s="193"/>
      <c r="U995" s="193"/>
      <c r="V995" s="193"/>
    </row>
    <row r="996" spans="1:22" s="191" customFormat="1">
      <c r="A996" s="193" t="s">
        <v>555</v>
      </c>
      <c r="B996" s="193">
        <v>1973</v>
      </c>
      <c r="C996" s="196">
        <v>22.618900610379999</v>
      </c>
      <c r="D996" s="196">
        <v>3.9506838172381098</v>
      </c>
      <c r="E996" s="191" t="s">
        <v>536</v>
      </c>
      <c r="G996" s="193"/>
      <c r="H996" s="193"/>
      <c r="I996" s="193"/>
      <c r="J996" s="193"/>
      <c r="K996" s="193"/>
      <c r="L996" s="193"/>
      <c r="M996" s="193"/>
      <c r="N996" s="193"/>
      <c r="O996" s="193"/>
      <c r="P996" s="193"/>
      <c r="Q996" s="193"/>
      <c r="R996" s="193"/>
      <c r="S996" s="193"/>
      <c r="T996" s="193"/>
      <c r="U996" s="193"/>
      <c r="V996" s="193"/>
    </row>
    <row r="997" spans="1:22" s="191" customFormat="1">
      <c r="A997" s="193" t="s">
        <v>555</v>
      </c>
      <c r="B997" s="193">
        <v>1974</v>
      </c>
      <c r="C997" s="196">
        <v>24.212207225321801</v>
      </c>
      <c r="D997" s="196">
        <v>2.23094606806464</v>
      </c>
      <c r="E997" s="191" t="s">
        <v>536</v>
      </c>
      <c r="G997" s="193"/>
      <c r="H997" s="193"/>
      <c r="I997" s="193"/>
      <c r="J997" s="193"/>
      <c r="K997" s="193"/>
      <c r="L997" s="193"/>
      <c r="M997" s="193"/>
      <c r="N997" s="193"/>
      <c r="O997" s="193"/>
      <c r="P997" s="193"/>
      <c r="Q997" s="193"/>
      <c r="R997" s="193"/>
      <c r="S997" s="193"/>
      <c r="T997" s="193"/>
      <c r="U997" s="193"/>
      <c r="V997" s="193"/>
    </row>
    <row r="998" spans="1:22" s="191" customFormat="1">
      <c r="A998" s="193" t="s">
        <v>555</v>
      </c>
      <c r="B998" s="193">
        <v>1975</v>
      </c>
      <c r="C998" s="196">
        <v>24.425087687218401</v>
      </c>
      <c r="D998" s="196">
        <v>2.0890713247135402</v>
      </c>
      <c r="E998" s="191" t="s">
        <v>536</v>
      </c>
      <c r="G998" s="193"/>
      <c r="H998" s="193"/>
      <c r="I998" s="193"/>
      <c r="J998" s="193"/>
      <c r="K998" s="193"/>
      <c r="L998" s="193"/>
      <c r="M998" s="193"/>
      <c r="N998" s="193"/>
      <c r="O998" s="193"/>
      <c r="P998" s="193"/>
      <c r="Q998" s="193"/>
      <c r="R998" s="193"/>
      <c r="S998" s="193"/>
      <c r="T998" s="193"/>
      <c r="U998" s="193"/>
      <c r="V998" s="193"/>
    </row>
    <row r="999" spans="1:22" s="191" customFormat="1">
      <c r="A999" s="193" t="s">
        <v>555</v>
      </c>
      <c r="B999" s="193">
        <v>1976</v>
      </c>
      <c r="C999" s="196">
        <v>23.636598794228</v>
      </c>
      <c r="D999" s="196">
        <v>0.44740370078000202</v>
      </c>
      <c r="E999" s="191" t="s">
        <v>536</v>
      </c>
      <c r="G999" s="193"/>
      <c r="H999" s="193"/>
      <c r="I999" s="193"/>
      <c r="J999" s="193"/>
      <c r="K999" s="193"/>
      <c r="L999" s="193"/>
      <c r="M999" s="193"/>
      <c r="N999" s="193"/>
      <c r="O999" s="193"/>
      <c r="P999" s="193"/>
      <c r="Q999" s="193"/>
      <c r="R999" s="193"/>
      <c r="S999" s="193"/>
      <c r="T999" s="193"/>
      <c r="U999" s="193"/>
      <c r="V999" s="193"/>
    </row>
    <row r="1000" spans="1:22" s="191" customFormat="1">
      <c r="A1000" s="193" t="s">
        <v>555</v>
      </c>
      <c r="B1000" s="193">
        <v>1977</v>
      </c>
      <c r="C1000" s="196">
        <v>26.480206261350901</v>
      </c>
      <c r="D1000" s="196">
        <v>-1.4210690044923899</v>
      </c>
      <c r="E1000" s="191" t="s">
        <v>536</v>
      </c>
      <c r="G1000" s="193"/>
      <c r="H1000" s="193"/>
      <c r="I1000" s="193"/>
      <c r="J1000" s="193"/>
      <c r="K1000" s="193"/>
      <c r="L1000" s="193"/>
      <c r="M1000" s="193"/>
      <c r="N1000" s="193"/>
      <c r="O1000" s="193"/>
      <c r="P1000" s="193"/>
      <c r="Q1000" s="193"/>
      <c r="R1000" s="193"/>
      <c r="S1000" s="193"/>
      <c r="T1000" s="193"/>
      <c r="U1000" s="193"/>
      <c r="V1000" s="193"/>
    </row>
    <row r="1001" spans="1:22" s="191" customFormat="1">
      <c r="A1001" s="193" t="s">
        <v>555</v>
      </c>
      <c r="B1001" s="193">
        <v>1978</v>
      </c>
      <c r="C1001" s="196">
        <v>31.8038550127288</v>
      </c>
      <c r="D1001" s="196">
        <v>2.21634933001982</v>
      </c>
      <c r="E1001" s="191" t="s">
        <v>537</v>
      </c>
      <c r="G1001" s="193"/>
      <c r="H1001" s="193"/>
      <c r="I1001" s="193"/>
      <c r="J1001" s="193"/>
      <c r="K1001" s="193"/>
      <c r="L1001" s="193"/>
      <c r="M1001" s="193"/>
      <c r="N1001" s="193"/>
      <c r="O1001" s="193"/>
      <c r="P1001" s="193"/>
      <c r="Q1001" s="193"/>
      <c r="R1001" s="193"/>
      <c r="S1001" s="193"/>
      <c r="T1001" s="193"/>
      <c r="U1001" s="193"/>
      <c r="V1001" s="193"/>
    </row>
    <row r="1002" spans="1:22" s="191" customFormat="1">
      <c r="A1002" s="193" t="s">
        <v>555</v>
      </c>
      <c r="B1002" s="193">
        <v>1979</v>
      </c>
      <c r="C1002" s="196">
        <v>37.884998496670001</v>
      </c>
      <c r="D1002" s="196">
        <v>3.9561894488423501</v>
      </c>
      <c r="E1002" s="191" t="s">
        <v>537</v>
      </c>
      <c r="G1002" s="193"/>
      <c r="H1002" s="193"/>
      <c r="I1002" s="193"/>
      <c r="J1002" s="193"/>
      <c r="K1002" s="193"/>
      <c r="L1002" s="193"/>
      <c r="M1002" s="193"/>
      <c r="N1002" s="193"/>
      <c r="O1002" s="193"/>
      <c r="P1002" s="193"/>
      <c r="Q1002" s="193"/>
      <c r="R1002" s="193"/>
      <c r="S1002" s="193"/>
      <c r="T1002" s="193"/>
      <c r="U1002" s="193"/>
      <c r="V1002" s="193"/>
    </row>
    <row r="1003" spans="1:22" s="191" customFormat="1">
      <c r="A1003" s="193" t="s">
        <v>555</v>
      </c>
      <c r="B1003" s="193">
        <v>1980</v>
      </c>
      <c r="C1003" s="196">
        <v>41.851248949562603</v>
      </c>
      <c r="D1003" s="196">
        <v>2.5989449667655999</v>
      </c>
      <c r="E1003" s="191" t="s">
        <v>537</v>
      </c>
      <c r="G1003" s="193"/>
      <c r="H1003" s="193"/>
      <c r="I1003" s="193"/>
      <c r="J1003" s="193"/>
      <c r="K1003" s="193"/>
      <c r="L1003" s="193"/>
      <c r="M1003" s="193"/>
      <c r="N1003" s="193"/>
      <c r="O1003" s="193"/>
      <c r="P1003" s="193"/>
      <c r="Q1003" s="193"/>
      <c r="R1003" s="193"/>
      <c r="S1003" s="193"/>
      <c r="T1003" s="193"/>
      <c r="U1003" s="193"/>
      <c r="V1003" s="193"/>
    </row>
    <row r="1004" spans="1:22" s="191" customFormat="1">
      <c r="A1004" s="193" t="s">
        <v>555</v>
      </c>
      <c r="B1004" s="193">
        <v>1981</v>
      </c>
      <c r="C1004" s="196">
        <v>49.312175314384099</v>
      </c>
      <c r="D1004" s="196">
        <v>-0.20224195810596399</v>
      </c>
      <c r="E1004" s="191" t="s">
        <v>537</v>
      </c>
      <c r="G1004" s="193"/>
      <c r="H1004" s="193"/>
      <c r="I1004" s="193"/>
      <c r="J1004" s="193"/>
      <c r="K1004" s="193"/>
      <c r="L1004" s="193"/>
      <c r="M1004" s="193"/>
      <c r="N1004" s="193"/>
      <c r="O1004" s="193"/>
      <c r="P1004" s="193"/>
      <c r="Q1004" s="193"/>
      <c r="R1004" s="193"/>
      <c r="S1004" s="193"/>
      <c r="T1004" s="193"/>
      <c r="U1004" s="193"/>
      <c r="V1004" s="193"/>
    </row>
    <row r="1005" spans="1:22" s="191" customFormat="1">
      <c r="A1005" s="193" t="s">
        <v>555</v>
      </c>
      <c r="B1005" s="193">
        <v>1982</v>
      </c>
      <c r="C1005" s="196">
        <v>57.4758071768359</v>
      </c>
      <c r="D1005" s="196">
        <v>1.19311671732401</v>
      </c>
      <c r="E1005" s="191" t="s">
        <v>537</v>
      </c>
      <c r="G1005" s="193"/>
      <c r="H1005" s="193"/>
      <c r="I1005" s="193"/>
      <c r="J1005" s="193"/>
      <c r="K1005" s="193"/>
      <c r="L1005" s="193"/>
      <c r="M1005" s="193"/>
      <c r="N1005" s="193"/>
      <c r="O1005" s="193"/>
      <c r="P1005" s="193"/>
      <c r="Q1005" s="193"/>
      <c r="R1005" s="193"/>
      <c r="S1005" s="193"/>
      <c r="T1005" s="193"/>
      <c r="U1005" s="193"/>
      <c r="V1005" s="193"/>
    </row>
    <row r="1006" spans="1:22" s="191" customFormat="1">
      <c r="A1006" s="193" t="s">
        <v>555</v>
      </c>
      <c r="B1006" s="193">
        <v>1983</v>
      </c>
      <c r="C1006" s="196">
        <v>62.506078164516602</v>
      </c>
      <c r="D1006" s="196">
        <v>1.8097593451918099</v>
      </c>
      <c r="E1006" s="191" t="s">
        <v>538</v>
      </c>
      <c r="G1006" s="193"/>
      <c r="H1006" s="193"/>
      <c r="I1006" s="193"/>
      <c r="J1006" s="193"/>
      <c r="K1006" s="193"/>
      <c r="L1006" s="193"/>
      <c r="M1006" s="193"/>
      <c r="N1006" s="193"/>
      <c r="O1006" s="193"/>
      <c r="P1006" s="193"/>
      <c r="Q1006" s="193"/>
      <c r="R1006" s="193"/>
      <c r="S1006" s="193"/>
      <c r="T1006" s="193"/>
      <c r="U1006" s="193"/>
      <c r="V1006" s="193"/>
    </row>
    <row r="1007" spans="1:22" s="191" customFormat="1">
      <c r="A1007" s="193" t="s">
        <v>555</v>
      </c>
      <c r="B1007" s="193">
        <v>1984</v>
      </c>
      <c r="C1007" s="196">
        <v>64.715124752456106</v>
      </c>
      <c r="D1007" s="196">
        <v>4.2712937925111696</v>
      </c>
      <c r="E1007" s="191" t="s">
        <v>538</v>
      </c>
      <c r="G1007" s="193"/>
      <c r="H1007" s="193"/>
      <c r="I1007" s="193"/>
      <c r="J1007" s="193"/>
      <c r="K1007" s="193"/>
      <c r="L1007" s="193"/>
      <c r="M1007" s="193"/>
      <c r="N1007" s="193"/>
      <c r="O1007" s="193"/>
      <c r="P1007" s="193"/>
      <c r="Q1007" s="193"/>
      <c r="R1007" s="193"/>
      <c r="S1007" s="193"/>
      <c r="T1007" s="193"/>
      <c r="U1007" s="193"/>
      <c r="V1007" s="193"/>
    </row>
    <row r="1008" spans="1:22" s="191" customFormat="1">
      <c r="A1008" s="193" t="s">
        <v>555</v>
      </c>
      <c r="B1008" s="193">
        <v>1985</v>
      </c>
      <c r="C1008" s="196">
        <v>66.206429757467006</v>
      </c>
      <c r="D1008" s="196">
        <v>2.1896632576639901</v>
      </c>
      <c r="E1008" s="191" t="s">
        <v>538</v>
      </c>
      <c r="G1008" s="193"/>
      <c r="H1008" s="193"/>
      <c r="I1008" s="193"/>
      <c r="J1008" s="193"/>
      <c r="K1008" s="193"/>
      <c r="L1008" s="193"/>
      <c r="M1008" s="193"/>
      <c r="N1008" s="193"/>
      <c r="O1008" s="193"/>
      <c r="P1008" s="193"/>
      <c r="Q1008" s="193"/>
      <c r="R1008" s="193"/>
      <c r="S1008" s="193"/>
      <c r="T1008" s="193"/>
      <c r="U1008" s="193"/>
      <c r="V1008" s="193"/>
    </row>
    <row r="1009" spans="1:22" s="191" customFormat="1">
      <c r="A1009" s="193" t="s">
        <v>555</v>
      </c>
      <c r="B1009" s="193">
        <v>1986</v>
      </c>
      <c r="C1009" s="196">
        <v>64.021890601798702</v>
      </c>
      <c r="D1009" s="196">
        <v>2.8610674774038198</v>
      </c>
      <c r="E1009" s="191" t="s">
        <v>538</v>
      </c>
      <c r="G1009" s="193"/>
      <c r="H1009" s="193"/>
      <c r="I1009" s="193"/>
      <c r="J1009" s="193"/>
      <c r="K1009" s="193"/>
      <c r="L1009" s="193"/>
      <c r="M1009" s="193"/>
      <c r="N1009" s="193"/>
      <c r="O1009" s="193"/>
      <c r="P1009" s="193"/>
      <c r="Q1009" s="193"/>
      <c r="R1009" s="193"/>
      <c r="S1009" s="193"/>
      <c r="T1009" s="193"/>
      <c r="U1009" s="193"/>
      <c r="V1009" s="193"/>
    </row>
    <row r="1010" spans="1:22" s="191" customFormat="1">
      <c r="A1010" s="193" t="s">
        <v>555</v>
      </c>
      <c r="B1010" s="193">
        <v>1987</v>
      </c>
      <c r="C1010" s="196">
        <v>58.2613499115227</v>
      </c>
      <c r="D1010" s="196">
        <v>3.4571354855971599</v>
      </c>
      <c r="E1010" s="191" t="s">
        <v>537</v>
      </c>
      <c r="G1010" s="193"/>
      <c r="H1010" s="193"/>
      <c r="I1010" s="193"/>
      <c r="J1010" s="193"/>
      <c r="K1010" s="193"/>
      <c r="L1010" s="193"/>
      <c r="M1010" s="193"/>
      <c r="N1010" s="193"/>
      <c r="O1010" s="193"/>
      <c r="P1010" s="193"/>
      <c r="Q1010" s="193"/>
      <c r="R1010" s="193"/>
      <c r="S1010" s="193"/>
      <c r="T1010" s="193"/>
      <c r="U1010" s="193"/>
      <c r="V1010" s="193"/>
    </row>
    <row r="1011" spans="1:22" s="191" customFormat="1">
      <c r="A1011" s="193" t="s">
        <v>555</v>
      </c>
      <c r="B1011" s="193">
        <v>1988</v>
      </c>
      <c r="C1011" s="196">
        <v>52.333802381851299</v>
      </c>
      <c r="D1011" s="196">
        <v>2.6664311386509501</v>
      </c>
      <c r="E1011" s="191" t="s">
        <v>537</v>
      </c>
      <c r="G1011" s="193"/>
      <c r="H1011" s="193"/>
      <c r="I1011" s="193"/>
      <c r="J1011" s="193"/>
      <c r="K1011" s="193"/>
      <c r="L1011" s="193"/>
      <c r="M1011" s="193"/>
      <c r="N1011" s="193"/>
      <c r="O1011" s="193"/>
      <c r="P1011" s="193"/>
      <c r="Q1011" s="193"/>
      <c r="R1011" s="193"/>
      <c r="S1011" s="193"/>
      <c r="T1011" s="193"/>
      <c r="U1011" s="193"/>
      <c r="V1011" s="193"/>
    </row>
    <row r="1012" spans="1:22" s="191" customFormat="1">
      <c r="A1012" s="193" t="s">
        <v>555</v>
      </c>
      <c r="B1012" s="193">
        <v>1989</v>
      </c>
      <c r="C1012" s="196">
        <v>46.396582386143997</v>
      </c>
      <c r="D1012" s="196">
        <v>2.77913350141807</v>
      </c>
      <c r="E1012" s="191" t="s">
        <v>537</v>
      </c>
      <c r="G1012" s="193"/>
      <c r="H1012" s="193"/>
      <c r="I1012" s="193"/>
      <c r="J1012" s="193"/>
      <c r="K1012" s="193"/>
      <c r="L1012" s="193"/>
      <c r="M1012" s="193"/>
      <c r="N1012" s="193"/>
      <c r="O1012" s="193"/>
      <c r="P1012" s="193"/>
      <c r="Q1012" s="193"/>
      <c r="R1012" s="193"/>
      <c r="S1012" s="193"/>
      <c r="T1012" s="193"/>
      <c r="U1012" s="193"/>
      <c r="V1012" s="193"/>
    </row>
    <row r="1013" spans="1:22" s="191" customFormat="1">
      <c r="A1013" s="193" t="s">
        <v>555</v>
      </c>
      <c r="B1013" s="193">
        <v>1990</v>
      </c>
      <c r="C1013" s="196">
        <v>43.517749855778</v>
      </c>
      <c r="D1013" s="196">
        <v>1.01028834275949</v>
      </c>
      <c r="E1013" s="191" t="s">
        <v>537</v>
      </c>
      <c r="G1013" s="193"/>
      <c r="H1013" s="193"/>
      <c r="I1013" s="193"/>
      <c r="J1013" s="193"/>
      <c r="K1013" s="193"/>
      <c r="L1013" s="193"/>
      <c r="M1013" s="193"/>
      <c r="N1013" s="193"/>
      <c r="O1013" s="193"/>
      <c r="P1013" s="193"/>
      <c r="Q1013" s="193"/>
      <c r="R1013" s="193"/>
      <c r="S1013" s="193"/>
      <c r="T1013" s="193"/>
      <c r="U1013" s="193"/>
      <c r="V1013" s="193"/>
    </row>
    <row r="1014" spans="1:22" s="191" customFormat="1">
      <c r="A1014" s="193" t="s">
        <v>555</v>
      </c>
      <c r="B1014" s="193">
        <v>1991</v>
      </c>
      <c r="C1014" s="196">
        <v>45.217782824031502</v>
      </c>
      <c r="D1014" s="196">
        <v>-1.1212866822901899</v>
      </c>
      <c r="E1014" s="191" t="s">
        <v>537</v>
      </c>
      <c r="G1014" s="193"/>
      <c r="H1014" s="193"/>
      <c r="I1014" s="193"/>
      <c r="J1014" s="193"/>
      <c r="K1014" s="193"/>
      <c r="L1014" s="193"/>
      <c r="M1014" s="193"/>
      <c r="N1014" s="193"/>
      <c r="O1014" s="193"/>
      <c r="P1014" s="193"/>
      <c r="Q1014" s="193"/>
      <c r="R1014" s="193"/>
      <c r="S1014" s="193"/>
      <c r="T1014" s="193"/>
      <c r="U1014" s="193"/>
      <c r="V1014" s="193"/>
    </row>
    <row r="1015" spans="1:22" s="191" customFormat="1">
      <c r="A1015" s="193" t="s">
        <v>555</v>
      </c>
      <c r="B1015" s="193">
        <v>1992</v>
      </c>
      <c r="C1015" s="196">
        <v>57.592096143535301</v>
      </c>
      <c r="D1015" s="196">
        <v>-1.20351128195971</v>
      </c>
      <c r="E1015" s="191" t="s">
        <v>537</v>
      </c>
      <c r="G1015" s="193"/>
      <c r="H1015" s="193"/>
      <c r="I1015" s="193"/>
      <c r="J1015" s="193"/>
      <c r="K1015" s="193"/>
      <c r="L1015" s="193"/>
      <c r="M1015" s="193"/>
      <c r="N1015" s="193"/>
      <c r="O1015" s="193"/>
      <c r="P1015" s="193"/>
      <c r="Q1015" s="193"/>
      <c r="R1015" s="193"/>
      <c r="S1015" s="193"/>
      <c r="T1015" s="193"/>
      <c r="U1015" s="193"/>
      <c r="V1015" s="193"/>
    </row>
    <row r="1016" spans="1:22" s="191" customFormat="1">
      <c r="A1016" s="193" t="s">
        <v>555</v>
      </c>
      <c r="B1016" s="193">
        <v>1993</v>
      </c>
      <c r="C1016" s="196">
        <v>71.9640519137144</v>
      </c>
      <c r="D1016" s="196">
        <v>-2.0577861113298002</v>
      </c>
      <c r="E1016" s="191" t="s">
        <v>538</v>
      </c>
      <c r="G1016" s="193"/>
      <c r="H1016" s="193"/>
      <c r="I1016" s="193"/>
      <c r="J1016" s="193"/>
      <c r="K1016" s="193"/>
      <c r="L1016" s="193"/>
      <c r="M1016" s="193"/>
      <c r="N1016" s="193"/>
      <c r="O1016" s="193"/>
      <c r="P1016" s="193"/>
      <c r="Q1016" s="193"/>
      <c r="R1016" s="193"/>
      <c r="S1016" s="193"/>
      <c r="T1016" s="193"/>
      <c r="U1016" s="193"/>
      <c r="V1016" s="193"/>
    </row>
    <row r="1017" spans="1:22" s="191" customFormat="1">
      <c r="A1017" s="193" t="s">
        <v>555</v>
      </c>
      <c r="B1017" s="193">
        <v>1994</v>
      </c>
      <c r="C1017" s="196">
        <v>76.620493336033107</v>
      </c>
      <c r="D1017" s="196">
        <v>3.9468574695596499</v>
      </c>
      <c r="E1017" s="191" t="s">
        <v>538</v>
      </c>
      <c r="G1017" s="193"/>
      <c r="H1017" s="193"/>
      <c r="I1017" s="193"/>
      <c r="J1017" s="193"/>
      <c r="K1017" s="193"/>
      <c r="L1017" s="193"/>
      <c r="M1017" s="193"/>
      <c r="N1017" s="193"/>
      <c r="O1017" s="193"/>
      <c r="P1017" s="193"/>
      <c r="Q1017" s="193"/>
      <c r="R1017" s="193"/>
      <c r="S1017" s="193"/>
      <c r="T1017" s="193"/>
      <c r="U1017" s="193"/>
      <c r="V1017" s="193"/>
    </row>
    <row r="1018" spans="1:22" s="191" customFormat="1">
      <c r="A1018" s="193" t="s">
        <v>555</v>
      </c>
      <c r="B1018" s="193">
        <v>1995</v>
      </c>
      <c r="C1018" s="196">
        <v>76.5938577490938</v>
      </c>
      <c r="D1018" s="196">
        <v>3.9730566020473899</v>
      </c>
      <c r="E1018" s="191" t="s">
        <v>538</v>
      </c>
      <c r="G1018" s="193"/>
      <c r="H1018" s="193"/>
      <c r="I1018" s="193"/>
      <c r="J1018" s="193"/>
      <c r="K1018" s="193"/>
      <c r="L1018" s="193"/>
      <c r="M1018" s="193"/>
      <c r="N1018" s="193"/>
      <c r="O1018" s="193"/>
      <c r="P1018" s="193"/>
      <c r="Q1018" s="193"/>
      <c r="R1018" s="193"/>
      <c r="S1018" s="193"/>
      <c r="T1018" s="193"/>
      <c r="U1018" s="193"/>
      <c r="V1018" s="193"/>
    </row>
    <row r="1019" spans="1:22" s="191" customFormat="1">
      <c r="A1019" s="193" t="s">
        <v>555</v>
      </c>
      <c r="B1019" s="193">
        <v>1996</v>
      </c>
      <c r="C1019" s="196">
        <v>76.194623371434403</v>
      </c>
      <c r="D1019" s="196">
        <v>1.46052038207654</v>
      </c>
      <c r="E1019" s="191" t="s">
        <v>538</v>
      </c>
      <c r="G1019" s="193"/>
      <c r="H1019" s="193"/>
      <c r="I1019" s="193"/>
      <c r="J1019" s="193"/>
      <c r="K1019" s="193"/>
      <c r="L1019" s="193"/>
      <c r="M1019" s="193"/>
      <c r="N1019" s="193"/>
      <c r="O1019" s="193"/>
      <c r="P1019" s="193"/>
      <c r="Q1019" s="193"/>
      <c r="R1019" s="193"/>
      <c r="S1019" s="193"/>
      <c r="T1019" s="193"/>
      <c r="U1019" s="193"/>
      <c r="V1019" s="193"/>
    </row>
    <row r="1020" spans="1:22" s="191" customFormat="1">
      <c r="A1020" s="193" t="s">
        <v>555</v>
      </c>
      <c r="B1020" s="193">
        <v>1997</v>
      </c>
      <c r="C1020" s="196">
        <v>74.316346652828202</v>
      </c>
      <c r="D1020" s="196">
        <v>2.4602815703182301</v>
      </c>
      <c r="E1020" s="191" t="s">
        <v>538</v>
      </c>
      <c r="G1020" s="193"/>
      <c r="H1020" s="193"/>
      <c r="I1020" s="193"/>
      <c r="J1020" s="193"/>
      <c r="K1020" s="193"/>
      <c r="L1020" s="193"/>
      <c r="M1020" s="193"/>
      <c r="N1020" s="193"/>
      <c r="O1020" s="193"/>
      <c r="P1020" s="193"/>
      <c r="Q1020" s="193"/>
      <c r="R1020" s="193"/>
      <c r="S1020" s="193"/>
      <c r="T1020" s="193"/>
      <c r="U1020" s="193"/>
      <c r="V1020" s="193"/>
    </row>
    <row r="1021" spans="1:22" s="191" customFormat="1">
      <c r="A1021" s="193" t="s">
        <v>555</v>
      </c>
      <c r="B1021" s="193">
        <v>1998</v>
      </c>
      <c r="C1021" s="196">
        <v>72.007663673096104</v>
      </c>
      <c r="D1021" s="196">
        <v>3.8139455208220601</v>
      </c>
      <c r="E1021" s="191" t="s">
        <v>538</v>
      </c>
      <c r="G1021" s="193"/>
      <c r="H1021" s="193"/>
      <c r="I1021" s="193"/>
      <c r="J1021" s="193"/>
      <c r="K1021" s="193"/>
      <c r="L1021" s="193"/>
      <c r="M1021" s="193"/>
      <c r="N1021" s="193"/>
      <c r="O1021" s="193"/>
      <c r="P1021" s="193"/>
      <c r="Q1021" s="193"/>
      <c r="R1021" s="193"/>
      <c r="S1021" s="193"/>
      <c r="T1021" s="193"/>
      <c r="U1021" s="193"/>
      <c r="V1021" s="193"/>
    </row>
    <row r="1022" spans="1:22" s="191" customFormat="1">
      <c r="A1022" s="193" t="s">
        <v>555</v>
      </c>
      <c r="B1022" s="193">
        <v>1999</v>
      </c>
      <c r="C1022" s="196">
        <v>64.698606854145794</v>
      </c>
      <c r="D1022" s="196">
        <v>4.5954028499961597</v>
      </c>
      <c r="E1022" s="191" t="s">
        <v>538</v>
      </c>
      <c r="G1022" s="193"/>
      <c r="H1022" s="193"/>
      <c r="I1022" s="193"/>
      <c r="J1022" s="193"/>
      <c r="K1022" s="193"/>
      <c r="L1022" s="193"/>
      <c r="M1022" s="193"/>
      <c r="N1022" s="193"/>
      <c r="O1022" s="193"/>
      <c r="P1022" s="193"/>
      <c r="Q1022" s="193"/>
      <c r="R1022" s="193"/>
      <c r="S1022" s="193"/>
      <c r="T1022" s="193"/>
      <c r="U1022" s="193"/>
      <c r="V1022" s="193"/>
    </row>
    <row r="1023" spans="1:22" s="191" customFormat="1">
      <c r="A1023" s="193" t="s">
        <v>555</v>
      </c>
      <c r="B1023" s="193">
        <v>2000</v>
      </c>
      <c r="C1023" s="196">
        <v>56.853808239147703</v>
      </c>
      <c r="D1023" s="196">
        <v>4.3989324335485396</v>
      </c>
      <c r="E1023" s="191" t="s">
        <v>537</v>
      </c>
      <c r="G1023" s="193"/>
      <c r="H1023" s="193"/>
      <c r="I1023" s="193"/>
      <c r="J1023" s="193"/>
      <c r="K1023" s="193"/>
      <c r="L1023" s="193"/>
      <c r="M1023" s="193"/>
      <c r="N1023" s="193"/>
      <c r="O1023" s="193"/>
      <c r="P1023" s="193"/>
      <c r="Q1023" s="193"/>
      <c r="R1023" s="193"/>
      <c r="S1023" s="193"/>
      <c r="T1023" s="193"/>
      <c r="U1023" s="193"/>
      <c r="V1023" s="193"/>
    </row>
    <row r="1024" spans="1:22" s="191" customFormat="1">
      <c r="A1024" s="193" t="s">
        <v>555</v>
      </c>
      <c r="B1024" s="193">
        <v>2001</v>
      </c>
      <c r="C1024" s="196">
        <v>49.730760302298201</v>
      </c>
      <c r="D1024" s="196">
        <v>1.05773944471679</v>
      </c>
      <c r="E1024" s="191" t="s">
        <v>537</v>
      </c>
      <c r="G1024" s="193"/>
      <c r="H1024" s="193"/>
      <c r="I1024" s="193"/>
      <c r="J1024" s="193"/>
      <c r="K1024" s="193"/>
      <c r="L1024" s="193"/>
      <c r="M1024" s="193"/>
      <c r="N1024" s="193"/>
      <c r="O1024" s="193"/>
      <c r="P1024" s="193"/>
      <c r="Q1024" s="193"/>
      <c r="R1024" s="193"/>
      <c r="S1024" s="193"/>
      <c r="T1024" s="193"/>
      <c r="U1024" s="193"/>
      <c r="V1024" s="193"/>
    </row>
    <row r="1025" spans="1:22" s="191" customFormat="1">
      <c r="A1025" s="193" t="s">
        <v>555</v>
      </c>
      <c r="B1025" s="193">
        <v>2002</v>
      </c>
      <c r="C1025" s="196">
        <v>47.932426180207898</v>
      </c>
      <c r="D1025" s="196">
        <v>2.41130871594777</v>
      </c>
      <c r="E1025" s="191" t="s">
        <v>537</v>
      </c>
      <c r="G1025" s="193"/>
      <c r="H1025" s="193"/>
      <c r="I1025" s="193"/>
      <c r="J1025" s="193"/>
      <c r="K1025" s="193"/>
      <c r="L1025" s="193"/>
      <c r="M1025" s="193"/>
      <c r="N1025" s="193"/>
      <c r="O1025" s="193"/>
      <c r="P1025" s="193"/>
      <c r="Q1025" s="193"/>
      <c r="R1025" s="193"/>
      <c r="S1025" s="193"/>
      <c r="T1025" s="193"/>
      <c r="U1025" s="193"/>
      <c r="V1025" s="193"/>
    </row>
    <row r="1026" spans="1:22" s="191" customFormat="1">
      <c r="A1026" s="193" t="s">
        <v>555</v>
      </c>
      <c r="B1026" s="193">
        <v>2003</v>
      </c>
      <c r="C1026" s="196">
        <v>48.853567381667098</v>
      </c>
      <c r="D1026" s="196">
        <v>1.9125969353443799</v>
      </c>
      <c r="E1026" s="191" t="s">
        <v>537</v>
      </c>
      <c r="G1026" s="193"/>
      <c r="H1026" s="193"/>
      <c r="I1026" s="193"/>
      <c r="J1026" s="193"/>
      <c r="K1026" s="193"/>
      <c r="L1026" s="193"/>
      <c r="M1026" s="193"/>
      <c r="N1026" s="193"/>
      <c r="O1026" s="193"/>
      <c r="P1026" s="193"/>
      <c r="Q1026" s="193"/>
      <c r="R1026" s="193"/>
      <c r="S1026" s="193"/>
      <c r="T1026" s="193"/>
      <c r="U1026" s="193"/>
      <c r="V1026" s="193"/>
    </row>
    <row r="1027" spans="1:22" s="191" customFormat="1">
      <c r="A1027" s="193" t="s">
        <v>555</v>
      </c>
      <c r="B1027" s="193">
        <v>2004</v>
      </c>
      <c r="C1027" s="196">
        <v>47.898863220772903</v>
      </c>
      <c r="D1027" s="196">
        <v>4.1270445917684899</v>
      </c>
      <c r="E1027" s="191" t="s">
        <v>537</v>
      </c>
      <c r="G1027" s="193"/>
      <c r="H1027" s="193"/>
      <c r="I1027" s="193"/>
      <c r="J1027" s="193"/>
      <c r="K1027" s="193"/>
      <c r="L1027" s="193"/>
      <c r="M1027" s="193"/>
      <c r="N1027" s="193"/>
      <c r="O1027" s="193"/>
      <c r="P1027" s="193"/>
      <c r="Q1027" s="193"/>
      <c r="R1027" s="193"/>
      <c r="S1027" s="193"/>
      <c r="T1027" s="193"/>
      <c r="U1027" s="193"/>
      <c r="V1027" s="193"/>
    </row>
    <row r="1028" spans="1:22" s="191" customFormat="1">
      <c r="A1028" s="193" t="s">
        <v>555</v>
      </c>
      <c r="B1028" s="193">
        <v>2005</v>
      </c>
      <c r="C1028" s="196">
        <v>47.841563018696903</v>
      </c>
      <c r="D1028" s="196">
        <v>3.29833935766051</v>
      </c>
      <c r="E1028" s="191" t="s">
        <v>537</v>
      </c>
      <c r="G1028" s="193"/>
      <c r="H1028" s="193"/>
      <c r="I1028" s="193"/>
      <c r="J1028" s="193"/>
      <c r="K1028" s="193"/>
      <c r="L1028" s="193"/>
      <c r="M1028" s="193"/>
      <c r="N1028" s="193"/>
      <c r="O1028" s="193"/>
      <c r="P1028" s="193"/>
      <c r="Q1028" s="193"/>
      <c r="R1028" s="193"/>
      <c r="S1028" s="193"/>
      <c r="T1028" s="193"/>
      <c r="U1028" s="193"/>
      <c r="V1028" s="193"/>
    </row>
    <row r="1029" spans="1:22" s="191" customFormat="1">
      <c r="A1029" s="193" t="s">
        <v>555</v>
      </c>
      <c r="B1029" s="193">
        <v>2006</v>
      </c>
      <c r="C1029" s="196">
        <v>43.779694497016301</v>
      </c>
      <c r="D1029" s="196">
        <v>4.2464595860607801</v>
      </c>
      <c r="E1029" s="191" t="s">
        <v>537</v>
      </c>
      <c r="G1029" s="193"/>
      <c r="H1029" s="193"/>
      <c r="I1029" s="193"/>
      <c r="J1029" s="193"/>
      <c r="K1029" s="193"/>
      <c r="L1029" s="193"/>
      <c r="M1029" s="193"/>
      <c r="N1029" s="193"/>
      <c r="O1029" s="193"/>
      <c r="P1029" s="193"/>
      <c r="Q1029" s="193"/>
      <c r="R1029" s="193"/>
      <c r="S1029" s="193"/>
      <c r="T1029" s="193"/>
      <c r="U1029" s="193"/>
      <c r="V1029" s="193"/>
    </row>
    <row r="1030" spans="1:22" s="191" customFormat="1">
      <c r="A1030" s="193" t="s">
        <v>555</v>
      </c>
      <c r="B1030" s="193">
        <v>2007</v>
      </c>
      <c r="C1030" s="196">
        <v>38.121656597701602</v>
      </c>
      <c r="D1030" s="196">
        <v>2.5597220886045502</v>
      </c>
      <c r="E1030" s="191" t="s">
        <v>537</v>
      </c>
      <c r="G1030" s="193"/>
      <c r="H1030" s="193"/>
      <c r="I1030" s="193"/>
      <c r="J1030" s="193"/>
      <c r="K1030" s="193"/>
      <c r="L1030" s="193"/>
      <c r="M1030" s="193"/>
      <c r="N1030" s="193"/>
      <c r="O1030" s="193"/>
      <c r="P1030" s="193"/>
      <c r="Q1030" s="193"/>
      <c r="R1030" s="193"/>
      <c r="S1030" s="193"/>
      <c r="T1030" s="193"/>
      <c r="U1030" s="193"/>
      <c r="V1030" s="193"/>
    </row>
    <row r="1031" spans="1:22" s="191" customFormat="1">
      <c r="A1031" s="193" t="s">
        <v>555</v>
      </c>
      <c r="B1031" s="193">
        <v>2008</v>
      </c>
      <c r="C1031" s="196">
        <v>35.442493854692003</v>
      </c>
      <c r="D1031" s="196">
        <v>-0.15506909588707299</v>
      </c>
      <c r="E1031" s="191" t="s">
        <v>537</v>
      </c>
      <c r="G1031" s="193"/>
      <c r="H1031" s="193"/>
      <c r="I1031" s="193"/>
      <c r="J1031" s="193"/>
      <c r="K1031" s="193"/>
      <c r="L1031" s="193"/>
      <c r="M1031" s="193"/>
      <c r="N1031" s="193"/>
      <c r="O1031" s="193"/>
      <c r="P1031" s="193"/>
      <c r="Q1031" s="193"/>
      <c r="R1031" s="193"/>
      <c r="S1031" s="193"/>
      <c r="T1031" s="193"/>
      <c r="U1031" s="193"/>
      <c r="V1031" s="193"/>
    </row>
    <row r="1032" spans="1:22" s="191" customFormat="1">
      <c r="A1032" s="193" t="s">
        <v>555</v>
      </c>
      <c r="B1032" s="193">
        <v>2009</v>
      </c>
      <c r="C1032" s="196">
        <v>35.243281278466398</v>
      </c>
      <c r="D1032" s="196">
        <v>-4.8277828626204302</v>
      </c>
      <c r="E1032" s="191" t="s">
        <v>537</v>
      </c>
      <c r="G1032" s="193"/>
      <c r="H1032" s="193"/>
      <c r="I1032" s="193"/>
      <c r="J1032" s="193"/>
      <c r="K1032" s="193"/>
      <c r="L1032" s="193"/>
      <c r="M1032" s="193"/>
      <c r="N1032" s="193"/>
      <c r="O1032" s="193"/>
      <c r="P1032" s="193"/>
      <c r="Q1032" s="193"/>
      <c r="R1032" s="193"/>
      <c r="S1032" s="193"/>
      <c r="T1032" s="193"/>
      <c r="U1032" s="193"/>
      <c r="V1032" s="193"/>
    </row>
    <row r="1033" spans="1:22" s="191" customFormat="1">
      <c r="A1033" s="193" t="s">
        <v>556</v>
      </c>
      <c r="B1033" s="193">
        <v>1946</v>
      </c>
      <c r="C1033" s="196">
        <v>247.481942215088</v>
      </c>
      <c r="D1033" s="196">
        <v>-2.4583102256357598</v>
      </c>
      <c r="E1033" s="191" t="s">
        <v>535</v>
      </c>
      <c r="G1033" s="193"/>
      <c r="H1033" s="193"/>
      <c r="I1033" s="193"/>
      <c r="J1033" s="193"/>
      <c r="K1033" s="193"/>
      <c r="L1033" s="193"/>
      <c r="M1033" s="193"/>
      <c r="N1033" s="193"/>
      <c r="O1033" s="193"/>
      <c r="P1033" s="193"/>
      <c r="Q1033" s="193"/>
      <c r="R1033" s="193"/>
      <c r="S1033" s="193"/>
      <c r="T1033" s="193"/>
      <c r="U1033" s="193"/>
      <c r="V1033" s="193"/>
    </row>
    <row r="1034" spans="1:22" s="191" customFormat="1">
      <c r="A1034" s="193" t="s">
        <v>556</v>
      </c>
      <c r="B1034" s="193">
        <v>1947</v>
      </c>
      <c r="C1034" s="196">
        <v>237.94095803936099</v>
      </c>
      <c r="D1034" s="196">
        <v>-1.27622446388918</v>
      </c>
      <c r="E1034" s="191" t="s">
        <v>535</v>
      </c>
      <c r="G1034" s="193"/>
      <c r="H1034" s="193"/>
      <c r="I1034" s="193"/>
      <c r="J1034" s="193"/>
      <c r="K1034" s="193"/>
      <c r="L1034" s="193"/>
      <c r="M1034" s="193"/>
      <c r="N1034" s="193"/>
      <c r="O1034" s="193"/>
      <c r="P1034" s="193"/>
      <c r="Q1034" s="193"/>
      <c r="R1034" s="193"/>
      <c r="S1034" s="193"/>
      <c r="T1034" s="193"/>
      <c r="U1034" s="193"/>
      <c r="V1034" s="193"/>
    </row>
    <row r="1035" spans="1:22" s="191" customFormat="1">
      <c r="A1035" s="193" t="s">
        <v>556</v>
      </c>
      <c r="B1035" s="193">
        <v>1948</v>
      </c>
      <c r="C1035" s="196">
        <v>213.97193920160299</v>
      </c>
      <c r="D1035" s="196">
        <v>2.9241100534619799</v>
      </c>
      <c r="E1035" s="191" t="s">
        <v>535</v>
      </c>
      <c r="G1035" s="193"/>
      <c r="H1035" s="193"/>
      <c r="I1035" s="193"/>
      <c r="J1035" s="193"/>
      <c r="K1035" s="193"/>
      <c r="L1035" s="193"/>
      <c r="M1035" s="193"/>
      <c r="N1035" s="193"/>
      <c r="O1035" s="193"/>
      <c r="P1035" s="193"/>
      <c r="Q1035" s="193"/>
      <c r="R1035" s="193"/>
      <c r="S1035" s="193"/>
      <c r="T1035" s="193"/>
      <c r="U1035" s="193"/>
      <c r="V1035" s="193"/>
    </row>
    <row r="1036" spans="1:22" s="191" customFormat="1">
      <c r="A1036" s="193" t="s">
        <v>556</v>
      </c>
      <c r="B1036" s="193">
        <v>1949</v>
      </c>
      <c r="C1036" s="196">
        <v>197.768348263398</v>
      </c>
      <c r="D1036" s="196">
        <v>3.3147168642686999</v>
      </c>
      <c r="E1036" s="191" t="s">
        <v>535</v>
      </c>
      <c r="G1036" s="193"/>
      <c r="H1036" s="193"/>
      <c r="I1036" s="193"/>
      <c r="J1036" s="193"/>
      <c r="K1036" s="193"/>
      <c r="L1036" s="193"/>
      <c r="M1036" s="193"/>
      <c r="N1036" s="193"/>
      <c r="O1036" s="193"/>
      <c r="P1036" s="193"/>
      <c r="Q1036" s="193"/>
      <c r="R1036" s="193"/>
      <c r="S1036" s="193"/>
      <c r="T1036" s="193"/>
      <c r="U1036" s="193"/>
      <c r="V1036" s="193"/>
    </row>
    <row r="1037" spans="1:22" s="191" customFormat="1">
      <c r="A1037" s="193" t="s">
        <v>556</v>
      </c>
      <c r="B1037" s="193">
        <v>1950</v>
      </c>
      <c r="C1037" s="196">
        <v>193.88337841899599</v>
      </c>
      <c r="D1037" s="196">
        <v>3.1814589748480699</v>
      </c>
      <c r="E1037" s="191" t="s">
        <v>535</v>
      </c>
      <c r="G1037" s="193"/>
      <c r="H1037" s="193"/>
      <c r="I1037" s="193"/>
      <c r="J1037" s="193"/>
      <c r="K1037" s="193"/>
      <c r="L1037" s="193"/>
      <c r="M1037" s="193"/>
      <c r="N1037" s="193"/>
      <c r="O1037" s="193"/>
      <c r="P1037" s="193"/>
      <c r="Q1037" s="193"/>
      <c r="R1037" s="193"/>
      <c r="S1037" s="193"/>
      <c r="T1037" s="193"/>
      <c r="U1037" s="193"/>
      <c r="V1037" s="193"/>
    </row>
    <row r="1038" spans="1:22" s="191" customFormat="1">
      <c r="A1038" s="193" t="s">
        <v>556</v>
      </c>
      <c r="B1038" s="193">
        <v>1951</v>
      </c>
      <c r="C1038" s="196">
        <v>175.338203463203</v>
      </c>
      <c r="D1038" s="196">
        <v>2.7278189333016498</v>
      </c>
      <c r="E1038" s="191" t="s">
        <v>535</v>
      </c>
      <c r="G1038" s="193"/>
      <c r="H1038" s="193"/>
      <c r="I1038" s="193"/>
      <c r="J1038" s="193"/>
      <c r="K1038" s="193"/>
      <c r="L1038" s="193"/>
      <c r="M1038" s="193"/>
      <c r="N1038" s="193"/>
      <c r="O1038" s="193"/>
      <c r="P1038" s="193"/>
      <c r="Q1038" s="193"/>
      <c r="R1038" s="193"/>
      <c r="S1038" s="193"/>
      <c r="T1038" s="193"/>
      <c r="U1038" s="193"/>
      <c r="V1038" s="193"/>
    </row>
    <row r="1039" spans="1:22" s="191" customFormat="1">
      <c r="A1039" s="193" t="s">
        <v>556</v>
      </c>
      <c r="B1039" s="193">
        <v>1952</v>
      </c>
      <c r="C1039" s="196">
        <v>161.990865294375</v>
      </c>
      <c r="D1039" s="196">
        <v>5.2381426767222898E-2</v>
      </c>
      <c r="E1039" s="191" t="s">
        <v>535</v>
      </c>
      <c r="G1039" s="193"/>
      <c r="H1039" s="193"/>
      <c r="I1039" s="193"/>
      <c r="J1039" s="193"/>
      <c r="K1039" s="193"/>
      <c r="L1039" s="193"/>
      <c r="M1039" s="193"/>
      <c r="N1039" s="193"/>
      <c r="O1039" s="193"/>
      <c r="P1039" s="193"/>
      <c r="Q1039" s="193"/>
      <c r="R1039" s="193"/>
      <c r="S1039" s="193"/>
      <c r="T1039" s="193"/>
      <c r="U1039" s="193"/>
      <c r="V1039" s="193"/>
    </row>
    <row r="1040" spans="1:22" s="191" customFormat="1">
      <c r="A1040" s="193" t="s">
        <v>556</v>
      </c>
      <c r="B1040" s="193">
        <v>1953</v>
      </c>
      <c r="C1040" s="196">
        <v>152.158168331289</v>
      </c>
      <c r="D1040" s="196">
        <v>3.8362957776336</v>
      </c>
      <c r="E1040" s="191" t="s">
        <v>535</v>
      </c>
      <c r="G1040" s="193"/>
      <c r="H1040" s="193"/>
      <c r="I1040" s="193"/>
      <c r="J1040" s="193"/>
      <c r="K1040" s="193"/>
      <c r="L1040" s="193"/>
      <c r="M1040" s="193"/>
      <c r="N1040" s="193"/>
      <c r="O1040" s="193"/>
      <c r="P1040" s="193"/>
      <c r="Q1040" s="193"/>
      <c r="R1040" s="193"/>
      <c r="S1040" s="193"/>
      <c r="T1040" s="193"/>
      <c r="U1040" s="193"/>
      <c r="V1040" s="193"/>
    </row>
    <row r="1041" spans="1:22" s="191" customFormat="1">
      <c r="A1041" s="193" t="s">
        <v>556</v>
      </c>
      <c r="B1041" s="193">
        <v>1954</v>
      </c>
      <c r="C1041" s="196">
        <v>146.65673618007301</v>
      </c>
      <c r="D1041" s="196">
        <v>4.1118390527273201</v>
      </c>
      <c r="E1041" s="191" t="s">
        <v>535</v>
      </c>
      <c r="G1041" s="193"/>
      <c r="H1041" s="193"/>
      <c r="I1041" s="193"/>
      <c r="J1041" s="193"/>
      <c r="K1041" s="193"/>
      <c r="L1041" s="193"/>
      <c r="M1041" s="193"/>
      <c r="N1041" s="193"/>
      <c r="O1041" s="193"/>
      <c r="P1041" s="193"/>
      <c r="Q1041" s="193"/>
      <c r="R1041" s="193"/>
      <c r="S1041" s="193"/>
      <c r="T1041" s="193"/>
      <c r="U1041" s="193"/>
      <c r="V1041" s="193"/>
    </row>
    <row r="1042" spans="1:22" s="191" customFormat="1">
      <c r="A1042" s="193" t="s">
        <v>556</v>
      </c>
      <c r="B1042" s="193">
        <v>1955</v>
      </c>
      <c r="C1042" s="196">
        <v>138.19394561313501</v>
      </c>
      <c r="D1042" s="196">
        <v>3.4577320629035202</v>
      </c>
      <c r="E1042" s="191" t="s">
        <v>535</v>
      </c>
      <c r="G1042" s="193"/>
      <c r="H1042" s="193"/>
      <c r="I1042" s="193"/>
      <c r="J1042" s="193"/>
      <c r="K1042" s="193"/>
      <c r="L1042" s="193"/>
      <c r="M1042" s="193"/>
      <c r="N1042" s="193"/>
      <c r="O1042" s="193"/>
      <c r="P1042" s="193"/>
      <c r="Q1042" s="193"/>
      <c r="R1042" s="193"/>
      <c r="S1042" s="193"/>
      <c r="T1042" s="193"/>
      <c r="U1042" s="193"/>
      <c r="V1042" s="193"/>
    </row>
    <row r="1043" spans="1:22" s="191" customFormat="1">
      <c r="A1043" s="193" t="s">
        <v>556</v>
      </c>
      <c r="B1043" s="193">
        <v>1956</v>
      </c>
      <c r="C1043" s="196">
        <v>129.02748616148099</v>
      </c>
      <c r="D1043" s="196">
        <v>0.92815686770031403</v>
      </c>
      <c r="E1043" s="191" t="s">
        <v>535</v>
      </c>
      <c r="G1043" s="193"/>
      <c r="H1043" s="193"/>
      <c r="I1043" s="193"/>
      <c r="J1043" s="193"/>
      <c r="K1043" s="193"/>
      <c r="L1043" s="193"/>
      <c r="M1043" s="193"/>
      <c r="N1043" s="193"/>
      <c r="O1043" s="193"/>
      <c r="P1043" s="193"/>
      <c r="Q1043" s="193"/>
      <c r="R1043" s="193"/>
      <c r="S1043" s="193"/>
      <c r="T1043" s="193"/>
      <c r="U1043" s="193"/>
      <c r="V1043" s="193"/>
    </row>
    <row r="1044" spans="1:22" s="191" customFormat="1">
      <c r="A1044" s="193" t="s">
        <v>556</v>
      </c>
      <c r="B1044" s="193">
        <v>1957</v>
      </c>
      <c r="C1044" s="196">
        <v>122.180502148835</v>
      </c>
      <c r="D1044" s="196">
        <v>1.6588466605396599</v>
      </c>
      <c r="E1044" s="191" t="s">
        <v>535</v>
      </c>
      <c r="G1044" s="193"/>
      <c r="H1044" s="193"/>
      <c r="I1044" s="193"/>
      <c r="J1044" s="193"/>
      <c r="K1044" s="193"/>
      <c r="L1044" s="193"/>
      <c r="M1044" s="193"/>
      <c r="N1044" s="193"/>
      <c r="O1044" s="193"/>
      <c r="P1044" s="193"/>
      <c r="Q1044" s="193"/>
      <c r="R1044" s="193"/>
      <c r="S1044" s="193"/>
      <c r="T1044" s="193"/>
      <c r="U1044" s="193"/>
      <c r="V1044" s="193"/>
    </row>
    <row r="1045" spans="1:22" s="191" customFormat="1">
      <c r="A1045" s="193" t="s">
        <v>556</v>
      </c>
      <c r="B1045" s="193">
        <v>1958</v>
      </c>
      <c r="C1045" s="196">
        <v>118.1431670282</v>
      </c>
      <c r="D1045" s="196">
        <v>0.31935826063105299</v>
      </c>
      <c r="E1045" s="191" t="s">
        <v>535</v>
      </c>
      <c r="G1045" s="193"/>
      <c r="H1045" s="193"/>
      <c r="I1045" s="193"/>
      <c r="J1045" s="193"/>
      <c r="K1045" s="193"/>
      <c r="L1045" s="193"/>
      <c r="M1045" s="193"/>
      <c r="N1045" s="193"/>
      <c r="O1045" s="193"/>
      <c r="P1045" s="193"/>
      <c r="Q1045" s="193"/>
      <c r="R1045" s="193"/>
      <c r="S1045" s="193"/>
      <c r="T1045" s="193"/>
      <c r="U1045" s="193"/>
      <c r="V1045" s="193"/>
    </row>
    <row r="1046" spans="1:22" s="191" customFormat="1">
      <c r="A1046" s="193" t="s">
        <v>556</v>
      </c>
      <c r="B1046" s="193">
        <v>1959</v>
      </c>
      <c r="C1046" s="196">
        <v>112.43633974043</v>
      </c>
      <c r="D1046" s="196">
        <v>4.2810111042910703</v>
      </c>
      <c r="E1046" s="191" t="s">
        <v>535</v>
      </c>
      <c r="G1046" s="193"/>
      <c r="H1046" s="193"/>
      <c r="I1046" s="193"/>
      <c r="J1046" s="193"/>
      <c r="K1046" s="193"/>
      <c r="L1046" s="193"/>
      <c r="M1046" s="193"/>
      <c r="N1046" s="193"/>
      <c r="O1046" s="193"/>
      <c r="P1046" s="193"/>
      <c r="Q1046" s="193"/>
      <c r="R1046" s="193"/>
      <c r="S1046" s="193"/>
      <c r="T1046" s="193"/>
      <c r="U1046" s="193"/>
      <c r="V1046" s="193"/>
    </row>
    <row r="1047" spans="1:22" s="191" customFormat="1">
      <c r="A1047" s="193" t="s">
        <v>556</v>
      </c>
      <c r="B1047" s="193">
        <v>1960</v>
      </c>
      <c r="C1047" s="196">
        <v>106.759825999923</v>
      </c>
      <c r="D1047" s="196">
        <v>5.3301013473742804</v>
      </c>
      <c r="E1047" s="191" t="s">
        <v>535</v>
      </c>
      <c r="G1047" s="193"/>
      <c r="H1047" s="193"/>
      <c r="I1047" s="193"/>
      <c r="J1047" s="193"/>
      <c r="K1047" s="193"/>
      <c r="L1047" s="193"/>
      <c r="M1047" s="193"/>
      <c r="N1047" s="193"/>
      <c r="O1047" s="193"/>
      <c r="P1047" s="193"/>
      <c r="Q1047" s="193"/>
      <c r="R1047" s="193"/>
      <c r="S1047" s="193"/>
      <c r="T1047" s="193"/>
      <c r="U1047" s="193"/>
      <c r="V1047" s="193"/>
    </row>
    <row r="1048" spans="1:22" s="191" customFormat="1">
      <c r="A1048" s="193" t="s">
        <v>556</v>
      </c>
      <c r="B1048" s="193">
        <v>1961</v>
      </c>
      <c r="C1048" s="196">
        <v>103.06059169007401</v>
      </c>
      <c r="D1048" s="196">
        <v>2.3333316399363899</v>
      </c>
      <c r="E1048" s="191" t="s">
        <v>535</v>
      </c>
      <c r="G1048" s="193"/>
      <c r="H1048" s="193"/>
      <c r="I1048" s="193"/>
      <c r="J1048" s="193"/>
      <c r="K1048" s="193"/>
      <c r="L1048" s="193"/>
      <c r="M1048" s="193"/>
      <c r="N1048" s="193"/>
      <c r="O1048" s="193"/>
      <c r="P1048" s="193"/>
      <c r="Q1048" s="193"/>
      <c r="R1048" s="193"/>
      <c r="S1048" s="193"/>
      <c r="T1048" s="193"/>
      <c r="U1048" s="193"/>
      <c r="V1048" s="193"/>
    </row>
    <row r="1049" spans="1:22" s="191" customFormat="1">
      <c r="A1049" s="193" t="s">
        <v>556</v>
      </c>
      <c r="B1049" s="193">
        <v>1962</v>
      </c>
      <c r="C1049" s="196">
        <v>99.871129532235003</v>
      </c>
      <c r="D1049" s="196">
        <v>1.0812367203479001</v>
      </c>
      <c r="E1049" s="191" t="s">
        <v>535</v>
      </c>
      <c r="G1049" s="193"/>
      <c r="H1049" s="193"/>
      <c r="I1049" s="193"/>
      <c r="J1049" s="193"/>
      <c r="K1049" s="193"/>
      <c r="L1049" s="193"/>
      <c r="M1049" s="193"/>
      <c r="N1049" s="193"/>
      <c r="O1049" s="193"/>
      <c r="P1049" s="193"/>
      <c r="Q1049" s="193"/>
      <c r="R1049" s="193"/>
      <c r="S1049" s="193"/>
      <c r="T1049" s="193"/>
      <c r="U1049" s="193"/>
      <c r="V1049" s="193"/>
    </row>
    <row r="1050" spans="1:22" s="191" customFormat="1">
      <c r="A1050" s="193" t="s">
        <v>556</v>
      </c>
      <c r="B1050" s="193">
        <v>1963</v>
      </c>
      <c r="C1050" s="196">
        <v>98.155151435430298</v>
      </c>
      <c r="D1050" s="196">
        <v>4.2985747541917503</v>
      </c>
      <c r="E1050" s="191" t="s">
        <v>535</v>
      </c>
      <c r="G1050" s="193"/>
      <c r="H1050" s="193"/>
      <c r="I1050" s="193"/>
      <c r="J1050" s="193"/>
      <c r="K1050" s="193"/>
      <c r="L1050" s="193"/>
      <c r="M1050" s="193"/>
      <c r="N1050" s="193"/>
      <c r="O1050" s="193"/>
      <c r="P1050" s="193"/>
      <c r="Q1050" s="193"/>
      <c r="R1050" s="193"/>
      <c r="S1050" s="193"/>
      <c r="T1050" s="193"/>
      <c r="U1050" s="193"/>
      <c r="V1050" s="193"/>
    </row>
    <row r="1051" spans="1:22" s="191" customFormat="1">
      <c r="A1051" s="193" t="s">
        <v>556</v>
      </c>
      <c r="B1051" s="193">
        <v>1964</v>
      </c>
      <c r="C1051" s="196">
        <v>90.965450824605796</v>
      </c>
      <c r="D1051" s="196">
        <v>5.4803841472171904</v>
      </c>
      <c r="E1051" s="191" t="s">
        <v>535</v>
      </c>
      <c r="G1051" s="193"/>
      <c r="H1051" s="193"/>
      <c r="I1051" s="193"/>
      <c r="J1051" s="193"/>
      <c r="K1051" s="193"/>
      <c r="L1051" s="193"/>
      <c r="M1051" s="193"/>
      <c r="N1051" s="193"/>
      <c r="O1051" s="193"/>
      <c r="P1051" s="193"/>
      <c r="Q1051" s="193"/>
      <c r="R1051" s="193"/>
      <c r="S1051" s="193"/>
      <c r="T1051" s="193"/>
      <c r="U1051" s="193"/>
      <c r="V1051" s="193"/>
    </row>
    <row r="1052" spans="1:22" s="191" customFormat="1">
      <c r="A1052" s="193" t="s">
        <v>556</v>
      </c>
      <c r="B1052" s="193">
        <v>1965</v>
      </c>
      <c r="C1052" s="196">
        <v>84.822224699063796</v>
      </c>
      <c r="D1052" s="196">
        <v>2.2269592196602699</v>
      </c>
      <c r="E1052" s="191" t="s">
        <v>538</v>
      </c>
      <c r="G1052" s="193"/>
      <c r="H1052" s="193"/>
      <c r="I1052" s="193"/>
      <c r="J1052" s="193"/>
      <c r="K1052" s="193"/>
      <c r="L1052" s="193"/>
      <c r="M1052" s="193"/>
      <c r="N1052" s="193"/>
      <c r="O1052" s="193"/>
      <c r="P1052" s="193"/>
      <c r="Q1052" s="193"/>
      <c r="R1052" s="193"/>
      <c r="S1052" s="193"/>
      <c r="T1052" s="193"/>
      <c r="U1052" s="193"/>
      <c r="V1052" s="193"/>
    </row>
    <row r="1053" spans="1:22" s="191" customFormat="1">
      <c r="A1053" s="193" t="s">
        <v>556</v>
      </c>
      <c r="B1053" s="193">
        <v>1966</v>
      </c>
      <c r="C1053" s="196">
        <v>82.0681348032156</v>
      </c>
      <c r="D1053" s="196">
        <v>1.92516381469343</v>
      </c>
      <c r="E1053" s="191" t="s">
        <v>538</v>
      </c>
      <c r="G1053" s="193"/>
      <c r="H1053" s="193"/>
      <c r="I1053" s="193"/>
      <c r="J1053" s="193"/>
      <c r="K1053" s="193"/>
      <c r="L1053" s="193"/>
      <c r="M1053" s="193"/>
      <c r="N1053" s="193"/>
      <c r="O1053" s="193"/>
      <c r="P1053" s="193"/>
      <c r="Q1053" s="193"/>
      <c r="R1053" s="193"/>
      <c r="S1053" s="193"/>
      <c r="T1053" s="193"/>
      <c r="U1053" s="193"/>
      <c r="V1053" s="193"/>
    </row>
    <row r="1054" spans="1:22" s="191" customFormat="1">
      <c r="A1054" s="193" t="s">
        <v>556</v>
      </c>
      <c r="B1054" s="193">
        <v>1967</v>
      </c>
      <c r="C1054" s="196">
        <v>79.407164668205894</v>
      </c>
      <c r="D1054" s="196">
        <v>2.4637749462301102</v>
      </c>
      <c r="E1054" s="191" t="s">
        <v>538</v>
      </c>
      <c r="G1054" s="193"/>
      <c r="H1054" s="193"/>
      <c r="I1054" s="193"/>
      <c r="J1054" s="193"/>
      <c r="K1054" s="193"/>
      <c r="L1054" s="193"/>
      <c r="M1054" s="193"/>
      <c r="N1054" s="193"/>
      <c r="O1054" s="193"/>
      <c r="P1054" s="193"/>
      <c r="Q1054" s="193"/>
      <c r="R1054" s="193"/>
      <c r="S1054" s="193"/>
      <c r="T1054" s="193"/>
      <c r="U1054" s="193"/>
      <c r="V1054" s="193"/>
    </row>
    <row r="1055" spans="1:22" s="191" customFormat="1">
      <c r="A1055" s="193" t="s">
        <v>556</v>
      </c>
      <c r="B1055" s="193">
        <v>1968</v>
      </c>
      <c r="C1055" s="196">
        <v>78.326003298515701</v>
      </c>
      <c r="D1055" s="196">
        <v>4.1981580790499704</v>
      </c>
      <c r="E1055" s="191" t="s">
        <v>538</v>
      </c>
      <c r="G1055" s="193"/>
      <c r="H1055" s="193"/>
      <c r="I1055" s="193"/>
      <c r="J1055" s="193"/>
      <c r="K1055" s="193"/>
      <c r="L1055" s="193"/>
      <c r="M1055" s="193"/>
      <c r="N1055" s="193"/>
      <c r="O1055" s="193"/>
      <c r="P1055" s="193"/>
      <c r="Q1055" s="193"/>
      <c r="R1055" s="193"/>
      <c r="S1055" s="193"/>
      <c r="T1055" s="193"/>
      <c r="U1055" s="193"/>
      <c r="V1055" s="193"/>
    </row>
    <row r="1056" spans="1:22" s="191" customFormat="1">
      <c r="A1056" s="193" t="s">
        <v>556</v>
      </c>
      <c r="B1056" s="193">
        <v>1969</v>
      </c>
      <c r="C1056" s="196">
        <v>72.271016311166903</v>
      </c>
      <c r="D1056" s="196">
        <v>2.0745006370576999</v>
      </c>
      <c r="E1056" s="191" t="s">
        <v>538</v>
      </c>
      <c r="G1056" s="193"/>
      <c r="H1056" s="193"/>
      <c r="I1056" s="193"/>
      <c r="J1056" s="193"/>
      <c r="K1056" s="193"/>
      <c r="L1056" s="193"/>
      <c r="M1056" s="193"/>
      <c r="N1056" s="193"/>
      <c r="O1056" s="193"/>
      <c r="P1056" s="193"/>
      <c r="Q1056" s="193"/>
      <c r="R1056" s="193"/>
      <c r="S1056" s="193"/>
      <c r="T1056" s="193"/>
      <c r="U1056" s="193"/>
      <c r="V1056" s="193"/>
    </row>
    <row r="1057" spans="1:22" s="191" customFormat="1">
      <c r="A1057" s="193" t="s">
        <v>556</v>
      </c>
      <c r="B1057" s="193">
        <v>1970</v>
      </c>
      <c r="C1057" s="196">
        <v>63.987542556484001</v>
      </c>
      <c r="D1057" s="196">
        <v>2.2442424575998001</v>
      </c>
      <c r="E1057" s="191" t="s">
        <v>538</v>
      </c>
      <c r="G1057" s="193"/>
      <c r="H1057" s="193"/>
      <c r="I1057" s="193"/>
      <c r="J1057" s="193"/>
      <c r="K1057" s="193"/>
      <c r="L1057" s="193"/>
      <c r="M1057" s="193"/>
      <c r="N1057" s="193"/>
      <c r="O1057" s="193"/>
      <c r="P1057" s="193"/>
      <c r="Q1057" s="193"/>
      <c r="R1057" s="193"/>
      <c r="S1057" s="193"/>
      <c r="T1057" s="193"/>
      <c r="U1057" s="193"/>
      <c r="V1057" s="193"/>
    </row>
    <row r="1058" spans="1:22" s="191" customFormat="1">
      <c r="A1058" s="193" t="s">
        <v>556</v>
      </c>
      <c r="B1058" s="193">
        <v>1971</v>
      </c>
      <c r="C1058" s="196">
        <v>57.9885555748223</v>
      </c>
      <c r="D1058" s="196">
        <v>2.0932785533153599</v>
      </c>
      <c r="E1058" s="191" t="s">
        <v>537</v>
      </c>
      <c r="G1058" s="193"/>
      <c r="H1058" s="193"/>
      <c r="I1058" s="193"/>
      <c r="J1058" s="193"/>
      <c r="K1058" s="193"/>
      <c r="L1058" s="193"/>
      <c r="M1058" s="193"/>
      <c r="N1058" s="193"/>
      <c r="O1058" s="193"/>
      <c r="P1058" s="193"/>
      <c r="Q1058" s="193"/>
      <c r="R1058" s="193"/>
      <c r="S1058" s="193"/>
      <c r="T1058" s="193"/>
      <c r="U1058" s="193"/>
      <c r="V1058" s="193"/>
    </row>
    <row r="1059" spans="1:22" s="191" customFormat="1">
      <c r="A1059" s="193" t="s">
        <v>556</v>
      </c>
      <c r="B1059" s="193">
        <v>1972</v>
      </c>
      <c r="C1059" s="196">
        <v>55.461846768078502</v>
      </c>
      <c r="D1059" s="196">
        <v>3.6555442358138701</v>
      </c>
      <c r="E1059" s="191" t="s">
        <v>537</v>
      </c>
      <c r="G1059" s="193"/>
      <c r="H1059" s="193"/>
      <c r="I1059" s="193"/>
      <c r="J1059" s="193"/>
      <c r="K1059" s="193"/>
      <c r="L1059" s="193"/>
      <c r="M1059" s="193"/>
      <c r="N1059" s="193"/>
      <c r="O1059" s="193"/>
      <c r="P1059" s="193"/>
      <c r="Q1059" s="193"/>
      <c r="R1059" s="193"/>
      <c r="S1059" s="193"/>
      <c r="T1059" s="193"/>
      <c r="U1059" s="193"/>
      <c r="V1059" s="193"/>
    </row>
    <row r="1060" spans="1:22" s="191" customFormat="1">
      <c r="A1060" s="193" t="s">
        <v>556</v>
      </c>
      <c r="B1060" s="193">
        <v>1973</v>
      </c>
      <c r="C1060" s="196">
        <v>49.480179757193604</v>
      </c>
      <c r="D1060" s="196">
        <v>7.1958665869729996</v>
      </c>
      <c r="E1060" s="191" t="s">
        <v>537</v>
      </c>
      <c r="G1060" s="193"/>
      <c r="H1060" s="193"/>
      <c r="I1060" s="193"/>
      <c r="J1060" s="193"/>
      <c r="K1060" s="193"/>
      <c r="L1060" s="193"/>
      <c r="M1060" s="193"/>
      <c r="N1060" s="193"/>
      <c r="O1060" s="193"/>
      <c r="P1060" s="193"/>
      <c r="Q1060" s="193"/>
      <c r="R1060" s="193"/>
      <c r="S1060" s="193"/>
      <c r="T1060" s="193"/>
      <c r="U1060" s="193"/>
      <c r="V1060" s="193"/>
    </row>
    <row r="1061" spans="1:22" s="191" customFormat="1">
      <c r="A1061" s="193" t="s">
        <v>556</v>
      </c>
      <c r="B1061" s="193">
        <v>1974</v>
      </c>
      <c r="C1061" s="196">
        <v>47.477902807851997</v>
      </c>
      <c r="D1061" s="196">
        <v>-1.3129395813914</v>
      </c>
      <c r="E1061" s="191" t="s">
        <v>537</v>
      </c>
      <c r="G1061" s="193"/>
      <c r="H1061" s="193"/>
      <c r="I1061" s="193"/>
      <c r="J1061" s="193"/>
      <c r="K1061" s="193"/>
      <c r="L1061" s="193"/>
      <c r="M1061" s="193"/>
      <c r="N1061" s="193"/>
      <c r="O1061" s="193"/>
      <c r="P1061" s="193"/>
      <c r="Q1061" s="193"/>
      <c r="R1061" s="193"/>
      <c r="S1061" s="193"/>
      <c r="T1061" s="193"/>
      <c r="U1061" s="193"/>
      <c r="V1061" s="193"/>
    </row>
    <row r="1062" spans="1:22" s="191" customFormat="1">
      <c r="A1062" s="193" t="s">
        <v>556</v>
      </c>
      <c r="B1062" s="193">
        <v>1975</v>
      </c>
      <c r="C1062" s="196">
        <v>42.411237197447498</v>
      </c>
      <c r="D1062" s="196">
        <v>-0.62218467018030399</v>
      </c>
      <c r="E1062" s="191" t="s">
        <v>537</v>
      </c>
      <c r="G1062" s="193"/>
      <c r="H1062" s="193"/>
      <c r="I1062" s="193"/>
      <c r="J1062" s="193"/>
      <c r="K1062" s="193"/>
      <c r="L1062" s="193"/>
      <c r="M1062" s="193"/>
      <c r="N1062" s="193"/>
      <c r="O1062" s="193"/>
      <c r="P1062" s="193"/>
      <c r="Q1062" s="193"/>
      <c r="R1062" s="193"/>
      <c r="S1062" s="193"/>
      <c r="T1062" s="193"/>
      <c r="U1062" s="193"/>
      <c r="V1062" s="193"/>
    </row>
    <row r="1063" spans="1:22" s="191" customFormat="1">
      <c r="A1063" s="193" t="s">
        <v>556</v>
      </c>
      <c r="B1063" s="193">
        <v>1976</v>
      </c>
      <c r="C1063" s="196">
        <v>44.811283399591403</v>
      </c>
      <c r="D1063" s="196">
        <v>2.6349623280569601</v>
      </c>
      <c r="E1063" s="191" t="s">
        <v>537</v>
      </c>
      <c r="G1063" s="193"/>
      <c r="H1063" s="193"/>
      <c r="I1063" s="193"/>
      <c r="J1063" s="193"/>
      <c r="K1063" s="193"/>
      <c r="L1063" s="193"/>
      <c r="M1063" s="193"/>
      <c r="N1063" s="193"/>
      <c r="O1063" s="193"/>
      <c r="P1063" s="193"/>
      <c r="Q1063" s="193"/>
      <c r="R1063" s="193"/>
      <c r="S1063" s="193"/>
      <c r="T1063" s="193"/>
      <c r="U1063" s="193"/>
      <c r="V1063" s="193"/>
    </row>
    <row r="1064" spans="1:22" s="191" customFormat="1">
      <c r="A1064" s="193" t="s">
        <v>556</v>
      </c>
      <c r="B1064" s="193">
        <v>1977</v>
      </c>
      <c r="C1064" s="196">
        <v>45.699550257530298</v>
      </c>
      <c r="D1064" s="196">
        <v>2.37469861666735</v>
      </c>
      <c r="E1064" s="191" t="s">
        <v>537</v>
      </c>
      <c r="G1064" s="193"/>
      <c r="H1064" s="193"/>
      <c r="I1064" s="193"/>
      <c r="J1064" s="193"/>
      <c r="K1064" s="193"/>
      <c r="L1064" s="193"/>
      <c r="M1064" s="193"/>
      <c r="N1064" s="193"/>
      <c r="O1064" s="193"/>
      <c r="P1064" s="193"/>
      <c r="Q1064" s="193"/>
      <c r="R1064" s="193"/>
      <c r="S1064" s="193"/>
      <c r="T1064" s="193"/>
      <c r="U1064" s="193"/>
      <c r="V1064" s="193"/>
    </row>
    <row r="1065" spans="1:22" s="191" customFormat="1">
      <c r="A1065" s="193" t="s">
        <v>556</v>
      </c>
      <c r="B1065" s="193">
        <v>1978</v>
      </c>
      <c r="C1065" s="196">
        <v>46.756897203325799</v>
      </c>
      <c r="D1065" s="196">
        <v>3.22959975790749</v>
      </c>
      <c r="E1065" s="191" t="s">
        <v>537</v>
      </c>
      <c r="G1065" s="193"/>
      <c r="H1065" s="193"/>
      <c r="I1065" s="193"/>
      <c r="J1065" s="193"/>
      <c r="K1065" s="193"/>
      <c r="L1065" s="193"/>
      <c r="M1065" s="193"/>
      <c r="N1065" s="193"/>
      <c r="O1065" s="193"/>
      <c r="P1065" s="193"/>
      <c r="Q1065" s="193"/>
      <c r="R1065" s="193"/>
      <c r="S1065" s="193"/>
      <c r="T1065" s="193"/>
      <c r="U1065" s="193"/>
      <c r="V1065" s="193"/>
    </row>
    <row r="1066" spans="1:22" s="191" customFormat="1">
      <c r="A1066" s="193" t="s">
        <v>556</v>
      </c>
      <c r="B1066" s="193">
        <v>1979</v>
      </c>
      <c r="C1066" s="196">
        <v>43.612589097480203</v>
      </c>
      <c r="D1066" s="196">
        <v>2.68007500768717</v>
      </c>
      <c r="E1066" s="191" t="s">
        <v>537</v>
      </c>
      <c r="G1066" s="193"/>
      <c r="H1066" s="193"/>
      <c r="I1066" s="193"/>
      <c r="J1066" s="193"/>
      <c r="K1066" s="193"/>
      <c r="L1066" s="193"/>
      <c r="M1066" s="193"/>
      <c r="N1066" s="193"/>
      <c r="O1066" s="193"/>
      <c r="P1066" s="193"/>
      <c r="Q1066" s="193"/>
      <c r="R1066" s="193"/>
      <c r="S1066" s="193"/>
      <c r="T1066" s="193"/>
      <c r="U1066" s="193"/>
      <c r="V1066" s="193"/>
    </row>
    <row r="1067" spans="1:22" s="191" customFormat="1">
      <c r="A1067" s="193" t="s">
        <v>556</v>
      </c>
      <c r="B1067" s="193">
        <v>1980</v>
      </c>
      <c r="C1067" s="196">
        <v>40.8750171538356</v>
      </c>
      <c r="D1067" s="196">
        <v>-2.0817978839114799</v>
      </c>
      <c r="E1067" s="191" t="s">
        <v>537</v>
      </c>
      <c r="G1067" s="193"/>
      <c r="H1067" s="193"/>
      <c r="I1067" s="193"/>
      <c r="J1067" s="193"/>
      <c r="K1067" s="193"/>
      <c r="L1067" s="193"/>
      <c r="M1067" s="193"/>
      <c r="N1067" s="193"/>
      <c r="O1067" s="193"/>
      <c r="P1067" s="193"/>
      <c r="Q1067" s="193"/>
      <c r="R1067" s="193"/>
      <c r="S1067" s="193"/>
      <c r="T1067" s="193"/>
      <c r="U1067" s="193"/>
      <c r="V1067" s="193"/>
    </row>
    <row r="1068" spans="1:22" s="191" customFormat="1">
      <c r="A1068" s="193" t="s">
        <v>556</v>
      </c>
      <c r="B1068" s="193">
        <v>1981</v>
      </c>
      <c r="C1068" s="196">
        <v>44.106618177845199</v>
      </c>
      <c r="D1068" s="196">
        <v>-1.32345810475475</v>
      </c>
      <c r="E1068" s="191" t="s">
        <v>537</v>
      </c>
      <c r="G1068" s="193"/>
      <c r="H1068" s="193"/>
      <c r="I1068" s="193"/>
      <c r="J1068" s="193"/>
      <c r="K1068" s="193"/>
      <c r="L1068" s="193"/>
      <c r="M1068" s="193"/>
      <c r="N1068" s="193"/>
      <c r="O1068" s="193"/>
      <c r="P1068" s="193"/>
      <c r="Q1068" s="193"/>
      <c r="R1068" s="193"/>
      <c r="S1068" s="193"/>
      <c r="T1068" s="193"/>
      <c r="U1068" s="193"/>
      <c r="V1068" s="193"/>
    </row>
    <row r="1069" spans="1:22" s="191" customFormat="1">
      <c r="A1069" s="193" t="s">
        <v>556</v>
      </c>
      <c r="B1069" s="193">
        <v>1982</v>
      </c>
      <c r="C1069" s="196">
        <v>42.128074470507897</v>
      </c>
      <c r="D1069" s="196">
        <v>2.0930688172250198</v>
      </c>
      <c r="E1069" s="191" t="s">
        <v>537</v>
      </c>
      <c r="G1069" s="193"/>
      <c r="H1069" s="193"/>
      <c r="I1069" s="193"/>
      <c r="J1069" s="193"/>
      <c r="K1069" s="193"/>
      <c r="L1069" s="193"/>
      <c r="M1069" s="193"/>
      <c r="N1069" s="193"/>
      <c r="O1069" s="193"/>
      <c r="P1069" s="193"/>
      <c r="Q1069" s="193"/>
      <c r="R1069" s="193"/>
      <c r="S1069" s="193"/>
      <c r="T1069" s="193"/>
      <c r="U1069" s="193"/>
      <c r="V1069" s="193"/>
    </row>
    <row r="1070" spans="1:22" s="191" customFormat="1">
      <c r="A1070" s="193" t="s">
        <v>556</v>
      </c>
      <c r="B1070" s="193">
        <v>1983</v>
      </c>
      <c r="C1070" s="196">
        <v>41.641954773165999</v>
      </c>
      <c r="D1070" s="196">
        <v>3.6243464473791902</v>
      </c>
      <c r="E1070" s="191" t="s">
        <v>537</v>
      </c>
      <c r="G1070" s="193"/>
      <c r="H1070" s="193"/>
      <c r="I1070" s="193"/>
      <c r="J1070" s="193"/>
      <c r="K1070" s="193"/>
      <c r="L1070" s="193"/>
      <c r="M1070" s="193"/>
      <c r="N1070" s="193"/>
      <c r="O1070" s="193"/>
      <c r="P1070" s="193"/>
      <c r="Q1070" s="193"/>
      <c r="R1070" s="193"/>
      <c r="S1070" s="193"/>
      <c r="T1070" s="193"/>
      <c r="U1070" s="193"/>
      <c r="V1070" s="193"/>
    </row>
    <row r="1071" spans="1:22" s="191" customFormat="1">
      <c r="A1071" s="193" t="s">
        <v>556</v>
      </c>
      <c r="B1071" s="193">
        <v>1984</v>
      </c>
      <c r="C1071" s="196">
        <v>43.343245037328003</v>
      </c>
      <c r="D1071" s="196">
        <v>2.6709249269123401</v>
      </c>
      <c r="E1071" s="191" t="s">
        <v>537</v>
      </c>
      <c r="G1071" s="193"/>
      <c r="H1071" s="193"/>
      <c r="I1071" s="193"/>
      <c r="J1071" s="193"/>
      <c r="K1071" s="193"/>
      <c r="L1071" s="193"/>
      <c r="M1071" s="193"/>
      <c r="N1071" s="193"/>
      <c r="O1071" s="193"/>
      <c r="P1071" s="193"/>
      <c r="Q1071" s="193"/>
      <c r="R1071" s="193"/>
      <c r="S1071" s="193"/>
      <c r="T1071" s="193"/>
      <c r="U1071" s="193"/>
      <c r="V1071" s="193"/>
    </row>
    <row r="1072" spans="1:22" s="191" customFormat="1">
      <c r="A1072" s="193" t="s">
        <v>556</v>
      </c>
      <c r="B1072" s="193">
        <v>1985</v>
      </c>
      <c r="C1072" s="196">
        <v>43.683622753332301</v>
      </c>
      <c r="D1072" s="196">
        <v>3.5993814256187999</v>
      </c>
      <c r="E1072" s="191" t="s">
        <v>537</v>
      </c>
      <c r="G1072" s="193"/>
      <c r="H1072" s="193"/>
      <c r="I1072" s="193"/>
      <c r="J1072" s="193"/>
      <c r="K1072" s="193"/>
      <c r="L1072" s="193"/>
      <c r="M1072" s="193"/>
      <c r="N1072" s="193"/>
      <c r="O1072" s="193"/>
      <c r="P1072" s="193"/>
      <c r="Q1072" s="193"/>
      <c r="R1072" s="193"/>
      <c r="S1072" s="193"/>
      <c r="T1072" s="193"/>
      <c r="U1072" s="193"/>
      <c r="V1072" s="193"/>
    </row>
    <row r="1073" spans="1:22" s="191" customFormat="1">
      <c r="A1073" s="193" t="s">
        <v>556</v>
      </c>
      <c r="B1073" s="193">
        <v>1986</v>
      </c>
      <c r="C1073" s="196">
        <v>44.036345975449002</v>
      </c>
      <c r="D1073" s="196">
        <v>4.0123298227588098</v>
      </c>
      <c r="E1073" s="191" t="s">
        <v>537</v>
      </c>
      <c r="G1073" s="193"/>
      <c r="H1073" s="193"/>
      <c r="I1073" s="193"/>
      <c r="J1073" s="193"/>
      <c r="K1073" s="193"/>
      <c r="L1073" s="193"/>
      <c r="M1073" s="193"/>
      <c r="N1073" s="193"/>
      <c r="O1073" s="193"/>
      <c r="P1073" s="193"/>
      <c r="Q1073" s="193"/>
      <c r="R1073" s="193"/>
      <c r="S1073" s="193"/>
      <c r="T1073" s="193"/>
      <c r="U1073" s="193"/>
      <c r="V1073" s="193"/>
    </row>
    <row r="1074" spans="1:22" s="191" customFormat="1">
      <c r="A1074" s="193" t="s">
        <v>556</v>
      </c>
      <c r="B1074" s="193">
        <v>1987</v>
      </c>
      <c r="C1074" s="196">
        <v>43.347135875333898</v>
      </c>
      <c r="D1074" s="196">
        <v>4.5620808499895702</v>
      </c>
      <c r="E1074" s="191" t="s">
        <v>537</v>
      </c>
      <c r="G1074" s="193"/>
      <c r="H1074" s="193"/>
      <c r="I1074" s="193"/>
      <c r="J1074" s="193"/>
      <c r="K1074" s="193"/>
      <c r="L1074" s="193"/>
      <c r="M1074" s="193"/>
      <c r="N1074" s="193"/>
      <c r="O1074" s="193"/>
      <c r="P1074" s="193"/>
      <c r="Q1074" s="193"/>
      <c r="R1074" s="193"/>
      <c r="S1074" s="193"/>
      <c r="T1074" s="193"/>
      <c r="U1074" s="193"/>
      <c r="V1074" s="193"/>
    </row>
    <row r="1075" spans="1:22" s="191" customFormat="1">
      <c r="A1075" s="193" t="s">
        <v>556</v>
      </c>
      <c r="B1075" s="193">
        <v>1988</v>
      </c>
      <c r="C1075" s="196">
        <v>41.259325823911702</v>
      </c>
      <c r="D1075" s="196">
        <v>5.0321017914807298</v>
      </c>
      <c r="E1075" s="191" t="s">
        <v>537</v>
      </c>
      <c r="G1075" s="193"/>
      <c r="H1075" s="193"/>
      <c r="I1075" s="193"/>
      <c r="J1075" s="193"/>
      <c r="K1075" s="193"/>
      <c r="L1075" s="193"/>
      <c r="M1075" s="193"/>
      <c r="N1075" s="193"/>
      <c r="O1075" s="193"/>
      <c r="P1075" s="193"/>
      <c r="Q1075" s="193"/>
      <c r="R1075" s="193"/>
      <c r="S1075" s="193"/>
      <c r="T1075" s="193"/>
      <c r="U1075" s="193"/>
      <c r="V1075" s="193"/>
    </row>
    <row r="1076" spans="1:22" s="191" customFormat="1">
      <c r="A1076" s="193" t="s">
        <v>556</v>
      </c>
      <c r="B1076" s="193">
        <v>1989</v>
      </c>
      <c r="C1076" s="196">
        <v>37.565156470718101</v>
      </c>
      <c r="D1076" s="196">
        <v>2.2814467235591702</v>
      </c>
      <c r="E1076" s="191" t="s">
        <v>537</v>
      </c>
      <c r="G1076" s="193"/>
      <c r="H1076" s="193"/>
      <c r="I1076" s="193"/>
      <c r="J1076" s="193"/>
      <c r="K1076" s="193"/>
      <c r="L1076" s="193"/>
      <c r="M1076" s="193"/>
      <c r="N1076" s="193"/>
      <c r="O1076" s="193"/>
      <c r="P1076" s="193"/>
      <c r="Q1076" s="193"/>
      <c r="R1076" s="193"/>
      <c r="S1076" s="193"/>
      <c r="T1076" s="193"/>
      <c r="U1076" s="193"/>
      <c r="V1076" s="193"/>
    </row>
    <row r="1077" spans="1:22" s="191" customFormat="1">
      <c r="A1077" s="193" t="s">
        <v>556</v>
      </c>
      <c r="B1077" s="193">
        <v>1990</v>
      </c>
      <c r="C1077" s="196">
        <v>33.839514767229602</v>
      </c>
      <c r="D1077" s="196">
        <v>0.77926614626020496</v>
      </c>
      <c r="E1077" s="191" t="s">
        <v>537</v>
      </c>
      <c r="G1077" s="193"/>
      <c r="H1077" s="193"/>
      <c r="I1077" s="193"/>
      <c r="J1077" s="193"/>
      <c r="K1077" s="193"/>
      <c r="L1077" s="193"/>
      <c r="M1077" s="193"/>
      <c r="N1077" s="193"/>
      <c r="O1077" s="193"/>
      <c r="P1077" s="193"/>
      <c r="Q1077" s="193"/>
      <c r="R1077" s="193"/>
      <c r="S1077" s="193"/>
      <c r="T1077" s="193"/>
      <c r="U1077" s="193"/>
      <c r="V1077" s="193"/>
    </row>
    <row r="1078" spans="1:22" s="191" customFormat="1">
      <c r="A1078" s="193" t="s">
        <v>556</v>
      </c>
      <c r="B1078" s="193">
        <v>1991</v>
      </c>
      <c r="C1078" s="196">
        <v>33.191072120588501</v>
      </c>
      <c r="D1078" s="196">
        <v>-1.3924389679299101</v>
      </c>
      <c r="E1078" s="191" t="s">
        <v>537</v>
      </c>
      <c r="G1078" s="193"/>
      <c r="H1078" s="193"/>
      <c r="I1078" s="193"/>
      <c r="J1078" s="193"/>
      <c r="K1078" s="193"/>
      <c r="L1078" s="193"/>
      <c r="M1078" s="193"/>
      <c r="N1078" s="193"/>
      <c r="O1078" s="193"/>
      <c r="P1078" s="193"/>
      <c r="Q1078" s="193"/>
      <c r="R1078" s="193"/>
      <c r="S1078" s="193"/>
      <c r="T1078" s="193"/>
      <c r="U1078" s="193"/>
      <c r="V1078" s="193"/>
    </row>
    <row r="1079" spans="1:22" s="191" customFormat="1">
      <c r="A1079" s="193" t="s">
        <v>556</v>
      </c>
      <c r="B1079" s="193">
        <v>1992</v>
      </c>
      <c r="C1079" s="196">
        <v>34.4855967078189</v>
      </c>
      <c r="D1079" s="196">
        <v>0.14663044947824699</v>
      </c>
      <c r="E1079" s="191" t="s">
        <v>537</v>
      </c>
      <c r="G1079" s="193"/>
      <c r="H1079" s="193"/>
      <c r="I1079" s="193"/>
      <c r="J1079" s="193"/>
      <c r="K1079" s="193"/>
      <c r="L1079" s="193"/>
      <c r="M1079" s="193"/>
      <c r="N1079" s="193"/>
      <c r="O1079" s="193"/>
      <c r="P1079" s="193"/>
      <c r="Q1079" s="193"/>
      <c r="R1079" s="193"/>
      <c r="S1079" s="193"/>
      <c r="T1079" s="193"/>
      <c r="U1079" s="193"/>
      <c r="V1079" s="193"/>
    </row>
    <row r="1080" spans="1:22" s="191" customFormat="1">
      <c r="A1080" s="193" t="s">
        <v>556</v>
      </c>
      <c r="B1080" s="193">
        <v>1993</v>
      </c>
      <c r="C1080" s="196">
        <v>38.037377177482</v>
      </c>
      <c r="D1080" s="196">
        <v>2.2222549499694999</v>
      </c>
      <c r="E1080" s="191" t="s">
        <v>537</v>
      </c>
      <c r="G1080" s="193"/>
      <c r="H1080" s="193"/>
      <c r="I1080" s="193"/>
      <c r="J1080" s="193"/>
      <c r="K1080" s="193"/>
      <c r="L1080" s="193"/>
      <c r="M1080" s="193"/>
      <c r="N1080" s="193"/>
      <c r="O1080" s="193"/>
      <c r="P1080" s="193"/>
      <c r="Q1080" s="193"/>
      <c r="R1080" s="193"/>
      <c r="S1080" s="193"/>
      <c r="T1080" s="193"/>
      <c r="U1080" s="193"/>
      <c r="V1080" s="193"/>
    </row>
    <row r="1081" spans="1:22" s="191" customFormat="1">
      <c r="A1081" s="193" t="s">
        <v>556</v>
      </c>
      <c r="B1081" s="193">
        <v>1994</v>
      </c>
      <c r="C1081" s="196">
        <v>44.282360275156698</v>
      </c>
      <c r="D1081" s="196">
        <v>4.2801743285589202</v>
      </c>
      <c r="E1081" s="191" t="s">
        <v>537</v>
      </c>
      <c r="G1081" s="193"/>
      <c r="H1081" s="193"/>
      <c r="I1081" s="193"/>
      <c r="J1081" s="193"/>
      <c r="K1081" s="193"/>
      <c r="L1081" s="193"/>
      <c r="M1081" s="193"/>
      <c r="N1081" s="193"/>
      <c r="O1081" s="193"/>
      <c r="P1081" s="193"/>
      <c r="Q1081" s="193"/>
      <c r="R1081" s="193"/>
      <c r="S1081" s="193"/>
      <c r="T1081" s="193"/>
      <c r="U1081" s="193"/>
      <c r="V1081" s="193"/>
    </row>
    <row r="1082" spans="1:22" s="191" customFormat="1">
      <c r="A1082" s="193" t="s">
        <v>556</v>
      </c>
      <c r="B1082" s="193">
        <v>1995</v>
      </c>
      <c r="C1082" s="196">
        <v>47.617508516691103</v>
      </c>
      <c r="D1082" s="196">
        <v>3.0427374044395199</v>
      </c>
      <c r="E1082" s="191" t="s">
        <v>537</v>
      </c>
      <c r="G1082" s="193"/>
      <c r="H1082" s="193"/>
      <c r="I1082" s="193"/>
      <c r="J1082" s="193"/>
      <c r="K1082" s="193"/>
      <c r="L1082" s="193"/>
      <c r="M1082" s="193"/>
      <c r="N1082" s="193"/>
      <c r="O1082" s="193"/>
      <c r="P1082" s="193"/>
      <c r="Q1082" s="193"/>
      <c r="R1082" s="193"/>
      <c r="S1082" s="193"/>
      <c r="T1082" s="193"/>
      <c r="U1082" s="193"/>
      <c r="V1082" s="193"/>
    </row>
    <row r="1083" spans="1:22" s="191" customFormat="1">
      <c r="A1083" s="193" t="s">
        <v>556</v>
      </c>
      <c r="B1083" s="193">
        <v>1996</v>
      </c>
      <c r="C1083" s="196">
        <v>49.976974029263502</v>
      </c>
      <c r="D1083" s="196">
        <v>2.8792564816511499</v>
      </c>
      <c r="E1083" s="191" t="s">
        <v>537</v>
      </c>
      <c r="G1083" s="193"/>
      <c r="H1083" s="193"/>
      <c r="I1083" s="193"/>
      <c r="J1083" s="193"/>
      <c r="K1083" s="193"/>
      <c r="L1083" s="193"/>
      <c r="M1083" s="193"/>
      <c r="N1083" s="193"/>
      <c r="O1083" s="193"/>
      <c r="P1083" s="193"/>
      <c r="Q1083" s="193"/>
      <c r="R1083" s="193"/>
      <c r="S1083" s="193"/>
      <c r="T1083" s="193"/>
      <c r="U1083" s="193"/>
      <c r="V1083" s="193"/>
    </row>
    <row r="1084" spans="1:22" s="191" customFormat="1">
      <c r="A1084" s="193" t="s">
        <v>556</v>
      </c>
      <c r="B1084" s="193">
        <v>1997</v>
      </c>
      <c r="C1084" s="196">
        <v>50.541986811132197</v>
      </c>
      <c r="D1084" s="196">
        <v>3.3071700785332099</v>
      </c>
      <c r="E1084" s="191" t="s">
        <v>537</v>
      </c>
      <c r="G1084" s="193"/>
      <c r="H1084" s="193"/>
      <c r="I1084" s="193"/>
      <c r="J1084" s="193"/>
      <c r="K1084" s="193"/>
      <c r="L1084" s="193"/>
      <c r="M1084" s="193"/>
      <c r="N1084" s="193"/>
      <c r="O1084" s="193"/>
      <c r="P1084" s="193"/>
      <c r="Q1084" s="193"/>
      <c r="R1084" s="193"/>
      <c r="S1084" s="193"/>
      <c r="T1084" s="193"/>
      <c r="U1084" s="193"/>
      <c r="V1084" s="193"/>
    </row>
    <row r="1085" spans="1:22" s="191" customFormat="1">
      <c r="A1085" s="193" t="s">
        <v>556</v>
      </c>
      <c r="B1085" s="193">
        <v>1998</v>
      </c>
      <c r="C1085" s="196">
        <v>47.5974346549092</v>
      </c>
      <c r="D1085" s="196">
        <v>3.6057308180755401</v>
      </c>
      <c r="E1085" s="191" t="s">
        <v>537</v>
      </c>
      <c r="G1085" s="193"/>
      <c r="H1085" s="193"/>
      <c r="I1085" s="193"/>
      <c r="J1085" s="193"/>
      <c r="K1085" s="193"/>
      <c r="L1085" s="193"/>
      <c r="M1085" s="193"/>
      <c r="N1085" s="193"/>
      <c r="O1085" s="193"/>
      <c r="P1085" s="193"/>
      <c r="Q1085" s="193"/>
      <c r="R1085" s="193"/>
      <c r="S1085" s="193"/>
      <c r="T1085" s="193"/>
      <c r="U1085" s="193"/>
      <c r="V1085" s="193"/>
    </row>
    <row r="1086" spans="1:22" s="191" customFormat="1">
      <c r="A1086" s="193" t="s">
        <v>556</v>
      </c>
      <c r="B1086" s="193">
        <v>1999</v>
      </c>
      <c r="C1086" s="196">
        <v>45.398770363830202</v>
      </c>
      <c r="D1086" s="196">
        <v>3.4732411573344102</v>
      </c>
      <c r="E1086" s="191" t="s">
        <v>537</v>
      </c>
      <c r="G1086" s="193"/>
      <c r="H1086" s="193"/>
      <c r="I1086" s="193"/>
      <c r="J1086" s="193"/>
      <c r="K1086" s="193"/>
      <c r="L1086" s="193"/>
      <c r="M1086" s="193"/>
      <c r="N1086" s="193"/>
      <c r="O1086" s="193"/>
      <c r="P1086" s="193"/>
      <c r="Q1086" s="193"/>
      <c r="R1086" s="193"/>
      <c r="S1086" s="193"/>
      <c r="T1086" s="193"/>
      <c r="U1086" s="193"/>
      <c r="V1086" s="193"/>
    </row>
    <row r="1087" spans="1:22" s="191" customFormat="1">
      <c r="A1087" s="193" t="s">
        <v>556</v>
      </c>
      <c r="B1087" s="193">
        <v>2000</v>
      </c>
      <c r="C1087" s="196">
        <v>43.648294527681102</v>
      </c>
      <c r="D1087" s="196">
        <v>3.9150367497438099</v>
      </c>
      <c r="E1087" s="191" t="s">
        <v>537</v>
      </c>
      <c r="G1087" s="193"/>
      <c r="H1087" s="193"/>
      <c r="I1087" s="193"/>
      <c r="J1087" s="193"/>
      <c r="K1087" s="193"/>
      <c r="L1087" s="193"/>
      <c r="M1087" s="193"/>
      <c r="N1087" s="193"/>
      <c r="O1087" s="193"/>
      <c r="P1087" s="193"/>
      <c r="Q1087" s="193"/>
      <c r="R1087" s="193"/>
      <c r="S1087" s="193"/>
      <c r="T1087" s="193"/>
      <c r="U1087" s="193"/>
      <c r="V1087" s="193"/>
    </row>
    <row r="1088" spans="1:22" s="191" customFormat="1">
      <c r="A1088" s="193" t="s">
        <v>556</v>
      </c>
      <c r="B1088" s="193">
        <v>2001</v>
      </c>
      <c r="C1088" s="196">
        <v>41.685684870643598</v>
      </c>
      <c r="D1088" s="196">
        <v>2.4618320250495902</v>
      </c>
      <c r="E1088" s="191" t="s">
        <v>537</v>
      </c>
      <c r="G1088" s="193"/>
      <c r="H1088" s="193"/>
      <c r="I1088" s="193"/>
      <c r="J1088" s="193"/>
      <c r="K1088" s="193"/>
      <c r="L1088" s="193"/>
      <c r="M1088" s="193"/>
      <c r="N1088" s="193"/>
      <c r="O1088" s="193"/>
      <c r="P1088" s="193"/>
      <c r="Q1088" s="193"/>
      <c r="R1088" s="193"/>
      <c r="S1088" s="193"/>
      <c r="T1088" s="193"/>
      <c r="U1088" s="193"/>
      <c r="V1088" s="193"/>
    </row>
    <row r="1089" spans="1:22" s="191" customFormat="1">
      <c r="A1089" s="193" t="s">
        <v>556</v>
      </c>
      <c r="B1089" s="193">
        <v>2002</v>
      </c>
      <c r="C1089" s="196">
        <v>40.401500979951003</v>
      </c>
      <c r="D1089" s="196">
        <v>2.0965327954538102</v>
      </c>
      <c r="E1089" s="191" t="s">
        <v>537</v>
      </c>
      <c r="G1089" s="193"/>
      <c r="H1089" s="193"/>
      <c r="I1089" s="193"/>
      <c r="J1089" s="193"/>
      <c r="K1089" s="193"/>
      <c r="L1089" s="193"/>
      <c r="M1089" s="193"/>
      <c r="N1089" s="193"/>
      <c r="O1089" s="193"/>
      <c r="P1089" s="193"/>
      <c r="Q1089" s="193"/>
      <c r="R1089" s="193"/>
      <c r="S1089" s="193"/>
      <c r="T1089" s="193"/>
      <c r="U1089" s="193"/>
      <c r="V1089" s="193"/>
    </row>
    <row r="1090" spans="1:22" s="191" customFormat="1">
      <c r="A1090" s="193" t="s">
        <v>556</v>
      </c>
      <c r="B1090" s="193">
        <v>2003</v>
      </c>
      <c r="C1090" s="196">
        <v>39.307529923333803</v>
      </c>
      <c r="D1090" s="196">
        <v>2.81802206208706</v>
      </c>
      <c r="E1090" s="191" t="s">
        <v>537</v>
      </c>
      <c r="G1090" s="193"/>
      <c r="H1090" s="193"/>
      <c r="I1090" s="193"/>
      <c r="J1090" s="193"/>
      <c r="K1090" s="193"/>
      <c r="L1090" s="193"/>
      <c r="M1090" s="193"/>
      <c r="N1090" s="193"/>
      <c r="O1090" s="193"/>
      <c r="P1090" s="193"/>
      <c r="Q1090" s="193"/>
      <c r="R1090" s="193"/>
      <c r="S1090" s="193"/>
      <c r="T1090" s="193"/>
      <c r="U1090" s="193"/>
      <c r="V1090" s="193"/>
    </row>
    <row r="1091" spans="1:22" s="191" customFormat="1">
      <c r="A1091" s="193" t="s">
        <v>556</v>
      </c>
      <c r="B1091" s="193">
        <v>2004</v>
      </c>
      <c r="C1091" s="196">
        <v>41.326810534016097</v>
      </c>
      <c r="D1091" s="196">
        <v>2.7578074413070901</v>
      </c>
      <c r="E1091" s="191" t="s">
        <v>537</v>
      </c>
      <c r="G1091" s="193"/>
      <c r="H1091" s="193"/>
      <c r="I1091" s="193"/>
      <c r="J1091" s="193"/>
      <c r="K1091" s="193"/>
      <c r="L1091" s="193"/>
      <c r="M1091" s="193"/>
      <c r="N1091" s="193"/>
      <c r="O1091" s="193"/>
      <c r="P1091" s="193"/>
      <c r="Q1091" s="193"/>
      <c r="R1091" s="193"/>
      <c r="S1091" s="193"/>
      <c r="T1091" s="193"/>
      <c r="U1091" s="193"/>
      <c r="V1091" s="193"/>
    </row>
    <row r="1092" spans="1:22" s="191" customFormat="1">
      <c r="A1092" s="193" t="s">
        <v>556</v>
      </c>
      <c r="B1092" s="193">
        <v>2005</v>
      </c>
      <c r="C1092" s="196">
        <v>38.594644594357497</v>
      </c>
      <c r="D1092" s="196">
        <v>2.0575864642266199</v>
      </c>
      <c r="E1092" s="191" t="s">
        <v>537</v>
      </c>
      <c r="G1092" s="193"/>
      <c r="H1092" s="193"/>
      <c r="I1092" s="193"/>
      <c r="J1092" s="193"/>
      <c r="K1092" s="193"/>
      <c r="L1092" s="193"/>
      <c r="M1092" s="193"/>
      <c r="N1092" s="193"/>
      <c r="O1092" s="193"/>
      <c r="P1092" s="193"/>
      <c r="Q1092" s="193"/>
      <c r="R1092" s="193"/>
      <c r="S1092" s="193"/>
      <c r="T1092" s="193"/>
      <c r="U1092" s="193"/>
      <c r="V1092" s="193"/>
    </row>
    <row r="1093" spans="1:22" s="191" customFormat="1">
      <c r="A1093" s="193" t="s">
        <v>556</v>
      </c>
      <c r="B1093" s="193">
        <v>2006</v>
      </c>
      <c r="C1093" s="196">
        <v>40.051289787298202</v>
      </c>
      <c r="D1093" s="196">
        <v>2.8378382900685599</v>
      </c>
      <c r="E1093" s="191" t="s">
        <v>537</v>
      </c>
      <c r="G1093" s="193"/>
      <c r="H1093" s="193"/>
      <c r="I1093" s="193"/>
      <c r="J1093" s="193"/>
      <c r="K1093" s="193"/>
      <c r="L1093" s="193"/>
      <c r="M1093" s="193"/>
      <c r="N1093" s="193"/>
      <c r="O1093" s="193"/>
      <c r="P1093" s="193"/>
      <c r="Q1093" s="193"/>
      <c r="R1093" s="193"/>
      <c r="S1093" s="193"/>
      <c r="T1093" s="193"/>
      <c r="U1093" s="193"/>
      <c r="V1093" s="193"/>
    </row>
    <row r="1094" spans="1:22" s="191" customFormat="1">
      <c r="A1094" s="193" t="s">
        <v>556</v>
      </c>
      <c r="B1094" s="193">
        <v>2007</v>
      </c>
      <c r="C1094" s="196">
        <v>41.0328262610088</v>
      </c>
      <c r="D1094" s="196">
        <v>3.0223821099320198</v>
      </c>
      <c r="E1094" s="191" t="s">
        <v>537</v>
      </c>
      <c r="G1094" s="193"/>
      <c r="H1094" s="193"/>
      <c r="I1094" s="193"/>
      <c r="J1094" s="193"/>
      <c r="K1094" s="193"/>
      <c r="L1094" s="193"/>
      <c r="M1094" s="193"/>
      <c r="N1094" s="193"/>
      <c r="O1094" s="193"/>
      <c r="P1094" s="193"/>
      <c r="Q1094" s="193"/>
      <c r="R1094" s="193"/>
      <c r="S1094" s="193"/>
      <c r="T1094" s="193"/>
      <c r="U1094" s="193"/>
      <c r="V1094" s="193"/>
    </row>
    <row r="1095" spans="1:22" s="191" customFormat="1">
      <c r="A1095" s="193" t="s">
        <v>556</v>
      </c>
      <c r="B1095" s="193">
        <v>2008</v>
      </c>
      <c r="C1095" s="196">
        <v>42.451819017917003</v>
      </c>
      <c r="D1095" s="196">
        <v>0.70691524518950999</v>
      </c>
      <c r="E1095" s="191" t="s">
        <v>537</v>
      </c>
      <c r="G1095" s="193"/>
      <c r="H1095" s="193"/>
      <c r="I1095" s="193"/>
      <c r="J1095" s="193"/>
      <c r="K1095" s="193"/>
      <c r="L1095" s="193"/>
      <c r="M1095" s="193"/>
      <c r="N1095" s="193"/>
      <c r="O1095" s="193"/>
      <c r="P1095" s="193"/>
      <c r="Q1095" s="193"/>
      <c r="R1095" s="193"/>
      <c r="S1095" s="193"/>
      <c r="T1095" s="193"/>
      <c r="U1095" s="193"/>
      <c r="V1095" s="193"/>
    </row>
    <row r="1096" spans="1:22" s="191" customFormat="1">
      <c r="A1096" s="193" t="s">
        <v>557</v>
      </c>
      <c r="B1096" s="193">
        <v>1946</v>
      </c>
      <c r="C1096" s="196">
        <v>121.25206983483299</v>
      </c>
      <c r="D1096" s="196">
        <v>-10.942158616577199</v>
      </c>
      <c r="E1096" s="191" t="s">
        <v>535</v>
      </c>
      <c r="G1096" s="193"/>
      <c r="H1096" s="193"/>
      <c r="I1096" s="193"/>
      <c r="J1096" s="193"/>
      <c r="K1096" s="193"/>
      <c r="L1096" s="193"/>
      <c r="M1096" s="193"/>
      <c r="N1096" s="193"/>
      <c r="O1096" s="193"/>
      <c r="P1096" s="193"/>
      <c r="Q1096" s="193"/>
      <c r="R1096" s="193"/>
      <c r="S1096" s="193"/>
      <c r="T1096" s="193"/>
      <c r="U1096" s="193"/>
      <c r="V1096" s="193"/>
    </row>
    <row r="1097" spans="1:22" s="191" customFormat="1">
      <c r="A1097" s="193" t="s">
        <v>557</v>
      </c>
      <c r="B1097" s="193">
        <v>1947</v>
      </c>
      <c r="C1097" s="196">
        <v>105.811709589922</v>
      </c>
      <c r="D1097" s="196">
        <v>-0.89833723914742902</v>
      </c>
      <c r="E1097" s="191" t="s">
        <v>535</v>
      </c>
      <c r="G1097" s="193"/>
      <c r="H1097" s="193"/>
      <c r="I1097" s="193"/>
      <c r="J1097" s="193"/>
      <c r="K1097" s="193"/>
      <c r="L1097" s="193"/>
      <c r="M1097" s="193"/>
      <c r="N1097" s="193"/>
      <c r="O1097" s="193"/>
      <c r="P1097" s="193"/>
      <c r="Q1097" s="193"/>
      <c r="R1097" s="193"/>
      <c r="S1097" s="193"/>
      <c r="T1097" s="193"/>
      <c r="U1097" s="193"/>
      <c r="V1097" s="193"/>
    </row>
    <row r="1098" spans="1:22" s="191" customFormat="1">
      <c r="A1098" s="193" t="s">
        <v>557</v>
      </c>
      <c r="B1098" s="193">
        <v>1948</v>
      </c>
      <c r="C1098" s="196">
        <v>93.754086403938999</v>
      </c>
      <c r="D1098" s="196">
        <v>4.39727492821351</v>
      </c>
      <c r="E1098" s="191" t="s">
        <v>535</v>
      </c>
      <c r="G1098" s="193"/>
      <c r="H1098" s="193"/>
      <c r="I1098" s="193"/>
      <c r="J1098" s="193"/>
      <c r="K1098" s="193"/>
      <c r="L1098" s="193"/>
      <c r="M1098" s="193"/>
      <c r="N1098" s="193"/>
      <c r="O1098" s="193"/>
      <c r="P1098" s="193"/>
      <c r="Q1098" s="193"/>
      <c r="R1098" s="193"/>
      <c r="S1098" s="193"/>
      <c r="T1098" s="193"/>
      <c r="U1098" s="193"/>
      <c r="V1098" s="193"/>
    </row>
    <row r="1099" spans="1:22" s="191" customFormat="1">
      <c r="A1099" s="193" t="s">
        <v>557</v>
      </c>
      <c r="B1099" s="193">
        <v>1949</v>
      </c>
      <c r="C1099" s="196">
        <v>94.599685576347298</v>
      </c>
      <c r="D1099" s="196">
        <v>-0.51235033976917399</v>
      </c>
      <c r="E1099" s="191" t="s">
        <v>535</v>
      </c>
      <c r="G1099" s="193"/>
      <c r="H1099" s="193"/>
      <c r="I1099" s="193"/>
      <c r="J1099" s="193"/>
      <c r="K1099" s="193"/>
      <c r="L1099" s="193"/>
      <c r="M1099" s="193"/>
      <c r="N1099" s="193"/>
      <c r="O1099" s="193"/>
      <c r="P1099" s="193"/>
      <c r="Q1099" s="193"/>
      <c r="R1099" s="193"/>
      <c r="S1099" s="193"/>
      <c r="T1099" s="193"/>
      <c r="U1099" s="193"/>
      <c r="V1099" s="193"/>
    </row>
    <row r="1100" spans="1:22" s="191" customFormat="1">
      <c r="A1100" s="193" t="s">
        <v>557</v>
      </c>
      <c r="B1100" s="193">
        <v>1950</v>
      </c>
      <c r="C1100" s="196">
        <v>87.625928617977493</v>
      </c>
      <c r="D1100" s="196">
        <v>8.7439692090854901</v>
      </c>
      <c r="E1100" s="191" t="s">
        <v>538</v>
      </c>
      <c r="G1100" s="193"/>
      <c r="H1100" s="193"/>
      <c r="I1100" s="193"/>
      <c r="J1100" s="193"/>
      <c r="K1100" s="193"/>
      <c r="L1100" s="193"/>
      <c r="M1100" s="193"/>
      <c r="N1100" s="193"/>
      <c r="O1100" s="193"/>
      <c r="P1100" s="193"/>
      <c r="Q1100" s="193"/>
      <c r="R1100" s="193"/>
      <c r="S1100" s="193"/>
      <c r="T1100" s="193"/>
      <c r="U1100" s="193"/>
      <c r="V1100" s="193"/>
    </row>
    <row r="1101" spans="1:22" s="191" customFormat="1">
      <c r="A1101" s="193" t="s">
        <v>557</v>
      </c>
      <c r="B1101" s="193">
        <v>1951</v>
      </c>
      <c r="C1101" s="196">
        <v>75.220152318007706</v>
      </c>
      <c r="D1101" s="196">
        <v>7.7318045862412799</v>
      </c>
      <c r="E1101" s="191" t="s">
        <v>538</v>
      </c>
      <c r="G1101" s="193"/>
      <c r="H1101" s="193"/>
      <c r="I1101" s="193"/>
      <c r="J1101" s="193"/>
      <c r="K1101" s="193"/>
      <c r="L1101" s="193"/>
      <c r="M1101" s="193"/>
      <c r="N1101" s="193"/>
      <c r="O1101" s="193"/>
      <c r="P1101" s="193"/>
      <c r="Q1101" s="193"/>
      <c r="R1101" s="193"/>
      <c r="S1101" s="193"/>
      <c r="T1101" s="193"/>
      <c r="U1101" s="193"/>
      <c r="V1101" s="193"/>
    </row>
    <row r="1102" spans="1:22" s="191" customFormat="1">
      <c r="A1102" s="193" t="s">
        <v>557</v>
      </c>
      <c r="B1102" s="193">
        <v>1952</v>
      </c>
      <c r="C1102" s="196">
        <v>72.315148977114106</v>
      </c>
      <c r="D1102" s="196">
        <v>3.83138216648931</v>
      </c>
      <c r="E1102" s="191" t="s">
        <v>538</v>
      </c>
      <c r="G1102" s="193"/>
      <c r="H1102" s="193"/>
      <c r="I1102" s="193"/>
      <c r="J1102" s="193"/>
      <c r="K1102" s="193"/>
      <c r="L1102" s="193"/>
      <c r="M1102" s="193"/>
      <c r="N1102" s="193"/>
      <c r="O1102" s="193"/>
      <c r="P1102" s="193"/>
      <c r="Q1102" s="193"/>
      <c r="R1102" s="193"/>
      <c r="S1102" s="193"/>
      <c r="T1102" s="193"/>
      <c r="U1102" s="193"/>
      <c r="V1102" s="193"/>
    </row>
    <row r="1103" spans="1:22" s="191" customFormat="1">
      <c r="A1103" s="193" t="s">
        <v>557</v>
      </c>
      <c r="B1103" s="193">
        <v>1953</v>
      </c>
      <c r="C1103" s="196">
        <v>70.147920284471397</v>
      </c>
      <c r="D1103" s="196">
        <v>4.60359196042603</v>
      </c>
      <c r="E1103" s="191" t="s">
        <v>538</v>
      </c>
      <c r="G1103" s="193"/>
      <c r="H1103" s="193"/>
      <c r="I1103" s="193"/>
      <c r="J1103" s="193"/>
      <c r="K1103" s="193"/>
      <c r="L1103" s="193"/>
      <c r="M1103" s="193"/>
      <c r="N1103" s="193"/>
      <c r="O1103" s="193"/>
      <c r="P1103" s="193"/>
      <c r="Q1103" s="193"/>
      <c r="R1103" s="193"/>
      <c r="S1103" s="193"/>
      <c r="T1103" s="193"/>
      <c r="U1103" s="193"/>
      <c r="V1103" s="193"/>
    </row>
    <row r="1104" spans="1:22" s="191" customFormat="1">
      <c r="A1104" s="193" t="s">
        <v>557</v>
      </c>
      <c r="B1104" s="193">
        <v>1954</v>
      </c>
      <c r="C1104" s="196">
        <v>71.309042878023106</v>
      </c>
      <c r="D1104" s="196">
        <v>-0.630538513974088</v>
      </c>
      <c r="E1104" s="191" t="s">
        <v>538</v>
      </c>
      <c r="G1104" s="193"/>
      <c r="H1104" s="193"/>
      <c r="I1104" s="193"/>
      <c r="J1104" s="193"/>
      <c r="K1104" s="193"/>
      <c r="L1104" s="193"/>
      <c r="M1104" s="193"/>
      <c r="N1104" s="193"/>
      <c r="O1104" s="193"/>
      <c r="P1104" s="193"/>
      <c r="Q1104" s="193"/>
      <c r="R1104" s="193"/>
      <c r="S1104" s="193"/>
      <c r="T1104" s="193"/>
      <c r="U1104" s="193"/>
      <c r="V1104" s="193"/>
    </row>
    <row r="1105" spans="1:22" s="191" customFormat="1">
      <c r="A1105" s="193" t="s">
        <v>557</v>
      </c>
      <c r="B1105" s="193">
        <v>1955</v>
      </c>
      <c r="C1105" s="196">
        <v>66.162098578008198</v>
      </c>
      <c r="D1105" s="196">
        <v>7.1985937232035697</v>
      </c>
      <c r="E1105" s="191" t="s">
        <v>538</v>
      </c>
      <c r="G1105" s="193"/>
      <c r="H1105" s="193"/>
      <c r="I1105" s="193"/>
      <c r="J1105" s="193"/>
      <c r="K1105" s="193"/>
      <c r="L1105" s="193"/>
      <c r="M1105" s="193"/>
      <c r="N1105" s="193"/>
      <c r="O1105" s="193"/>
      <c r="P1105" s="193"/>
      <c r="Q1105" s="193"/>
      <c r="R1105" s="193"/>
      <c r="S1105" s="193"/>
      <c r="T1105" s="193"/>
      <c r="U1105" s="193"/>
      <c r="V1105" s="193"/>
    </row>
    <row r="1106" spans="1:22" s="191" customFormat="1">
      <c r="A1106" s="193" t="s">
        <v>557</v>
      </c>
      <c r="B1106" s="193">
        <v>1956</v>
      </c>
      <c r="C1106" s="196">
        <v>62.357296216049399</v>
      </c>
      <c r="D1106" s="196">
        <v>1.97576290845096</v>
      </c>
      <c r="E1106" s="191" t="s">
        <v>538</v>
      </c>
      <c r="G1106" s="193"/>
      <c r="H1106" s="193"/>
      <c r="I1106" s="193"/>
      <c r="J1106" s="193"/>
      <c r="K1106" s="193"/>
      <c r="L1106" s="193"/>
      <c r="M1106" s="193"/>
      <c r="N1106" s="193"/>
      <c r="O1106" s="193"/>
      <c r="P1106" s="193"/>
      <c r="Q1106" s="193"/>
      <c r="R1106" s="193"/>
      <c r="S1106" s="193"/>
      <c r="T1106" s="193"/>
      <c r="U1106" s="193"/>
      <c r="V1106" s="193"/>
    </row>
    <row r="1107" spans="1:22" s="191" customFormat="1">
      <c r="A1107" s="193" t="s">
        <v>557</v>
      </c>
      <c r="B1107" s="193">
        <v>1957</v>
      </c>
      <c r="C1107" s="196">
        <v>58.669957036651503</v>
      </c>
      <c r="D1107" s="196">
        <v>2.0159234419735701</v>
      </c>
      <c r="E1107" s="191" t="s">
        <v>537</v>
      </c>
      <c r="G1107" s="193"/>
      <c r="H1107" s="193"/>
      <c r="I1107" s="193"/>
      <c r="J1107" s="193"/>
      <c r="K1107" s="193"/>
      <c r="L1107" s="193"/>
      <c r="M1107" s="193"/>
      <c r="N1107" s="193"/>
      <c r="O1107" s="193"/>
      <c r="P1107" s="193"/>
      <c r="Q1107" s="193"/>
      <c r="R1107" s="193"/>
      <c r="S1107" s="193"/>
      <c r="T1107" s="193"/>
      <c r="U1107" s="193"/>
      <c r="V1107" s="193"/>
    </row>
    <row r="1108" spans="1:22" s="191" customFormat="1">
      <c r="A1108" s="193" t="s">
        <v>557</v>
      </c>
      <c r="B1108" s="193">
        <v>1958</v>
      </c>
      <c r="C1108" s="196">
        <v>59.148805168236301</v>
      </c>
      <c r="D1108" s="196">
        <v>-0.90346391911114698</v>
      </c>
      <c r="E1108" s="191" t="s">
        <v>537</v>
      </c>
      <c r="G1108" s="193"/>
      <c r="H1108" s="193"/>
      <c r="I1108" s="193"/>
      <c r="J1108" s="193"/>
      <c r="K1108" s="193"/>
      <c r="L1108" s="193"/>
      <c r="M1108" s="193"/>
      <c r="N1108" s="193"/>
      <c r="O1108" s="193"/>
      <c r="P1108" s="193"/>
      <c r="Q1108" s="193"/>
      <c r="R1108" s="193"/>
      <c r="S1108" s="193"/>
      <c r="T1108" s="193"/>
      <c r="U1108" s="193"/>
      <c r="V1108" s="193"/>
    </row>
    <row r="1109" spans="1:22" s="191" customFormat="1">
      <c r="A1109" s="193" t="s">
        <v>557</v>
      </c>
      <c r="B1109" s="193">
        <v>1959</v>
      </c>
      <c r="C1109" s="196">
        <v>56.1993499956573</v>
      </c>
      <c r="D1109" s="196">
        <v>7.1733395406579703</v>
      </c>
      <c r="E1109" s="191" t="s">
        <v>537</v>
      </c>
      <c r="G1109" s="193"/>
      <c r="H1109" s="193"/>
      <c r="I1109" s="193"/>
      <c r="J1109" s="193"/>
      <c r="K1109" s="193"/>
      <c r="L1109" s="193"/>
      <c r="M1109" s="193"/>
      <c r="N1109" s="193"/>
      <c r="O1109" s="193"/>
      <c r="P1109" s="193"/>
      <c r="Q1109" s="193"/>
      <c r="R1109" s="193"/>
      <c r="S1109" s="193"/>
      <c r="T1109" s="193"/>
      <c r="U1109" s="193"/>
      <c r="V1109" s="193"/>
    </row>
    <row r="1110" spans="1:22" s="191" customFormat="1">
      <c r="A1110" s="193" t="s">
        <v>557</v>
      </c>
      <c r="B1110" s="193">
        <v>1960</v>
      </c>
      <c r="C1110" s="196">
        <v>54.394141498480302</v>
      </c>
      <c r="D1110" s="196">
        <v>2.4760180995475198</v>
      </c>
      <c r="E1110" s="191" t="s">
        <v>537</v>
      </c>
      <c r="G1110" s="193"/>
      <c r="H1110" s="193"/>
      <c r="I1110" s="193"/>
      <c r="J1110" s="193"/>
      <c r="K1110" s="193"/>
      <c r="L1110" s="193"/>
      <c r="M1110" s="193"/>
      <c r="N1110" s="193"/>
      <c r="O1110" s="193"/>
      <c r="P1110" s="193"/>
      <c r="Q1110" s="193"/>
      <c r="R1110" s="193"/>
      <c r="S1110" s="193"/>
      <c r="T1110" s="193"/>
      <c r="U1110" s="193"/>
      <c r="V1110" s="193"/>
    </row>
    <row r="1111" spans="1:22" s="191" customFormat="1">
      <c r="A1111" s="193" t="s">
        <v>557</v>
      </c>
      <c r="B1111" s="193">
        <v>1961</v>
      </c>
      <c r="C1111" s="196">
        <v>53.041655398311299</v>
      </c>
      <c r="D1111" s="196">
        <v>2.33141403793846</v>
      </c>
      <c r="E1111" s="191" t="s">
        <v>537</v>
      </c>
      <c r="G1111" s="193"/>
      <c r="H1111" s="193"/>
      <c r="I1111" s="193"/>
      <c r="J1111" s="193"/>
      <c r="K1111" s="193"/>
      <c r="L1111" s="193"/>
      <c r="M1111" s="193"/>
      <c r="N1111" s="193"/>
      <c r="O1111" s="193"/>
      <c r="P1111" s="193"/>
      <c r="Q1111" s="193"/>
      <c r="R1111" s="193"/>
      <c r="S1111" s="193"/>
      <c r="T1111" s="193"/>
      <c r="U1111" s="193"/>
      <c r="V1111" s="193"/>
    </row>
    <row r="1112" spans="1:22" s="191" customFormat="1">
      <c r="A1112" s="193" t="s">
        <v>557</v>
      </c>
      <c r="B1112" s="193">
        <v>1962</v>
      </c>
      <c r="C1112" s="196">
        <v>50.913577381082497</v>
      </c>
      <c r="D1112" s="196">
        <v>6.0582001449825702</v>
      </c>
      <c r="E1112" s="191" t="s">
        <v>537</v>
      </c>
      <c r="G1112" s="193"/>
      <c r="H1112" s="193"/>
      <c r="I1112" s="193"/>
      <c r="J1112" s="193"/>
      <c r="K1112" s="193"/>
      <c r="L1112" s="193"/>
      <c r="M1112" s="193"/>
      <c r="N1112" s="193"/>
      <c r="O1112" s="193"/>
      <c r="P1112" s="193"/>
      <c r="Q1112" s="193"/>
      <c r="R1112" s="193"/>
      <c r="S1112" s="193"/>
      <c r="T1112" s="193"/>
      <c r="U1112" s="193"/>
      <c r="V1112" s="193"/>
    </row>
    <row r="1113" spans="1:22" s="191" customFormat="1">
      <c r="A1113" s="193" t="s">
        <v>557</v>
      </c>
      <c r="B1113" s="193">
        <v>1963</v>
      </c>
      <c r="C1113" s="196">
        <v>49.5078719643898</v>
      </c>
      <c r="D1113" s="196">
        <v>4.3711756281734004</v>
      </c>
      <c r="E1113" s="191" t="s">
        <v>537</v>
      </c>
      <c r="G1113" s="193"/>
      <c r="H1113" s="193"/>
      <c r="I1113" s="193"/>
      <c r="J1113" s="193"/>
      <c r="K1113" s="193"/>
      <c r="L1113" s="193"/>
      <c r="M1113" s="193"/>
      <c r="N1113" s="193"/>
      <c r="O1113" s="193"/>
      <c r="P1113" s="193"/>
      <c r="Q1113" s="193"/>
      <c r="R1113" s="193"/>
      <c r="S1113" s="193"/>
      <c r="T1113" s="193"/>
      <c r="U1113" s="193"/>
      <c r="V1113" s="193"/>
    </row>
    <row r="1114" spans="1:22" s="191" customFormat="1">
      <c r="A1114" s="193" t="s">
        <v>557</v>
      </c>
      <c r="B1114" s="193">
        <v>1964</v>
      </c>
      <c r="C1114" s="196">
        <v>46.973010737944499</v>
      </c>
      <c r="D1114" s="196">
        <v>5.7878816228521801</v>
      </c>
      <c r="E1114" s="191" t="s">
        <v>537</v>
      </c>
      <c r="G1114" s="193"/>
      <c r="H1114" s="193"/>
      <c r="I1114" s="193"/>
      <c r="J1114" s="193"/>
      <c r="K1114" s="193"/>
      <c r="L1114" s="193"/>
      <c r="M1114" s="193"/>
      <c r="N1114" s="193"/>
      <c r="O1114" s="193"/>
      <c r="P1114" s="193"/>
      <c r="Q1114" s="193"/>
      <c r="R1114" s="193"/>
      <c r="S1114" s="193"/>
      <c r="T1114" s="193"/>
      <c r="U1114" s="193"/>
      <c r="V1114" s="193"/>
    </row>
    <row r="1115" spans="1:22" s="191" customFormat="1">
      <c r="A1115" s="193" t="s">
        <v>557</v>
      </c>
      <c r="B1115" s="193">
        <v>1965</v>
      </c>
      <c r="C1115" s="196">
        <v>44.120970516478899</v>
      </c>
      <c r="D1115" s="196">
        <v>6.4204227220469701</v>
      </c>
      <c r="E1115" s="191" t="s">
        <v>537</v>
      </c>
      <c r="G1115" s="193"/>
      <c r="H1115" s="193"/>
      <c r="I1115" s="193"/>
      <c r="J1115" s="193"/>
      <c r="K1115" s="193"/>
      <c r="L1115" s="193"/>
      <c r="M1115" s="193"/>
      <c r="N1115" s="193"/>
      <c r="O1115" s="193"/>
      <c r="P1115" s="193"/>
      <c r="Q1115" s="193"/>
      <c r="R1115" s="193"/>
      <c r="S1115" s="193"/>
      <c r="T1115" s="193"/>
      <c r="U1115" s="193"/>
      <c r="V1115" s="193"/>
    </row>
    <row r="1116" spans="1:22" s="191" customFormat="1">
      <c r="A1116" s="193" t="s">
        <v>557</v>
      </c>
      <c r="B1116" s="193">
        <v>1966</v>
      </c>
      <c r="C1116" s="196">
        <v>40.612807895772498</v>
      </c>
      <c r="D1116" s="196">
        <v>6.51505498462648</v>
      </c>
      <c r="E1116" s="191" t="s">
        <v>537</v>
      </c>
      <c r="G1116" s="193"/>
      <c r="H1116" s="193"/>
      <c r="I1116" s="193"/>
      <c r="J1116" s="193"/>
      <c r="K1116" s="193"/>
      <c r="L1116" s="193"/>
      <c r="M1116" s="193"/>
      <c r="N1116" s="193"/>
      <c r="O1116" s="193"/>
      <c r="P1116" s="193"/>
      <c r="Q1116" s="193"/>
      <c r="R1116" s="193"/>
      <c r="S1116" s="193"/>
      <c r="T1116" s="193"/>
      <c r="U1116" s="193"/>
      <c r="V1116" s="193"/>
    </row>
    <row r="1117" spans="1:22" s="191" customFormat="1">
      <c r="A1117" s="193" t="s">
        <v>557</v>
      </c>
      <c r="B1117" s="193">
        <v>1967</v>
      </c>
      <c r="C1117" s="196">
        <v>39.1904057898847</v>
      </c>
      <c r="D1117" s="196">
        <v>2.52776116297817</v>
      </c>
      <c r="E1117" s="191" t="s">
        <v>537</v>
      </c>
      <c r="G1117" s="193"/>
      <c r="H1117" s="193"/>
      <c r="I1117" s="193"/>
      <c r="J1117" s="193"/>
      <c r="K1117" s="193"/>
      <c r="L1117" s="193"/>
      <c r="M1117" s="193"/>
      <c r="N1117" s="193"/>
      <c r="O1117" s="193"/>
      <c r="P1117" s="193"/>
      <c r="Q1117" s="193"/>
      <c r="R1117" s="193"/>
      <c r="S1117" s="193"/>
      <c r="T1117" s="193"/>
      <c r="U1117" s="193"/>
      <c r="V1117" s="193"/>
    </row>
    <row r="1118" spans="1:22" s="191" customFormat="1">
      <c r="A1118" s="193" t="s">
        <v>557</v>
      </c>
      <c r="B1118" s="193">
        <v>1968</v>
      </c>
      <c r="C1118" s="196">
        <v>38.203825722796203</v>
      </c>
      <c r="D1118" s="196">
        <v>4.8421052631578902</v>
      </c>
      <c r="E1118" s="191" t="s">
        <v>537</v>
      </c>
      <c r="G1118" s="193"/>
      <c r="H1118" s="193"/>
      <c r="I1118" s="193"/>
      <c r="J1118" s="193"/>
      <c r="K1118" s="193"/>
      <c r="L1118" s="193"/>
      <c r="M1118" s="193"/>
      <c r="N1118" s="193"/>
      <c r="O1118" s="193"/>
      <c r="P1118" s="193"/>
      <c r="Q1118" s="193"/>
      <c r="R1118" s="193"/>
      <c r="S1118" s="193"/>
      <c r="T1118" s="193"/>
      <c r="U1118" s="193"/>
      <c r="V1118" s="193"/>
    </row>
    <row r="1119" spans="1:22" s="191" customFormat="1">
      <c r="A1119" s="193" t="s">
        <v>557</v>
      </c>
      <c r="B1119" s="193">
        <v>1969</v>
      </c>
      <c r="C1119" s="196">
        <v>35.932573531186499</v>
      </c>
      <c r="D1119" s="196">
        <v>3.1064015096530899</v>
      </c>
      <c r="E1119" s="191" t="s">
        <v>537</v>
      </c>
      <c r="G1119" s="193"/>
      <c r="H1119" s="193"/>
      <c r="I1119" s="193"/>
      <c r="J1119" s="193"/>
      <c r="K1119" s="193"/>
      <c r="L1119" s="193"/>
      <c r="M1119" s="193"/>
      <c r="N1119" s="193"/>
      <c r="O1119" s="193"/>
      <c r="P1119" s="193"/>
      <c r="Q1119" s="193"/>
      <c r="R1119" s="193"/>
      <c r="S1119" s="193"/>
      <c r="T1119" s="193"/>
      <c r="U1119" s="193"/>
      <c r="V1119" s="193"/>
    </row>
    <row r="1120" spans="1:22" s="191" customFormat="1">
      <c r="A1120" s="193" t="s">
        <v>557</v>
      </c>
      <c r="B1120" s="193">
        <v>1970</v>
      </c>
      <c r="C1120" s="196">
        <v>35.7236547192526</v>
      </c>
      <c r="D1120" s="196">
        <v>0.19006053780090701</v>
      </c>
      <c r="E1120" s="191" t="s">
        <v>537</v>
      </c>
      <c r="G1120" s="193"/>
      <c r="H1120" s="193"/>
      <c r="I1120" s="193"/>
      <c r="J1120" s="193"/>
      <c r="K1120" s="193"/>
      <c r="L1120" s="193"/>
      <c r="M1120" s="193"/>
      <c r="N1120" s="193"/>
      <c r="O1120" s="193"/>
      <c r="P1120" s="193"/>
      <c r="Q1120" s="193"/>
      <c r="R1120" s="193"/>
      <c r="S1120" s="193"/>
      <c r="T1120" s="193"/>
      <c r="U1120" s="193"/>
      <c r="V1120" s="193"/>
    </row>
    <row r="1121" spans="1:22" s="191" customFormat="1">
      <c r="A1121" s="193" t="s">
        <v>557</v>
      </c>
      <c r="B1121" s="193">
        <v>1971</v>
      </c>
      <c r="C1121" s="196">
        <v>35.332778173233898</v>
      </c>
      <c r="D1121" s="196">
        <v>3.3583924682077</v>
      </c>
      <c r="E1121" s="191" t="s">
        <v>537</v>
      </c>
      <c r="G1121" s="193"/>
      <c r="H1121" s="193"/>
      <c r="I1121" s="193"/>
      <c r="J1121" s="193"/>
      <c r="K1121" s="193"/>
      <c r="L1121" s="193"/>
      <c r="M1121" s="193"/>
      <c r="N1121" s="193"/>
      <c r="O1121" s="193"/>
      <c r="P1121" s="193"/>
      <c r="Q1121" s="193"/>
      <c r="R1121" s="193"/>
      <c r="S1121" s="193"/>
      <c r="T1121" s="193"/>
      <c r="U1121" s="193"/>
      <c r="V1121" s="193"/>
    </row>
    <row r="1122" spans="1:22" s="191" customFormat="1">
      <c r="A1122" s="193" t="s">
        <v>557</v>
      </c>
      <c r="B1122" s="193">
        <v>1972</v>
      </c>
      <c r="C1122" s="196">
        <v>34.514941509087997</v>
      </c>
      <c r="D1122" s="196">
        <v>5.31121836267645</v>
      </c>
      <c r="E1122" s="191" t="s">
        <v>537</v>
      </c>
      <c r="G1122" s="193"/>
      <c r="H1122" s="193"/>
      <c r="I1122" s="193"/>
      <c r="J1122" s="193"/>
      <c r="K1122" s="193"/>
      <c r="L1122" s="193"/>
      <c r="M1122" s="193"/>
      <c r="N1122" s="193"/>
      <c r="O1122" s="193"/>
      <c r="P1122" s="193"/>
      <c r="Q1122" s="193"/>
      <c r="R1122" s="193"/>
      <c r="S1122" s="193"/>
      <c r="T1122" s="193"/>
      <c r="U1122" s="193"/>
      <c r="V1122" s="193"/>
    </row>
    <row r="1123" spans="1:22" s="191" customFormat="1">
      <c r="A1123" s="193" t="s">
        <v>557</v>
      </c>
      <c r="B1123" s="193">
        <v>1973</v>
      </c>
      <c r="C1123" s="196">
        <v>33.143428004919301</v>
      </c>
      <c r="D1123" s="196">
        <v>5.79426382942101</v>
      </c>
      <c r="E1123" s="191" t="s">
        <v>537</v>
      </c>
      <c r="G1123" s="193"/>
      <c r="H1123" s="193"/>
      <c r="I1123" s="193"/>
      <c r="J1123" s="193"/>
      <c r="K1123" s="193"/>
      <c r="L1123" s="193"/>
      <c r="M1123" s="193"/>
      <c r="N1123" s="193"/>
      <c r="O1123" s="193"/>
      <c r="P1123" s="193"/>
      <c r="Q1123" s="193"/>
      <c r="R1123" s="193"/>
      <c r="S1123" s="193"/>
      <c r="T1123" s="193"/>
      <c r="U1123" s="193"/>
      <c r="V1123" s="193"/>
    </row>
    <row r="1124" spans="1:22" s="191" customFormat="1">
      <c r="A1124" s="193" t="s">
        <v>557</v>
      </c>
      <c r="B1124" s="193">
        <v>1974</v>
      </c>
      <c r="C1124" s="196">
        <v>31.681214787062402</v>
      </c>
      <c r="D1124" s="196">
        <v>-0.55114907463901197</v>
      </c>
      <c r="E1124" s="191" t="s">
        <v>537</v>
      </c>
      <c r="G1124" s="193"/>
      <c r="H1124" s="193"/>
      <c r="I1124" s="193"/>
      <c r="J1124" s="193"/>
      <c r="K1124" s="193"/>
      <c r="L1124" s="193"/>
      <c r="M1124" s="193"/>
      <c r="N1124" s="193"/>
      <c r="O1124" s="193"/>
      <c r="P1124" s="193"/>
      <c r="Q1124" s="193"/>
      <c r="R1124" s="193"/>
      <c r="S1124" s="193"/>
      <c r="T1124" s="193"/>
      <c r="U1124" s="193"/>
      <c r="V1124" s="193"/>
    </row>
    <row r="1125" spans="1:22" s="191" customFormat="1">
      <c r="A1125" s="193" t="s">
        <v>557</v>
      </c>
      <c r="B1125" s="193">
        <v>1975</v>
      </c>
      <c r="C1125" s="196">
        <v>32.557183855406997</v>
      </c>
      <c r="D1125" s="196">
        <v>-0.212683285956761</v>
      </c>
      <c r="E1125" s="191" t="s">
        <v>537</v>
      </c>
      <c r="G1125" s="193"/>
      <c r="H1125" s="193"/>
      <c r="I1125" s="193"/>
      <c r="J1125" s="193"/>
      <c r="K1125" s="193"/>
      <c r="L1125" s="193"/>
      <c r="M1125" s="193"/>
      <c r="N1125" s="193"/>
      <c r="O1125" s="193"/>
      <c r="P1125" s="193"/>
      <c r="Q1125" s="193"/>
      <c r="R1125" s="193"/>
      <c r="S1125" s="193"/>
      <c r="T1125" s="193"/>
      <c r="U1125" s="193"/>
      <c r="V1125" s="193"/>
    </row>
    <row r="1126" spans="1:22" s="191" customFormat="1">
      <c r="A1126" s="193" t="s">
        <v>557</v>
      </c>
      <c r="B1126" s="193">
        <v>1976</v>
      </c>
      <c r="C1126" s="196">
        <v>34.003781650772801</v>
      </c>
      <c r="D1126" s="196">
        <v>5.3653038221129297</v>
      </c>
      <c r="E1126" s="191" t="s">
        <v>537</v>
      </c>
      <c r="G1126" s="193"/>
      <c r="H1126" s="193"/>
      <c r="I1126" s="193"/>
      <c r="J1126" s="193"/>
      <c r="K1126" s="193"/>
      <c r="L1126" s="193"/>
      <c r="M1126" s="193"/>
      <c r="N1126" s="193"/>
      <c r="O1126" s="193"/>
      <c r="P1126" s="193"/>
      <c r="Q1126" s="193"/>
      <c r="R1126" s="193"/>
      <c r="S1126" s="193"/>
      <c r="T1126" s="193"/>
      <c r="U1126" s="193"/>
      <c r="V1126" s="193"/>
    </row>
    <row r="1127" spans="1:22" s="191" customFormat="1">
      <c r="A1127" s="193" t="s">
        <v>557</v>
      </c>
      <c r="B1127" s="193">
        <v>1977</v>
      </c>
      <c r="C1127" s="196">
        <v>34.423920003940701</v>
      </c>
      <c r="D1127" s="196">
        <v>4.5980588567093896</v>
      </c>
      <c r="E1127" s="191" t="s">
        <v>537</v>
      </c>
      <c r="G1127" s="193"/>
      <c r="H1127" s="193"/>
      <c r="I1127" s="193"/>
      <c r="J1127" s="193"/>
      <c r="K1127" s="193"/>
      <c r="L1127" s="193"/>
      <c r="M1127" s="193"/>
      <c r="N1127" s="193"/>
      <c r="O1127" s="193"/>
      <c r="P1127" s="193"/>
      <c r="Q1127" s="193"/>
      <c r="R1127" s="193"/>
      <c r="S1127" s="193"/>
      <c r="T1127" s="193"/>
      <c r="U1127" s="193"/>
      <c r="V1127" s="193"/>
    </row>
    <row r="1128" spans="1:22" s="191" customFormat="1">
      <c r="A1128" s="193" t="s">
        <v>557</v>
      </c>
      <c r="B1128" s="193">
        <v>1978</v>
      </c>
      <c r="C1128" s="196">
        <v>33.636062429156901</v>
      </c>
      <c r="D1128" s="196">
        <v>5.5767335477992601</v>
      </c>
      <c r="E1128" s="191" t="s">
        <v>537</v>
      </c>
      <c r="G1128" s="193"/>
      <c r="H1128" s="193"/>
      <c r="I1128" s="193"/>
      <c r="J1128" s="193"/>
      <c r="K1128" s="193"/>
      <c r="L1128" s="193"/>
      <c r="M1128" s="193"/>
      <c r="N1128" s="193"/>
      <c r="O1128" s="193"/>
      <c r="P1128" s="193"/>
      <c r="Q1128" s="193"/>
      <c r="R1128" s="193"/>
      <c r="S1128" s="193"/>
      <c r="T1128" s="193"/>
      <c r="U1128" s="193"/>
      <c r="V1128" s="193"/>
    </row>
    <row r="1129" spans="1:22" s="191" customFormat="1">
      <c r="A1129" s="193" t="s">
        <v>557</v>
      </c>
      <c r="B1129" s="193">
        <v>1979</v>
      </c>
      <c r="C1129" s="196">
        <v>32.258176567012697</v>
      </c>
      <c r="D1129" s="196">
        <v>3.1245596731013001</v>
      </c>
      <c r="E1129" s="191" t="s">
        <v>537</v>
      </c>
      <c r="G1129" s="193"/>
      <c r="H1129" s="193"/>
      <c r="I1129" s="193"/>
      <c r="J1129" s="193"/>
      <c r="K1129" s="193"/>
      <c r="L1129" s="193"/>
      <c r="M1129" s="193"/>
      <c r="N1129" s="193"/>
      <c r="O1129" s="193"/>
      <c r="P1129" s="193"/>
      <c r="Q1129" s="193"/>
      <c r="R1129" s="193"/>
      <c r="S1129" s="193"/>
      <c r="T1129" s="193"/>
      <c r="U1129" s="193"/>
      <c r="V1129" s="193"/>
    </row>
    <row r="1130" spans="1:22" s="191" customFormat="1">
      <c r="A1130" s="193" t="s">
        <v>557</v>
      </c>
      <c r="B1130" s="193">
        <v>1980</v>
      </c>
      <c r="C1130" s="196">
        <v>32.556256949176898</v>
      </c>
      <c r="D1130" s="196">
        <v>-0.27327070879590298</v>
      </c>
      <c r="E1130" s="191" t="s">
        <v>537</v>
      </c>
      <c r="G1130" s="193"/>
      <c r="H1130" s="193"/>
      <c r="I1130" s="193"/>
      <c r="J1130" s="193"/>
      <c r="K1130" s="193"/>
      <c r="L1130" s="193"/>
      <c r="M1130" s="193"/>
      <c r="N1130" s="193"/>
      <c r="O1130" s="193"/>
      <c r="P1130" s="193"/>
      <c r="Q1130" s="193"/>
      <c r="R1130" s="193"/>
      <c r="S1130" s="193"/>
      <c r="T1130" s="193"/>
      <c r="U1130" s="193"/>
      <c r="V1130" s="193"/>
    </row>
    <row r="1131" spans="1:22" s="191" customFormat="1">
      <c r="A1131" s="193" t="s">
        <v>557</v>
      </c>
      <c r="B1131" s="193">
        <v>1981</v>
      </c>
      <c r="C1131" s="196">
        <v>31.912978124600201</v>
      </c>
      <c r="D1131" s="196">
        <v>2.5381058400411001</v>
      </c>
      <c r="E1131" s="191" t="s">
        <v>537</v>
      </c>
      <c r="G1131" s="193"/>
      <c r="H1131" s="193"/>
      <c r="I1131" s="193"/>
      <c r="J1131" s="193"/>
      <c r="K1131" s="193"/>
      <c r="L1131" s="193"/>
      <c r="M1131" s="193"/>
      <c r="N1131" s="193"/>
      <c r="O1131" s="193"/>
      <c r="P1131" s="193"/>
      <c r="Q1131" s="193"/>
      <c r="R1131" s="193"/>
      <c r="S1131" s="193"/>
      <c r="T1131" s="193"/>
      <c r="U1131" s="193"/>
      <c r="V1131" s="193"/>
    </row>
    <row r="1132" spans="1:22" s="191" customFormat="1">
      <c r="A1132" s="193" t="s">
        <v>557</v>
      </c>
      <c r="B1132" s="193">
        <v>1982</v>
      </c>
      <c r="C1132" s="196">
        <v>35.104942825525598</v>
      </c>
      <c r="D1132" s="196">
        <v>-1.9424772848744001</v>
      </c>
      <c r="E1132" s="191" t="s">
        <v>537</v>
      </c>
      <c r="G1132" s="193"/>
      <c r="H1132" s="193"/>
      <c r="I1132" s="193"/>
      <c r="J1132" s="193"/>
      <c r="K1132" s="193"/>
      <c r="L1132" s="193"/>
      <c r="M1132" s="193"/>
      <c r="N1132" s="193"/>
      <c r="O1132" s="193"/>
      <c r="P1132" s="193"/>
      <c r="Q1132" s="193"/>
      <c r="R1132" s="193"/>
      <c r="S1132" s="193"/>
      <c r="T1132" s="193"/>
      <c r="U1132" s="193"/>
      <c r="V1132" s="193"/>
    </row>
    <row r="1133" spans="1:22" s="191" customFormat="1">
      <c r="A1133" s="193" t="s">
        <v>557</v>
      </c>
      <c r="B1133" s="193">
        <v>1983</v>
      </c>
      <c r="C1133" s="196">
        <v>38.963673400101897</v>
      </c>
      <c r="D1133" s="196">
        <v>4.51889829498033</v>
      </c>
      <c r="E1133" s="191" t="s">
        <v>537</v>
      </c>
      <c r="G1133" s="193"/>
      <c r="H1133" s="193"/>
      <c r="I1133" s="193"/>
      <c r="J1133" s="193"/>
      <c r="K1133" s="193"/>
      <c r="L1133" s="193"/>
      <c r="M1133" s="193"/>
      <c r="N1133" s="193"/>
      <c r="O1133" s="193"/>
      <c r="P1133" s="193"/>
      <c r="Q1133" s="193"/>
      <c r="R1133" s="193"/>
      <c r="S1133" s="193"/>
      <c r="T1133" s="193"/>
      <c r="U1133" s="193"/>
      <c r="V1133" s="193"/>
    </row>
    <row r="1134" spans="1:22" s="191" customFormat="1">
      <c r="A1134" s="193" t="s">
        <v>557</v>
      </c>
      <c r="B1134" s="193">
        <v>1984</v>
      </c>
      <c r="C1134" s="196">
        <v>39.997608690121901</v>
      </c>
      <c r="D1134" s="196">
        <v>7.1852286431341996</v>
      </c>
      <c r="E1134" s="191" t="s">
        <v>537</v>
      </c>
      <c r="G1134" s="193"/>
      <c r="H1134" s="193"/>
      <c r="I1134" s="193"/>
      <c r="J1134" s="193"/>
      <c r="K1134" s="193"/>
      <c r="L1134" s="193"/>
      <c r="M1134" s="193"/>
      <c r="N1134" s="193"/>
      <c r="O1134" s="193"/>
      <c r="P1134" s="193"/>
      <c r="Q1134" s="193"/>
      <c r="R1134" s="193"/>
      <c r="S1134" s="193"/>
      <c r="T1134" s="193"/>
      <c r="U1134" s="193"/>
      <c r="V1134" s="193"/>
    </row>
    <row r="1135" spans="1:22" s="191" customFormat="1">
      <c r="A1135" s="193" t="s">
        <v>557</v>
      </c>
      <c r="B1135" s="193">
        <v>1985</v>
      </c>
      <c r="C1135" s="196">
        <v>43.227101363366899</v>
      </c>
      <c r="D1135" s="196">
        <v>4.1386021194751397</v>
      </c>
      <c r="E1135" s="191" t="s">
        <v>537</v>
      </c>
      <c r="G1135" s="193"/>
      <c r="H1135" s="193"/>
      <c r="I1135" s="193"/>
      <c r="J1135" s="193"/>
      <c r="K1135" s="193"/>
      <c r="L1135" s="193"/>
      <c r="M1135" s="193"/>
      <c r="N1135" s="193"/>
      <c r="O1135" s="193"/>
      <c r="P1135" s="193"/>
      <c r="Q1135" s="193"/>
      <c r="R1135" s="193"/>
      <c r="S1135" s="193"/>
      <c r="T1135" s="193"/>
      <c r="U1135" s="193"/>
      <c r="V1135" s="193"/>
    </row>
    <row r="1136" spans="1:22" s="191" customFormat="1">
      <c r="A1136" s="193" t="s">
        <v>557</v>
      </c>
      <c r="B1136" s="193">
        <v>1986</v>
      </c>
      <c r="C1136" s="196">
        <v>47.651456618864998</v>
      </c>
      <c r="D1136" s="196">
        <v>3.4631276188807698</v>
      </c>
      <c r="E1136" s="191" t="s">
        <v>537</v>
      </c>
      <c r="G1136" s="193"/>
      <c r="H1136" s="193"/>
      <c r="I1136" s="193"/>
      <c r="J1136" s="193"/>
      <c r="K1136" s="193"/>
      <c r="L1136" s="193"/>
      <c r="M1136" s="193"/>
      <c r="N1136" s="193"/>
      <c r="O1136" s="193"/>
      <c r="P1136" s="193"/>
      <c r="Q1136" s="193"/>
      <c r="R1136" s="193"/>
      <c r="S1136" s="193"/>
      <c r="T1136" s="193"/>
      <c r="U1136" s="193"/>
      <c r="V1136" s="193"/>
    </row>
    <row r="1137" spans="1:23" s="191" customFormat="1">
      <c r="A1137" s="193" t="s">
        <v>557</v>
      </c>
      <c r="B1137" s="193">
        <v>1987</v>
      </c>
      <c r="C1137" s="196">
        <v>49.621587934992803</v>
      </c>
      <c r="D1137" s="196">
        <v>3.2004515628307302</v>
      </c>
      <c r="E1137" s="191" t="s">
        <v>537</v>
      </c>
      <c r="G1137" s="193"/>
      <c r="H1137" s="193"/>
      <c r="I1137" s="193"/>
      <c r="J1137" s="193"/>
      <c r="K1137" s="193"/>
      <c r="L1137" s="193"/>
      <c r="M1137" s="193"/>
      <c r="N1137" s="193"/>
      <c r="O1137" s="193"/>
      <c r="P1137" s="193"/>
      <c r="Q1137" s="193"/>
      <c r="R1137" s="193"/>
      <c r="S1137" s="193"/>
      <c r="T1137" s="193"/>
      <c r="U1137" s="193"/>
      <c r="V1137" s="193"/>
    </row>
    <row r="1138" spans="1:23" s="191" customFormat="1">
      <c r="A1138" s="193" t="s">
        <v>557</v>
      </c>
      <c r="B1138" s="193">
        <v>1988</v>
      </c>
      <c r="C1138" s="196">
        <v>51.022227904497697</v>
      </c>
      <c r="D1138" s="196">
        <v>4.1103195547837403</v>
      </c>
      <c r="E1138" s="191" t="s">
        <v>537</v>
      </c>
      <c r="G1138" s="193"/>
      <c r="H1138" s="193"/>
      <c r="I1138" s="193"/>
      <c r="J1138" s="193"/>
      <c r="K1138" s="193"/>
      <c r="L1138" s="193"/>
      <c r="M1138" s="193"/>
      <c r="N1138" s="193"/>
      <c r="O1138" s="193"/>
      <c r="P1138" s="193"/>
      <c r="Q1138" s="193"/>
      <c r="R1138" s="193"/>
      <c r="S1138" s="193"/>
      <c r="T1138" s="193"/>
      <c r="U1138" s="193"/>
      <c r="V1138" s="193"/>
    </row>
    <row r="1139" spans="1:23" s="191" customFormat="1">
      <c r="A1139" s="193" t="s">
        <v>557</v>
      </c>
      <c r="B1139" s="193">
        <v>1989</v>
      </c>
      <c r="C1139" s="196">
        <v>52.122926619124101</v>
      </c>
      <c r="D1139" s="196">
        <v>3.5724136119465801</v>
      </c>
      <c r="E1139" s="191" t="s">
        <v>537</v>
      </c>
      <c r="G1139" s="193"/>
      <c r="H1139" s="193"/>
      <c r="I1139" s="193"/>
      <c r="J1139" s="193"/>
      <c r="K1139" s="193"/>
      <c r="L1139" s="193"/>
      <c r="M1139" s="193"/>
      <c r="N1139" s="193"/>
      <c r="O1139" s="193"/>
      <c r="P1139" s="193"/>
      <c r="Q1139" s="193"/>
      <c r="R1139" s="193"/>
      <c r="S1139" s="193"/>
      <c r="T1139" s="193"/>
      <c r="U1139" s="193"/>
      <c r="V1139" s="193"/>
    </row>
    <row r="1140" spans="1:23" s="191" customFormat="1">
      <c r="A1140" s="193" t="s">
        <v>557</v>
      </c>
      <c r="B1140" s="193">
        <v>1990</v>
      </c>
      <c r="C1140" s="196">
        <v>55.741978308370001</v>
      </c>
      <c r="D1140" s="196">
        <v>1.8767673949707799</v>
      </c>
      <c r="E1140" s="191" t="s">
        <v>537</v>
      </c>
      <c r="G1140" s="193"/>
      <c r="H1140" s="193"/>
      <c r="I1140" s="193"/>
      <c r="J1140" s="193"/>
      <c r="K1140" s="193"/>
      <c r="L1140" s="193"/>
      <c r="M1140" s="193"/>
      <c r="N1140" s="193"/>
      <c r="O1140" s="193"/>
      <c r="P1140" s="193"/>
      <c r="Q1140" s="193"/>
      <c r="R1140" s="193"/>
      <c r="S1140" s="193"/>
      <c r="T1140" s="193"/>
      <c r="U1140" s="193"/>
      <c r="V1140" s="193"/>
    </row>
    <row r="1141" spans="1:23" s="191" customFormat="1">
      <c r="A1141" s="193" t="s">
        <v>557</v>
      </c>
      <c r="B1141" s="193">
        <v>1991</v>
      </c>
      <c r="C1141" s="196">
        <v>61.168928283857099</v>
      </c>
      <c r="D1141" s="196">
        <v>-0.23400838944970201</v>
      </c>
      <c r="E1141" s="191" t="s">
        <v>538</v>
      </c>
      <c r="G1141" s="193"/>
      <c r="H1141" s="193"/>
      <c r="I1141" s="193"/>
      <c r="J1141" s="193"/>
      <c r="K1141" s="193"/>
      <c r="L1141" s="193"/>
      <c r="M1141" s="193"/>
      <c r="N1141" s="193"/>
      <c r="O1141" s="193"/>
      <c r="P1141" s="193"/>
      <c r="Q1141" s="193"/>
      <c r="R1141" s="193"/>
      <c r="S1141" s="193"/>
      <c r="T1141" s="193"/>
      <c r="U1141" s="193"/>
      <c r="V1141" s="193"/>
    </row>
    <row r="1142" spans="1:23" s="191" customFormat="1">
      <c r="A1142" s="193" t="s">
        <v>557</v>
      </c>
      <c r="B1142" s="193">
        <v>1992</v>
      </c>
      <c r="C1142" s="196">
        <v>64.087486487898701</v>
      </c>
      <c r="D1142" s="196">
        <v>3.3935945902109799</v>
      </c>
      <c r="E1142" s="191" t="s">
        <v>538</v>
      </c>
      <c r="G1142" s="193"/>
      <c r="H1142" s="193"/>
      <c r="I1142" s="193"/>
      <c r="J1142" s="193"/>
      <c r="K1142" s="193"/>
      <c r="L1142" s="193"/>
      <c r="M1142" s="193"/>
      <c r="N1142" s="193"/>
      <c r="O1142" s="193"/>
      <c r="P1142" s="193"/>
      <c r="Q1142" s="193"/>
      <c r="R1142" s="193"/>
      <c r="S1142" s="193"/>
      <c r="T1142" s="193"/>
      <c r="U1142" s="193"/>
      <c r="V1142" s="193"/>
    </row>
    <row r="1143" spans="1:23" s="191" customFormat="1">
      <c r="A1143" s="193" t="s">
        <v>557</v>
      </c>
      <c r="B1143" s="193">
        <v>1993</v>
      </c>
      <c r="C1143" s="196">
        <v>66.165055091024996</v>
      </c>
      <c r="D1143" s="196">
        <v>2.8514196763644599</v>
      </c>
      <c r="E1143" s="191" t="s">
        <v>538</v>
      </c>
      <c r="G1143" s="193"/>
      <c r="H1143" s="193"/>
      <c r="I1143" s="193"/>
      <c r="J1143" s="193"/>
      <c r="K1143" s="193"/>
      <c r="L1143" s="193"/>
      <c r="M1143" s="193"/>
      <c r="N1143" s="193"/>
      <c r="O1143" s="193"/>
      <c r="P1143" s="193"/>
      <c r="Q1143" s="193"/>
      <c r="R1143" s="193"/>
      <c r="S1143" s="193"/>
      <c r="T1143" s="193"/>
      <c r="U1143" s="193"/>
      <c r="V1143" s="193"/>
    </row>
    <row r="1144" spans="1:23" s="191" customFormat="1">
      <c r="A1144" s="193" t="s">
        <v>557</v>
      </c>
      <c r="B1144" s="193">
        <v>1994</v>
      </c>
      <c r="C1144" s="196">
        <v>66.2331325864196</v>
      </c>
      <c r="D1144" s="196">
        <v>4.0746650397728699</v>
      </c>
      <c r="E1144" s="191" t="s">
        <v>538</v>
      </c>
      <c r="G1144" s="193"/>
      <c r="H1144" s="193"/>
      <c r="I1144" s="193"/>
      <c r="J1144" s="193"/>
      <c r="K1144" s="193"/>
      <c r="L1144" s="193"/>
      <c r="M1144" s="193"/>
      <c r="N1144" s="193"/>
      <c r="O1144" s="193"/>
      <c r="P1144" s="193"/>
      <c r="Q1144" s="193"/>
      <c r="R1144" s="193"/>
      <c r="S1144" s="193"/>
      <c r="T1144" s="193"/>
      <c r="U1144" s="193"/>
      <c r="V1144" s="193"/>
    </row>
    <row r="1145" spans="1:23" s="191" customFormat="1">
      <c r="A1145" s="193" t="s">
        <v>557</v>
      </c>
      <c r="B1145" s="193">
        <v>1995</v>
      </c>
      <c r="C1145" s="196">
        <v>67.082726215612198</v>
      </c>
      <c r="D1145" s="196">
        <v>2.5138940557114999</v>
      </c>
      <c r="E1145" s="191" t="s">
        <v>538</v>
      </c>
      <c r="G1145" s="193"/>
      <c r="H1145" s="193"/>
      <c r="I1145" s="193"/>
      <c r="J1145" s="193"/>
      <c r="K1145" s="193"/>
      <c r="L1145" s="193"/>
      <c r="M1145" s="193"/>
      <c r="N1145" s="193"/>
      <c r="O1145" s="193"/>
      <c r="P1145" s="193"/>
      <c r="Q1145" s="193"/>
      <c r="R1145" s="193"/>
      <c r="S1145" s="193"/>
      <c r="T1145" s="193"/>
      <c r="U1145" s="193"/>
      <c r="V1145" s="193"/>
    </row>
    <row r="1146" spans="1:23" s="191" customFormat="1">
      <c r="A1146" s="193" t="s">
        <v>557</v>
      </c>
      <c r="B1146" s="193">
        <v>1996</v>
      </c>
      <c r="C1146" s="196">
        <v>66.655749685985796</v>
      </c>
      <c r="D1146" s="196">
        <v>3.7410514971903499</v>
      </c>
      <c r="E1146" s="191" t="s">
        <v>538</v>
      </c>
      <c r="G1146" s="193"/>
      <c r="H1146" s="193"/>
      <c r="I1146" s="193"/>
      <c r="J1146" s="193"/>
      <c r="K1146" s="193"/>
      <c r="L1146" s="193"/>
      <c r="M1146" s="193"/>
      <c r="N1146" s="193"/>
      <c r="O1146" s="193"/>
      <c r="P1146" s="193"/>
      <c r="Q1146" s="193"/>
      <c r="R1146" s="193"/>
      <c r="S1146" s="193"/>
      <c r="T1146" s="193"/>
      <c r="U1146" s="193"/>
      <c r="V1146" s="193"/>
    </row>
    <row r="1147" spans="1:23" s="191" customFormat="1">
      <c r="A1147" s="193" t="s">
        <v>557</v>
      </c>
      <c r="B1147" s="193">
        <v>1997</v>
      </c>
      <c r="C1147" s="196">
        <v>64.965028219924605</v>
      </c>
      <c r="D1147" s="196">
        <v>4.4562694113781101</v>
      </c>
      <c r="E1147" s="191" t="s">
        <v>538</v>
      </c>
      <c r="G1147" s="193"/>
      <c r="H1147" s="193"/>
      <c r="I1147" s="193"/>
      <c r="J1147" s="193"/>
      <c r="K1147" s="193"/>
      <c r="L1147" s="193"/>
      <c r="M1147" s="193"/>
      <c r="N1147" s="193"/>
      <c r="O1147" s="193"/>
      <c r="P1147" s="193"/>
      <c r="Q1147" s="193"/>
      <c r="R1147" s="193"/>
      <c r="S1147" s="193"/>
      <c r="T1147" s="193"/>
      <c r="U1147" s="193"/>
      <c r="V1147" s="193"/>
    </row>
    <row r="1148" spans="1:23" s="191" customFormat="1">
      <c r="A1148" s="193" t="s">
        <v>557</v>
      </c>
      <c r="B1148" s="193">
        <v>1998</v>
      </c>
      <c r="C1148" s="196">
        <v>62.844066741320297</v>
      </c>
      <c r="D1148" s="196">
        <v>4.3554590381863898</v>
      </c>
      <c r="E1148" s="191" t="s">
        <v>538</v>
      </c>
      <c r="G1148" s="193"/>
      <c r="H1148" s="193"/>
      <c r="I1148" s="193"/>
      <c r="J1148" s="193"/>
      <c r="K1148" s="193"/>
      <c r="L1148" s="193"/>
      <c r="M1148" s="193"/>
      <c r="N1148" s="193"/>
      <c r="O1148" s="193"/>
      <c r="P1148" s="193"/>
      <c r="Q1148" s="193"/>
      <c r="R1148" s="193"/>
      <c r="S1148" s="193"/>
      <c r="T1148" s="193"/>
      <c r="U1148" s="193"/>
      <c r="V1148" s="193"/>
      <c r="W1148" s="193"/>
    </row>
    <row r="1149" spans="1:23" s="191" customFormat="1">
      <c r="A1149" s="193" t="s">
        <v>557</v>
      </c>
      <c r="B1149" s="193">
        <v>1999</v>
      </c>
      <c r="C1149" s="196">
        <v>60.472239285989197</v>
      </c>
      <c r="D1149" s="196">
        <v>4.8261778577332501</v>
      </c>
      <c r="E1149" s="191" t="s">
        <v>538</v>
      </c>
      <c r="G1149" s="193"/>
      <c r="H1149" s="193"/>
      <c r="I1149" s="193"/>
      <c r="J1149" s="193"/>
      <c r="K1149" s="193"/>
      <c r="L1149" s="193"/>
      <c r="M1149" s="193"/>
      <c r="N1149" s="193"/>
      <c r="O1149" s="193"/>
      <c r="P1149" s="193"/>
      <c r="Q1149" s="193"/>
      <c r="R1149" s="193"/>
      <c r="S1149" s="193"/>
      <c r="T1149" s="193"/>
      <c r="U1149" s="193"/>
      <c r="V1149" s="193"/>
      <c r="W1149" s="193"/>
    </row>
    <row r="1150" spans="1:23" s="191" customFormat="1">
      <c r="A1150" s="193" t="s">
        <v>557</v>
      </c>
      <c r="B1150" s="193">
        <v>2000</v>
      </c>
      <c r="C1150" s="196">
        <v>57.018320955504201</v>
      </c>
      <c r="D1150" s="196">
        <v>4.1392233622145298</v>
      </c>
      <c r="E1150" s="191" t="s">
        <v>537</v>
      </c>
      <c r="G1150" s="193"/>
      <c r="H1150" s="193"/>
      <c r="I1150" s="193"/>
      <c r="J1150" s="193"/>
      <c r="K1150" s="193"/>
      <c r="L1150" s="193"/>
      <c r="M1150" s="193"/>
      <c r="N1150" s="193"/>
      <c r="O1150" s="193"/>
      <c r="P1150" s="193"/>
      <c r="Q1150" s="193"/>
      <c r="R1150" s="193"/>
      <c r="S1150" s="193"/>
      <c r="T1150" s="193"/>
      <c r="U1150" s="193"/>
      <c r="V1150" s="193"/>
      <c r="W1150" s="193"/>
    </row>
    <row r="1151" spans="1:23" s="191" customFormat="1">
      <c r="A1151" s="193" t="s">
        <v>557</v>
      </c>
      <c r="B1151" s="193">
        <v>2001</v>
      </c>
      <c r="C1151" s="196">
        <v>56.458783731601599</v>
      </c>
      <c r="D1151" s="196">
        <v>1.0796365579903899</v>
      </c>
      <c r="E1151" s="191" t="s">
        <v>537</v>
      </c>
      <c r="G1151" s="193"/>
      <c r="H1151" s="193"/>
      <c r="I1151" s="193"/>
      <c r="J1151" s="193"/>
      <c r="K1151" s="193"/>
      <c r="L1151" s="193"/>
      <c r="M1151" s="193"/>
      <c r="N1151" s="193"/>
      <c r="O1151" s="193"/>
      <c r="P1151" s="193"/>
      <c r="Q1151" s="193"/>
      <c r="R1151" s="193"/>
      <c r="S1151" s="193"/>
      <c r="T1151" s="193"/>
      <c r="U1151" s="193"/>
      <c r="V1151" s="193"/>
      <c r="W1151" s="193"/>
    </row>
    <row r="1152" spans="1:23" s="191" customFormat="1">
      <c r="A1152" s="193" t="s">
        <v>557</v>
      </c>
      <c r="B1152" s="193">
        <v>2002</v>
      </c>
      <c r="C1152" s="196">
        <v>58.523401572940102</v>
      </c>
      <c r="D1152" s="196">
        <v>1.8136632825719099</v>
      </c>
      <c r="E1152" s="191" t="s">
        <v>537</v>
      </c>
      <c r="G1152" s="193"/>
      <c r="H1152" s="193"/>
      <c r="I1152" s="193"/>
      <c r="J1152" s="193"/>
      <c r="K1152" s="193"/>
      <c r="L1152" s="193"/>
      <c r="M1152" s="193"/>
      <c r="N1152" s="193"/>
      <c r="O1152" s="193"/>
      <c r="P1152" s="193"/>
      <c r="Q1152" s="193"/>
      <c r="R1152" s="193"/>
      <c r="S1152" s="193"/>
      <c r="T1152" s="193"/>
      <c r="U1152" s="193"/>
      <c r="V1152" s="193"/>
      <c r="W1152" s="193"/>
    </row>
    <row r="1153" spans="1:23" s="191" customFormat="1">
      <c r="A1153" s="193" t="s">
        <v>557</v>
      </c>
      <c r="B1153" s="193">
        <v>2003</v>
      </c>
      <c r="C1153" s="196">
        <v>60.879287232604298</v>
      </c>
      <c r="D1153" s="196">
        <v>2.49026226954039</v>
      </c>
      <c r="E1153" s="191" t="s">
        <v>538</v>
      </c>
      <c r="G1153" s="193"/>
      <c r="H1153" s="193"/>
      <c r="I1153" s="193"/>
      <c r="J1153" s="193"/>
      <c r="K1153" s="193"/>
      <c r="L1153" s="193"/>
      <c r="M1153" s="193"/>
      <c r="N1153" s="193"/>
      <c r="O1153" s="193"/>
      <c r="P1153" s="193"/>
      <c r="Q1153" s="193"/>
      <c r="R1153" s="193"/>
      <c r="S1153" s="193"/>
      <c r="T1153" s="193"/>
      <c r="U1153" s="193"/>
      <c r="V1153" s="193"/>
      <c r="W1153" s="193"/>
    </row>
    <row r="1154" spans="1:23" s="191" customFormat="1">
      <c r="A1154" s="193" t="s">
        <v>557</v>
      </c>
      <c r="B1154" s="193">
        <v>2004</v>
      </c>
      <c r="C1154" s="196">
        <v>62.177090078447598</v>
      </c>
      <c r="D1154" s="196">
        <v>3.57326847230315</v>
      </c>
      <c r="E1154" s="191" t="s">
        <v>538</v>
      </c>
      <c r="G1154" s="193"/>
      <c r="H1154" s="193"/>
      <c r="I1154" s="193"/>
      <c r="J1154" s="193"/>
      <c r="K1154" s="193"/>
      <c r="L1154" s="193"/>
      <c r="M1154" s="193"/>
      <c r="N1154" s="193"/>
      <c r="O1154" s="193"/>
      <c r="P1154" s="193"/>
      <c r="Q1154" s="193"/>
      <c r="R1154" s="193"/>
      <c r="S1154" s="193"/>
      <c r="T1154" s="193"/>
      <c r="U1154" s="193"/>
      <c r="V1154" s="193"/>
      <c r="W1154" s="193"/>
    </row>
    <row r="1155" spans="1:23" s="191" customFormat="1">
      <c r="A1155" s="193" t="s">
        <v>557</v>
      </c>
      <c r="B1155" s="193">
        <v>2005</v>
      </c>
      <c r="C1155" s="196">
        <v>62.766724124287897</v>
      </c>
      <c r="D1155" s="196">
        <v>3.0545181754431798</v>
      </c>
      <c r="E1155" s="191" t="s">
        <v>538</v>
      </c>
      <c r="G1155" s="193"/>
      <c r="H1155" s="193"/>
      <c r="I1155" s="193"/>
      <c r="J1155" s="193"/>
      <c r="K1155" s="193"/>
      <c r="L1155" s="193"/>
      <c r="M1155" s="193"/>
      <c r="N1155" s="193"/>
      <c r="O1155" s="193"/>
      <c r="P1155" s="193"/>
      <c r="Q1155" s="193"/>
      <c r="R1155" s="193"/>
      <c r="S1155" s="193"/>
      <c r="T1155" s="193"/>
      <c r="U1155" s="193"/>
      <c r="V1155" s="193"/>
      <c r="W1155" s="193"/>
    </row>
    <row r="1156" spans="1:23" s="191" customFormat="1">
      <c r="A1156" s="193" t="s">
        <v>557</v>
      </c>
      <c r="B1156" s="193">
        <v>2006</v>
      </c>
      <c r="C1156" s="196">
        <v>63.489973256921701</v>
      </c>
      <c r="D1156" s="196">
        <v>2.6728066843904301</v>
      </c>
      <c r="E1156" s="191" t="s">
        <v>538</v>
      </c>
      <c r="G1156" s="193"/>
      <c r="H1156" s="193"/>
      <c r="I1156" s="193"/>
      <c r="J1156" s="193"/>
      <c r="K1156" s="193"/>
      <c r="L1156" s="193"/>
      <c r="M1156" s="193"/>
      <c r="N1156" s="193"/>
      <c r="O1156" s="193"/>
      <c r="P1156" s="193"/>
      <c r="Q1156" s="193"/>
      <c r="R1156" s="193"/>
      <c r="S1156" s="193"/>
      <c r="T1156" s="193"/>
      <c r="U1156" s="193"/>
      <c r="V1156" s="193"/>
      <c r="W1156" s="193"/>
    </row>
    <row r="1157" spans="1:23" s="191" customFormat="1">
      <c r="A1157" s="193" t="s">
        <v>557</v>
      </c>
      <c r="B1157" s="193">
        <v>2007</v>
      </c>
      <c r="C1157" s="196">
        <v>63.985487634654902</v>
      </c>
      <c r="D1157" s="196">
        <v>2.1416131070729501</v>
      </c>
      <c r="E1157" s="191" t="s">
        <v>538</v>
      </c>
      <c r="G1157" s="193"/>
      <c r="H1157" s="193"/>
      <c r="I1157" s="193"/>
      <c r="J1157" s="193"/>
      <c r="K1157" s="193"/>
      <c r="L1157" s="193"/>
      <c r="M1157" s="193"/>
      <c r="N1157" s="193"/>
      <c r="O1157" s="193"/>
      <c r="P1157" s="193"/>
      <c r="Q1157" s="193"/>
      <c r="R1157" s="193"/>
      <c r="S1157" s="193"/>
      <c r="T1157" s="193"/>
      <c r="U1157" s="193"/>
      <c r="V1157" s="193"/>
      <c r="W1157" s="193"/>
    </row>
    <row r="1158" spans="1:23" s="191" customFormat="1">
      <c r="A1158" s="193" t="s">
        <v>557</v>
      </c>
      <c r="B1158" s="193">
        <v>2008</v>
      </c>
      <c r="C1158" s="196">
        <v>74.091060958319602</v>
      </c>
      <c r="D1158" s="196">
        <v>0.43816630325710398</v>
      </c>
      <c r="E1158" s="191" t="s">
        <v>538</v>
      </c>
      <c r="G1158" s="193"/>
      <c r="H1158" s="193"/>
      <c r="I1158" s="193"/>
      <c r="J1158" s="193"/>
      <c r="K1158" s="193"/>
      <c r="L1158" s="193"/>
      <c r="M1158" s="193"/>
      <c r="N1158" s="193"/>
      <c r="O1158" s="193"/>
      <c r="P1158" s="193"/>
      <c r="Q1158" s="193"/>
      <c r="R1158" s="193"/>
      <c r="S1158" s="193"/>
      <c r="T1158" s="193"/>
      <c r="U1158" s="193"/>
      <c r="V1158" s="193"/>
      <c r="W1158" s="193"/>
    </row>
    <row r="1159" spans="1:23" s="191" customFormat="1">
      <c r="A1159" s="193" t="s">
        <v>557</v>
      </c>
      <c r="B1159" s="193">
        <v>2009</v>
      </c>
      <c r="C1159" s="196">
        <v>83.482834708413293</v>
      </c>
      <c r="D1159" s="196">
        <v>-2.7301699384210298</v>
      </c>
      <c r="E1159" s="191" t="s">
        <v>538</v>
      </c>
      <c r="G1159" s="193"/>
      <c r="H1159" s="193"/>
      <c r="I1159" s="193"/>
      <c r="J1159" s="193"/>
      <c r="K1159" s="193"/>
      <c r="L1159" s="193"/>
      <c r="M1159" s="193"/>
      <c r="N1159" s="193"/>
      <c r="O1159" s="193"/>
      <c r="P1159" s="193"/>
      <c r="Q1159" s="193"/>
      <c r="R1159" s="193"/>
      <c r="S1159" s="193"/>
      <c r="T1159" s="193"/>
      <c r="U1159" s="193"/>
      <c r="V1159" s="193"/>
      <c r="W1159" s="193"/>
    </row>
    <row r="1160" spans="1:23" s="191" customFormat="1">
      <c r="A1160" s="193"/>
      <c r="B1160" s="193"/>
      <c r="C1160" s="193"/>
      <c r="D1160" s="193"/>
      <c r="G1160" s="193"/>
      <c r="H1160" s="193"/>
      <c r="I1160" s="193"/>
      <c r="J1160" s="193"/>
      <c r="K1160" s="193"/>
      <c r="L1160" s="193"/>
      <c r="M1160" s="193"/>
      <c r="N1160" s="193"/>
      <c r="O1160" s="193"/>
      <c r="P1160" s="193"/>
      <c r="Q1160" s="193"/>
      <c r="R1160" s="193"/>
      <c r="S1160" s="193"/>
      <c r="T1160" s="193"/>
      <c r="U1160" s="193"/>
      <c r="V1160" s="193"/>
      <c r="W1160" s="193"/>
    </row>
    <row r="1161" spans="1:23" s="191" customFormat="1">
      <c r="A1161" s="193"/>
      <c r="B1161" s="193"/>
      <c r="C1161" s="193"/>
      <c r="D1161" s="193"/>
      <c r="G1161" s="193"/>
      <c r="H1161" s="193"/>
      <c r="I1161" s="193"/>
      <c r="J1161" s="193"/>
      <c r="K1161" s="193"/>
      <c r="L1161" s="193"/>
      <c r="M1161" s="193"/>
      <c r="N1161" s="193"/>
      <c r="O1161" s="193"/>
      <c r="P1161" s="193"/>
      <c r="Q1161" s="193"/>
      <c r="R1161" s="193"/>
      <c r="S1161" s="193"/>
      <c r="T1161" s="193"/>
      <c r="U1161" s="193"/>
      <c r="V1161" s="193"/>
      <c r="W1161" s="193"/>
    </row>
    <row r="1162" spans="1:23" s="191" customFormat="1">
      <c r="A1162" s="193"/>
      <c r="B1162" s="193"/>
      <c r="C1162" s="193"/>
      <c r="D1162" s="193"/>
      <c r="G1162" s="193"/>
      <c r="H1162" s="193"/>
      <c r="I1162" s="193"/>
      <c r="J1162" s="193"/>
      <c r="K1162" s="193"/>
      <c r="L1162" s="193"/>
      <c r="M1162" s="193"/>
      <c r="N1162" s="193"/>
      <c r="O1162" s="193"/>
      <c r="P1162" s="193"/>
      <c r="Q1162" s="193"/>
      <c r="R1162" s="193"/>
      <c r="S1162" s="193"/>
      <c r="T1162" s="193"/>
      <c r="U1162" s="193"/>
      <c r="V1162" s="193"/>
      <c r="W1162" s="193"/>
    </row>
    <row r="1163" spans="1:23" s="191" customFormat="1">
      <c r="A1163" s="193"/>
      <c r="B1163" s="193"/>
      <c r="C1163" s="193"/>
      <c r="D1163" s="193"/>
      <c r="G1163" s="193"/>
      <c r="H1163" s="193"/>
      <c r="I1163" s="193"/>
      <c r="J1163" s="193"/>
      <c r="K1163" s="193"/>
      <c r="L1163" s="193"/>
      <c r="M1163" s="193"/>
      <c r="N1163" s="193"/>
      <c r="O1163" s="193"/>
      <c r="P1163" s="193"/>
      <c r="Q1163" s="193"/>
      <c r="R1163" s="193"/>
      <c r="S1163" s="193"/>
      <c r="T1163" s="193"/>
      <c r="U1163" s="193"/>
      <c r="V1163" s="193"/>
      <c r="W1163" s="193"/>
    </row>
    <row r="1164" spans="1:23" s="191" customFormat="1">
      <c r="A1164" s="193"/>
      <c r="B1164" s="193"/>
      <c r="C1164" s="193"/>
      <c r="D1164" s="193"/>
      <c r="G1164" s="193"/>
      <c r="H1164" s="193"/>
      <c r="I1164" s="193"/>
      <c r="J1164" s="193"/>
      <c r="K1164" s="193"/>
      <c r="L1164" s="193"/>
      <c r="M1164" s="193"/>
      <c r="N1164" s="193"/>
      <c r="O1164" s="193"/>
      <c r="P1164" s="193"/>
      <c r="Q1164" s="193"/>
      <c r="R1164" s="193"/>
      <c r="S1164" s="193"/>
      <c r="T1164" s="193"/>
      <c r="U1164" s="193"/>
      <c r="V1164" s="193"/>
      <c r="W1164" s="193"/>
    </row>
  </sheetData>
  <autoFilter ref="A2:E1163">
    <filterColumn colId="2"/>
  </autoFilter>
  <hyperlinks>
    <hyperlink ref="B1" r:id="rId1"/>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dimension ref="A1:Q2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1.42578125" defaultRowHeight="12.75"/>
  <cols>
    <col min="1" max="1" width="11.42578125" customWidth="1"/>
    <col min="2" max="2" width="6.28515625" customWidth="1"/>
    <col min="3" max="3" width="10" customWidth="1"/>
    <col min="4" max="4" width="9.140625" customWidth="1"/>
    <col min="5" max="5" width="10.140625" customWidth="1"/>
    <col min="6" max="6" width="4.7109375" customWidth="1"/>
    <col min="7" max="7" width="9.5703125" customWidth="1"/>
    <col min="8" max="8" width="9.42578125" customWidth="1"/>
    <col min="9" max="9" width="9.7109375" customWidth="1"/>
    <col min="10" max="10" width="7.28515625" style="67" customWidth="1"/>
    <col min="11" max="11" width="9.28515625" customWidth="1"/>
    <col min="12" max="12" width="5.5703125" customWidth="1"/>
    <col min="13" max="13" width="11" customWidth="1"/>
    <col min="14" max="14" width="4.28515625" customWidth="1"/>
    <col min="15" max="15" width="8.85546875" customWidth="1"/>
    <col min="16" max="16" width="10" customWidth="1"/>
  </cols>
  <sheetData>
    <row r="1" spans="1:17" ht="38.25">
      <c r="B1" s="79"/>
      <c r="C1" s="204" t="s">
        <v>323</v>
      </c>
      <c r="D1" s="204"/>
      <c r="E1" s="204"/>
      <c r="F1" s="143"/>
      <c r="G1" s="203" t="s">
        <v>324</v>
      </c>
      <c r="H1" s="203"/>
      <c r="I1" s="203"/>
      <c r="J1" s="145"/>
      <c r="K1" s="144"/>
      <c r="L1" s="79"/>
      <c r="M1" s="146" t="s">
        <v>325</v>
      </c>
      <c r="N1" s="146"/>
      <c r="O1" s="202" t="s">
        <v>326</v>
      </c>
      <c r="P1" s="202"/>
    </row>
    <row r="2" spans="1:17" ht="39.75">
      <c r="A2" s="147" t="s">
        <v>327</v>
      </c>
      <c r="B2" s="81" t="s">
        <v>340</v>
      </c>
      <c r="C2" s="82" t="s">
        <v>328</v>
      </c>
      <c r="D2" s="82" t="s">
        <v>329</v>
      </c>
      <c r="E2" s="82" t="s">
        <v>330</v>
      </c>
      <c r="F2" s="82"/>
      <c r="G2" s="82" t="s">
        <v>328</v>
      </c>
      <c r="H2" s="82" t="s">
        <v>329</v>
      </c>
      <c r="I2" s="82" t="s">
        <v>330</v>
      </c>
      <c r="J2" s="142"/>
      <c r="K2" s="147" t="s">
        <v>327</v>
      </c>
      <c r="L2" s="81" t="s">
        <v>340</v>
      </c>
      <c r="M2" s="82" t="s">
        <v>331</v>
      </c>
      <c r="N2" s="82"/>
      <c r="O2" s="82" t="s">
        <v>332</v>
      </c>
      <c r="P2" s="82" t="s">
        <v>330</v>
      </c>
    </row>
    <row r="3" spans="1:17">
      <c r="A3" s="3" t="s">
        <v>333</v>
      </c>
      <c r="B3" s="79">
        <v>0.2</v>
      </c>
      <c r="C3" s="79">
        <v>-180</v>
      </c>
      <c r="D3" s="79">
        <f>C3-$C$6</f>
        <v>-209</v>
      </c>
      <c r="E3" s="79">
        <f>(C3-$C$6)^2</f>
        <v>43681</v>
      </c>
      <c r="F3" s="79"/>
      <c r="G3" s="79">
        <v>-10</v>
      </c>
      <c r="H3" s="79">
        <f>G3-$G$6</f>
        <v>-25.5</v>
      </c>
      <c r="I3" s="79">
        <f>(G3-$G$6)^2</f>
        <v>650.25</v>
      </c>
      <c r="K3" s="3" t="s">
        <v>333</v>
      </c>
      <c r="L3" s="79">
        <v>0.2</v>
      </c>
      <c r="M3" s="79">
        <f>H3*D3</f>
        <v>5329.5</v>
      </c>
      <c r="N3" s="79"/>
      <c r="O3" s="79">
        <f>G3+C3</f>
        <v>-190</v>
      </c>
      <c r="P3" s="79">
        <f>(O3-$O$6)^2</f>
        <v>54990.25</v>
      </c>
    </row>
    <row r="4" spans="1:17">
      <c r="A4" s="3" t="s">
        <v>165</v>
      </c>
      <c r="B4" s="79">
        <v>0.5</v>
      </c>
      <c r="C4" s="79">
        <v>10</v>
      </c>
      <c r="D4" s="79">
        <f>C4-$C$6</f>
        <v>-19</v>
      </c>
      <c r="E4" s="79">
        <f>(C4-$C$6)^2</f>
        <v>361</v>
      </c>
      <c r="F4" s="79"/>
      <c r="G4" s="79">
        <v>5</v>
      </c>
      <c r="H4" s="79">
        <f>G4-$G$6</f>
        <v>-10.5</v>
      </c>
      <c r="I4" s="79">
        <f>(G4-$G$6)^2</f>
        <v>110.25</v>
      </c>
      <c r="K4" s="3" t="s">
        <v>165</v>
      </c>
      <c r="L4" s="79">
        <v>0.5</v>
      </c>
      <c r="M4" s="79">
        <f>H4*D4</f>
        <v>199.5</v>
      </c>
      <c r="N4" s="79"/>
      <c r="O4" s="79">
        <f>G4+C4</f>
        <v>15</v>
      </c>
      <c r="P4" s="79">
        <f>(O4-$O$6)^2</f>
        <v>870.25</v>
      </c>
    </row>
    <row r="5" spans="1:17">
      <c r="A5" s="3" t="s">
        <v>334</v>
      </c>
      <c r="B5" s="79">
        <v>0.3</v>
      </c>
      <c r="C5" s="79">
        <v>200</v>
      </c>
      <c r="D5" s="79">
        <f>C5-$C$6</f>
        <v>171</v>
      </c>
      <c r="E5" s="79">
        <f>(C5-$C$6)^2</f>
        <v>29241</v>
      </c>
      <c r="F5" s="79"/>
      <c r="G5" s="79">
        <v>50</v>
      </c>
      <c r="H5" s="79">
        <f>G5-$G$6</f>
        <v>34.5</v>
      </c>
      <c r="I5" s="79">
        <f>(G5-$G$6)^2</f>
        <v>1190.25</v>
      </c>
      <c r="K5" s="3" t="s">
        <v>334</v>
      </c>
      <c r="L5" s="79">
        <v>0.3</v>
      </c>
      <c r="M5" s="79">
        <f>H5*D5</f>
        <v>5899.5</v>
      </c>
      <c r="N5" s="79"/>
      <c r="O5" s="79">
        <f>G5+C5</f>
        <v>250</v>
      </c>
      <c r="P5" s="79">
        <f>(O5-$O$6)^2</f>
        <v>42230.25</v>
      </c>
    </row>
    <row r="6" spans="1:17">
      <c r="A6" t="s">
        <v>335</v>
      </c>
      <c r="B6" s="79"/>
      <c r="C6" s="79">
        <f>SUMPRODUCT(C3:C5,$B$3:$B$5)</f>
        <v>29</v>
      </c>
      <c r="D6" s="79"/>
      <c r="E6" s="79"/>
      <c r="F6" s="79"/>
      <c r="G6" s="79">
        <f>SUMPRODUCT(G3:G5,$B$3:$B$5)</f>
        <v>15.5</v>
      </c>
      <c r="H6" s="79"/>
      <c r="I6" s="79"/>
      <c r="N6" s="81" t="s">
        <v>336</v>
      </c>
      <c r="O6" s="79">
        <f>SUMPRODUCT(O3:O5,$B$3:$B$5)</f>
        <v>44.5</v>
      </c>
      <c r="P6" s="148">
        <f>SUMPRODUCT(P3:P5,$B$3:$B$5)</f>
        <v>24102.25</v>
      </c>
      <c r="Q6" t="s">
        <v>337</v>
      </c>
    </row>
    <row r="7" spans="1:17">
      <c r="A7" t="s">
        <v>341</v>
      </c>
      <c r="B7" s="79"/>
      <c r="C7" s="149">
        <f>SUMPRODUCT(E3:E5,$B$3:$B$5)</f>
        <v>17689</v>
      </c>
      <c r="D7" s="150"/>
      <c r="E7" s="81" t="s">
        <v>239</v>
      </c>
      <c r="F7" s="81"/>
      <c r="G7" s="149">
        <f>SUMPRODUCT(I3:I5,$B$3:$B$5)</f>
        <v>542.25</v>
      </c>
      <c r="H7" s="150"/>
      <c r="I7" s="81" t="s">
        <v>239</v>
      </c>
      <c r="J7" s="66"/>
      <c r="L7" s="81" t="s">
        <v>57</v>
      </c>
      <c r="M7" s="149">
        <f>SUMPRODUCT($M$3:$M$5,$B$3:$B$5)</f>
        <v>2935.5</v>
      </c>
      <c r="N7" s="81"/>
      <c r="O7" s="81"/>
      <c r="P7" s="148">
        <f>C7+G7</f>
        <v>18231.25</v>
      </c>
      <c r="Q7" t="s">
        <v>338</v>
      </c>
    </row>
    <row r="8" spans="1:17">
      <c r="A8" t="s">
        <v>108</v>
      </c>
      <c r="B8" s="79"/>
      <c r="C8" s="88">
        <f>SQRT(C7)</f>
        <v>133</v>
      </c>
      <c r="D8" s="88"/>
      <c r="E8" s="88"/>
      <c r="F8" s="88"/>
      <c r="G8" s="149">
        <f>SQRT(G7)</f>
        <v>23.286262044390035</v>
      </c>
      <c r="H8" s="149"/>
      <c r="I8" s="149"/>
      <c r="J8" s="151"/>
      <c r="L8" s="3" t="s">
        <v>58</v>
      </c>
      <c r="M8" s="92">
        <f>M7/(C8*G8)</f>
        <v>0.94783046456122255</v>
      </c>
      <c r="N8" s="149"/>
      <c r="O8" s="79"/>
      <c r="P8" s="152">
        <f>G7+C7+2*M7</f>
        <v>24102.25</v>
      </c>
      <c r="Q8" t="s">
        <v>339</v>
      </c>
    </row>
    <row r="9" spans="1:17">
      <c r="B9" s="79"/>
      <c r="C9" s="79"/>
      <c r="D9" s="79"/>
      <c r="E9" s="81"/>
      <c r="F9" s="81"/>
      <c r="G9" s="79"/>
      <c r="H9" s="79"/>
      <c r="I9" s="81" t="s">
        <v>239</v>
      </c>
      <c r="J9" s="66"/>
      <c r="N9" s="149"/>
      <c r="O9" s="79"/>
      <c r="P9" s="79"/>
    </row>
    <row r="10" spans="1:17">
      <c r="B10" s="79"/>
      <c r="C10" s="79"/>
      <c r="D10" s="79"/>
      <c r="E10" s="79"/>
      <c r="F10" s="79"/>
      <c r="G10" s="79"/>
      <c r="H10" s="79"/>
      <c r="I10" s="79"/>
      <c r="N10" s="92"/>
      <c r="O10" s="79"/>
      <c r="P10" s="79"/>
    </row>
    <row r="11" spans="1:17">
      <c r="B11" s="79"/>
      <c r="C11" s="79"/>
      <c r="D11" s="79"/>
      <c r="E11" s="79"/>
      <c r="F11" s="79"/>
      <c r="G11" s="79"/>
      <c r="H11" s="79"/>
      <c r="I11" s="79"/>
      <c r="K11" s="79"/>
      <c r="L11" s="79"/>
      <c r="M11" s="79"/>
      <c r="N11" s="79"/>
      <c r="O11" s="79"/>
      <c r="P11" s="79"/>
    </row>
    <row r="19" spans="3:3">
      <c r="C19">
        <v>99</v>
      </c>
    </row>
    <row r="20" spans="3:3">
      <c r="C20">
        <v>14</v>
      </c>
    </row>
    <row r="21" spans="3:3">
      <c r="C21">
        <v>56</v>
      </c>
    </row>
  </sheetData>
  <mergeCells count="3">
    <mergeCell ref="O1:P1"/>
    <mergeCell ref="G1:I1"/>
    <mergeCell ref="C1:E1"/>
  </mergeCells>
  <phoneticPr fontId="0" type="noConversion"/>
  <printOptions gridLines="1"/>
  <pageMargins left="0.78740157499999996" right="0.78740157499999996" top="0.984251969" bottom="0.984251969" header="0.4921259845" footer="0.4921259845"/>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dimension ref="A1:E163"/>
  <sheetViews>
    <sheetView workbookViewId="0"/>
  </sheetViews>
  <sheetFormatPr defaultColWidth="11.42578125" defaultRowHeight="12.75"/>
  <cols>
    <col min="1" max="1" width="14.7109375" bestFit="1" customWidth="1"/>
    <col min="2" max="2" width="12.42578125" bestFit="1" customWidth="1"/>
  </cols>
  <sheetData>
    <row r="1" spans="1:5">
      <c r="A1" t="s">
        <v>28</v>
      </c>
      <c r="B1" s="53">
        <v>0</v>
      </c>
      <c r="C1" s="54">
        <v>1</v>
      </c>
      <c r="D1" s="55">
        <v>1</v>
      </c>
      <c r="E1" s="56">
        <v>2</v>
      </c>
    </row>
    <row r="2" spans="1:5">
      <c r="A2" s="51" t="s">
        <v>108</v>
      </c>
      <c r="B2" s="53">
        <v>1</v>
      </c>
      <c r="C2" s="54">
        <v>0.5</v>
      </c>
      <c r="D2" s="55">
        <v>2</v>
      </c>
      <c r="E2" s="56">
        <v>2</v>
      </c>
    </row>
    <row r="3" spans="1:5">
      <c r="A3" s="36" t="s">
        <v>30</v>
      </c>
      <c r="B3">
        <v>2.5000000000000001E-2</v>
      </c>
      <c r="C3">
        <v>2.5000000000000001E-2</v>
      </c>
      <c r="D3">
        <v>2.5000000000000001E-2</v>
      </c>
      <c r="E3">
        <v>2.5000000000000001E-2</v>
      </c>
    </row>
    <row r="4" spans="1:5">
      <c r="A4" s="36" t="s">
        <v>109</v>
      </c>
      <c r="B4" s="14">
        <f>NORMINV(B3,B1,B2)</f>
        <v>-1.9599639845400545</v>
      </c>
      <c r="C4" s="14">
        <f>NORMINV(C3,C1,C2)</f>
        <v>2.0018007729972753E-2</v>
      </c>
      <c r="D4" s="14">
        <f>NORMINV(D3,D1,D2)</f>
        <v>-2.919927969080109</v>
      </c>
      <c r="E4" s="14">
        <f>NORMINV(E3,E1,E2)</f>
        <v>-1.919927969080109</v>
      </c>
    </row>
    <row r="5" spans="1:5">
      <c r="A5" t="s">
        <v>110</v>
      </c>
      <c r="B5" s="14">
        <f>EXP(-((B4-B$1)^2)/(2*B$2^2))/SQRT(2*3.14*B$2)</f>
        <v>5.8459890020002292E-2</v>
      </c>
      <c r="C5" s="14">
        <f>EXP(-((C4-C$1)^2)/(2*C$2^2))/SQRT(2*3.14*C$2)</f>
        <v>8.2674769321126787E-2</v>
      </c>
      <c r="D5" s="14">
        <f>EXP(-((D4-D$1)^2)/(2*D$2^2))/SQRT(2*3.14*D$2)</f>
        <v>4.1337384660563394E-2</v>
      </c>
      <c r="E5" s="14">
        <f>EXP(-((E4-E$1)^2)/(2*E$2^2))/SQRT(2*3.14*E$2)</f>
        <v>4.1337384660563394E-2</v>
      </c>
    </row>
    <row r="7" spans="1:5">
      <c r="A7">
        <v>-6</v>
      </c>
      <c r="B7">
        <f>EXP(-(($A7-B$1)^2)/(2*B$2^2))/(B$2*SQRT(2*3.14))</f>
        <v>6.0774235424813474E-9</v>
      </c>
      <c r="C7">
        <f>EXP(-(($A7-C$1)^2)/(2*C$2^2))/(C$2*SQRT(2*3.14))</f>
        <v>2.1937692630343714E-43</v>
      </c>
      <c r="D7">
        <f>EXP(-(($A7-D$1)^2)/(2*D$2^2))/(D$2*SQRT(2*3.14))</f>
        <v>4.3645199282779347E-4</v>
      </c>
      <c r="E7">
        <f>EXP(-(($A7-E$1)^2)/(2*E$2^2))/(E$2*SQRT(2*3.14))</f>
        <v>6.6932080889509231E-5</v>
      </c>
    </row>
    <row r="8" spans="1:5">
      <c r="A8" s="21">
        <f t="shared" ref="A8:A39" si="0">A7+0.1</f>
        <v>-5.9</v>
      </c>
      <c r="B8">
        <f t="shared" ref="B8:E71" si="1">EXP(-(($A8-B$1)^2)/(2*B$2^2))/(B$2*SQRT(2*3.14))</f>
        <v>1.1018556948148046E-8</v>
      </c>
      <c r="C8">
        <f t="shared" si="1"/>
        <v>3.5361412705989527E-42</v>
      </c>
      <c r="D8">
        <f t="shared" si="1"/>
        <v>5.1927228897724858E-4</v>
      </c>
      <c r="E8">
        <f t="shared" si="1"/>
        <v>8.1648903263973751E-5</v>
      </c>
    </row>
    <row r="9" spans="1:5">
      <c r="A9" s="21">
        <f t="shared" si="0"/>
        <v>-5.8000000000000007</v>
      </c>
      <c r="B9">
        <f t="shared" si="1"/>
        <v>1.9778210396685578E-8</v>
      </c>
      <c r="C9">
        <f t="shared" si="1"/>
        <v>5.4764167156318255E-41</v>
      </c>
      <c r="D9">
        <f t="shared" si="1"/>
        <v>6.1626581429170509E-4</v>
      </c>
      <c r="E9">
        <f t="shared" si="1"/>
        <v>9.9352922737827194E-5</v>
      </c>
    </row>
    <row r="10" spans="1:5">
      <c r="A10" s="21">
        <f t="shared" si="0"/>
        <v>-5.7000000000000011</v>
      </c>
      <c r="B10">
        <f t="shared" si="1"/>
        <v>3.514846146367853E-8</v>
      </c>
      <c r="C10">
        <f t="shared" si="1"/>
        <v>8.1487611542209829E-40</v>
      </c>
      <c r="D10">
        <f t="shared" si="1"/>
        <v>7.295503512450267E-4</v>
      </c>
      <c r="E10">
        <f t="shared" si="1"/>
        <v>1.205938619624709E-4</v>
      </c>
    </row>
    <row r="11" spans="1:5">
      <c r="A11" s="21">
        <f t="shared" si="0"/>
        <v>-5.6000000000000014</v>
      </c>
      <c r="B11">
        <f t="shared" si="1"/>
        <v>6.1841882588352104E-8</v>
      </c>
      <c r="C11">
        <f t="shared" si="1"/>
        <v>1.1649704525681656E-38</v>
      </c>
      <c r="D11">
        <f t="shared" si="1"/>
        <v>8.6150286983038274E-4</v>
      </c>
      <c r="E11">
        <f t="shared" si="1"/>
        <v>1.4601047813254619E-4</v>
      </c>
    </row>
    <row r="12" spans="1:5">
      <c r="A12" s="21">
        <f t="shared" si="0"/>
        <v>-5.5000000000000018</v>
      </c>
      <c r="B12">
        <f t="shared" si="1"/>
        <v>1.0772490985623658E-7</v>
      </c>
      <c r="C12">
        <f t="shared" si="1"/>
        <v>1.6001712121259302E-37</v>
      </c>
      <c r="D12">
        <f t="shared" si="1"/>
        <v>1.0147812866913876E-3</v>
      </c>
      <c r="E12">
        <f t="shared" si="1"/>
        <v>1.7634254592807896E-4</v>
      </c>
    </row>
    <row r="13" spans="1:5">
      <c r="A13" s="21">
        <f t="shared" si="0"/>
        <v>-5.4000000000000021</v>
      </c>
      <c r="B13">
        <f t="shared" si="1"/>
        <v>1.8578328252881146E-7</v>
      </c>
      <c r="C13">
        <f t="shared" si="1"/>
        <v>2.1117680565533547E-36</v>
      </c>
      <c r="D13">
        <f t="shared" si="1"/>
        <v>1.192346373445614E-3</v>
      </c>
      <c r="E13">
        <f t="shared" si="1"/>
        <v>2.1244399212715296E-4</v>
      </c>
    </row>
    <row r="14" spans="1:5">
      <c r="A14" s="21">
        <f t="shared" si="0"/>
        <v>-5.3000000000000025</v>
      </c>
      <c r="B14">
        <f t="shared" si="1"/>
        <v>3.172153391940362E-7</v>
      </c>
      <c r="C14">
        <f t="shared" si="1"/>
        <v>2.6776524123813629E-35</v>
      </c>
      <c r="D14">
        <f t="shared" si="1"/>
        <v>1.3974834846312745E-3</v>
      </c>
      <c r="E14">
        <f t="shared" si="1"/>
        <v>2.5529720777793682E-4</v>
      </c>
    </row>
    <row r="15" spans="1:5">
      <c r="A15" s="21">
        <f t="shared" si="0"/>
        <v>-5.2000000000000028</v>
      </c>
      <c r="B15">
        <f t="shared" si="1"/>
        <v>5.3623947698213152E-7</v>
      </c>
      <c r="C15">
        <f t="shared" si="1"/>
        <v>3.2620484342699037E-34</v>
      </c>
      <c r="D15">
        <f t="shared" si="1"/>
        <v>1.6338237200996602E-3</v>
      </c>
      <c r="E15">
        <f t="shared" si="1"/>
        <v>3.0602854660630559E-4</v>
      </c>
    </row>
    <row r="16" spans="1:5">
      <c r="A16" s="21">
        <f t="shared" si="0"/>
        <v>-5.1000000000000032</v>
      </c>
      <c r="B16">
        <f t="shared" si="1"/>
        <v>8.9747103486106431E-7</v>
      </c>
      <c r="C16">
        <f t="shared" si="1"/>
        <v>3.8181662157418614E-33</v>
      </c>
      <c r="D16">
        <f t="shared" si="1"/>
        <v>1.9053640795312278E-3</v>
      </c>
      <c r="E16">
        <f t="shared" si="1"/>
        <v>3.659249973632392E-4</v>
      </c>
    </row>
    <row r="17" spans="1:5">
      <c r="A17" s="21">
        <f t="shared" si="0"/>
        <v>-5.0000000000000036</v>
      </c>
      <c r="B17">
        <f t="shared" si="1"/>
        <v>1.4870965097977977E-6</v>
      </c>
      <c r="C17">
        <f t="shared" si="1"/>
        <v>4.2938560103067238E-32</v>
      </c>
      <c r="D17">
        <f t="shared" si="1"/>
        <v>2.2164861091918389E-3</v>
      </c>
      <c r="E17">
        <f t="shared" si="1"/>
        <v>4.3645199282779076E-4</v>
      </c>
    </row>
    <row r="18" spans="1:5">
      <c r="A18" s="21">
        <f t="shared" si="0"/>
        <v>-4.9000000000000039</v>
      </c>
      <c r="B18">
        <f t="shared" si="1"/>
        <v>2.4395792056311613E-6</v>
      </c>
      <c r="C18">
        <f t="shared" si="1"/>
        <v>4.6394697103071357E-31</v>
      </c>
      <c r="D18">
        <f t="shared" si="1"/>
        <v>2.5719724843941694E-3</v>
      </c>
      <c r="E18">
        <f t="shared" si="1"/>
        <v>5.1927228897724522E-4</v>
      </c>
    </row>
    <row r="19" spans="1:5">
      <c r="A19" s="21">
        <f t="shared" si="0"/>
        <v>-4.8000000000000043</v>
      </c>
      <c r="B19">
        <f t="shared" si="1"/>
        <v>3.9623035778821796E-6</v>
      </c>
      <c r="C19">
        <f t="shared" si="1"/>
        <v>4.816343258832684E-30</v>
      </c>
      <c r="D19">
        <f t="shared" si="1"/>
        <v>2.9770209169175444E-3</v>
      </c>
      <c r="E19">
        <f t="shared" si="1"/>
        <v>6.162658142917013E-4</v>
      </c>
    </row>
    <row r="20" spans="1:5">
      <c r="A20" s="21">
        <f t="shared" si="0"/>
        <v>-4.7000000000000046</v>
      </c>
      <c r="B20">
        <f t="shared" si="1"/>
        <v>6.3714404079832573E-6</v>
      </c>
      <c r="C20">
        <f t="shared" si="1"/>
        <v>4.8039086428613976E-29</v>
      </c>
      <c r="D20">
        <f t="shared" si="1"/>
        <v>3.4372547265895297E-3</v>
      </c>
      <c r="E20">
        <f t="shared" si="1"/>
        <v>7.2955035124502225E-4</v>
      </c>
    </row>
    <row r="21" spans="1:5">
      <c r="A21" s="21">
        <f t="shared" si="0"/>
        <v>-4.600000000000005</v>
      </c>
      <c r="B21">
        <f t="shared" si="1"/>
        <v>1.0143423533157948E-5</v>
      </c>
      <c r="C21">
        <f t="shared" si="1"/>
        <v>4.6036284873530399E-28</v>
      </c>
      <c r="D21">
        <f t="shared" si="1"/>
        <v>3.9587293722403204E-3</v>
      </c>
      <c r="E21">
        <f t="shared" si="1"/>
        <v>8.6150286983037742E-4</v>
      </c>
    </row>
    <row r="22" spans="1:5">
      <c r="A22" s="21">
        <f t="shared" si="0"/>
        <v>-4.5000000000000053</v>
      </c>
      <c r="B22">
        <f t="shared" si="1"/>
        <v>1.5987794185804134E-5</v>
      </c>
      <c r="C22">
        <f t="shared" si="1"/>
        <v>4.2387130666660418E-27</v>
      </c>
      <c r="D22">
        <f t="shared" si="1"/>
        <v>4.5479342013483703E-3</v>
      </c>
      <c r="E22">
        <f t="shared" si="1"/>
        <v>1.0147812866913813E-3</v>
      </c>
    </row>
    <row r="23" spans="1:5">
      <c r="A23" s="21">
        <f t="shared" si="0"/>
        <v>-4.4000000000000057</v>
      </c>
      <c r="B23">
        <f t="shared" si="1"/>
        <v>2.494879607993787E-5</v>
      </c>
      <c r="C23">
        <f t="shared" si="1"/>
        <v>3.7496953930569517E-26</v>
      </c>
      <c r="D23">
        <f t="shared" si="1"/>
        <v>5.2117886520538226E-3</v>
      </c>
      <c r="E23">
        <f t="shared" si="1"/>
        <v>1.1923463734456077E-3</v>
      </c>
    </row>
    <row r="24" spans="1:5">
      <c r="A24" s="21">
        <f t="shared" si="0"/>
        <v>-4.300000000000006</v>
      </c>
      <c r="B24">
        <f t="shared" si="1"/>
        <v>3.8544968308813925E-5</v>
      </c>
      <c r="C24">
        <f t="shared" si="1"/>
        <v>3.1870302120608985E-25</v>
      </c>
      <c r="D24">
        <f t="shared" si="1"/>
        <v>5.9576321280402616E-3</v>
      </c>
      <c r="E24">
        <f t="shared" si="1"/>
        <v>1.3974834846312669E-3</v>
      </c>
    </row>
    <row r="25" spans="1:5">
      <c r="A25" s="21">
        <f t="shared" si="0"/>
        <v>-4.2000000000000064</v>
      </c>
      <c r="B25">
        <f t="shared" si="1"/>
        <v>5.8958014251390256E-5</v>
      </c>
      <c r="C25">
        <f t="shared" si="1"/>
        <v>2.6025830228175659E-24</v>
      </c>
      <c r="D25">
        <f t="shared" si="1"/>
        <v>6.793206768297139E-3</v>
      </c>
      <c r="E25">
        <f t="shared" si="1"/>
        <v>1.6338237200996511E-3</v>
      </c>
    </row>
    <row r="26" spans="1:5">
      <c r="A26" s="21">
        <f t="shared" si="0"/>
        <v>-4.1000000000000068</v>
      </c>
      <c r="B26">
        <f t="shared" si="1"/>
        <v>8.928429171161013E-5</v>
      </c>
      <c r="C26">
        <f t="shared" si="1"/>
        <v>2.0419787825873854E-23</v>
      </c>
      <c r="D26">
        <f t="shared" si="1"/>
        <v>7.7266323521420384E-3</v>
      </c>
      <c r="E26">
        <f t="shared" si="1"/>
        <v>1.9053640795312179E-3</v>
      </c>
    </row>
    <row r="27" spans="1:5">
      <c r="A27" s="21">
        <f t="shared" si="0"/>
        <v>-4.0000000000000071</v>
      </c>
      <c r="B27">
        <f t="shared" si="1"/>
        <v>1.3386416177901464E-4</v>
      </c>
      <c r="C27">
        <f t="shared" si="1"/>
        <v>1.5393099570787043E-22</v>
      </c>
      <c r="D27">
        <f t="shared" si="1"/>
        <v>8.7663726171414071E-3</v>
      </c>
      <c r="E27">
        <f t="shared" si="1"/>
        <v>2.2164861091918272E-3</v>
      </c>
    </row>
    <row r="28" spans="1:5">
      <c r="A28" s="21">
        <f t="shared" si="0"/>
        <v>-3.900000000000007</v>
      </c>
      <c r="B28">
        <f t="shared" si="1"/>
        <v>1.9870584547564929E-4</v>
      </c>
      <c r="C28">
        <f t="shared" si="1"/>
        <v>1.1148826393620249E-21</v>
      </c>
      <c r="D28">
        <f t="shared" si="1"/>
        <v>9.9211923255521604E-3</v>
      </c>
      <c r="E28">
        <f t="shared" si="1"/>
        <v>2.5719724843941555E-3</v>
      </c>
    </row>
    <row r="29" spans="1:5">
      <c r="A29" s="21">
        <f t="shared" si="0"/>
        <v>-3.8000000000000069</v>
      </c>
      <c r="B29">
        <f t="shared" si="1"/>
        <v>2.9202095626508539E-4</v>
      </c>
      <c r="C29">
        <f t="shared" si="1"/>
        <v>7.7581906488072281E-21</v>
      </c>
      <c r="D29">
        <f t="shared" si="1"/>
        <v>1.120010449515557E-2</v>
      </c>
      <c r="E29">
        <f t="shared" si="1"/>
        <v>2.9770209169175344E-3</v>
      </c>
    </row>
    <row r="30" spans="1:5">
      <c r="A30" s="21">
        <f t="shared" si="0"/>
        <v>-3.7000000000000068</v>
      </c>
      <c r="B30">
        <f t="shared" si="1"/>
        <v>4.2488798425429687E-4</v>
      </c>
      <c r="C30">
        <f t="shared" si="1"/>
        <v>5.1870443741003912E-20</v>
      </c>
      <c r="D30">
        <f t="shared" si="1"/>
        <v>1.2612307314033443E-2</v>
      </c>
      <c r="E30">
        <f t="shared" si="1"/>
        <v>3.4372547265895206E-3</v>
      </c>
    </row>
    <row r="31" spans="1:5">
      <c r="A31" s="21">
        <f t="shared" si="0"/>
        <v>-3.6000000000000068</v>
      </c>
      <c r="B31">
        <f t="shared" si="1"/>
        <v>6.1205709321259926E-4</v>
      </c>
      <c r="C31">
        <f t="shared" si="1"/>
        <v>3.332020768094328E-19</v>
      </c>
      <c r="D31">
        <f t="shared" si="1"/>
        <v>1.4167110386646968E-2</v>
      </c>
      <c r="E31">
        <f t="shared" si="1"/>
        <v>3.9587293722403126E-3</v>
      </c>
    </row>
    <row r="32" spans="1:5">
      <c r="A32" s="21">
        <f t="shared" si="0"/>
        <v>-3.5000000000000067</v>
      </c>
      <c r="B32">
        <f t="shared" si="1"/>
        <v>8.7290398565556689E-4</v>
      </c>
      <c r="C32">
        <f t="shared" si="1"/>
        <v>2.0564760532750325E-18</v>
      </c>
      <c r="D32">
        <f t="shared" si="1"/>
        <v>1.5873850110676112E-2</v>
      </c>
      <c r="E32">
        <f t="shared" si="1"/>
        <v>4.5479342013483573E-3</v>
      </c>
    </row>
    <row r="33" spans="1:5">
      <c r="A33" s="21">
        <f t="shared" si="0"/>
        <v>-3.4000000000000066</v>
      </c>
      <c r="B33">
        <f t="shared" si="1"/>
        <v>1.2325316285833839E-3</v>
      </c>
      <c r="C33">
        <f t="shared" si="1"/>
        <v>1.2194607724192126E-17</v>
      </c>
      <c r="D33">
        <f t="shared" si="1"/>
        <v>1.7741794159995713E-2</v>
      </c>
      <c r="E33">
        <f t="shared" si="1"/>
        <v>5.2117886520538156E-3</v>
      </c>
    </row>
    <row r="34" spans="1:5">
      <c r="A34" s="21">
        <f t="shared" si="0"/>
        <v>-3.3000000000000065</v>
      </c>
      <c r="B34">
        <f t="shared" si="1"/>
        <v>1.7230057396607319E-3</v>
      </c>
      <c r="C34">
        <f t="shared" si="1"/>
        <v>6.9476868109491691E-17</v>
      </c>
      <c r="D34">
        <f t="shared" si="1"/>
        <v>1.9780035247745454E-2</v>
      </c>
      <c r="E34">
        <f t="shared" si="1"/>
        <v>5.9576321280402616E-3</v>
      </c>
    </row>
    <row r="35" spans="1:5">
      <c r="A35" s="21">
        <f t="shared" si="0"/>
        <v>-3.2000000000000064</v>
      </c>
      <c r="B35">
        <f t="shared" si="1"/>
        <v>2.3846927468911877E-3</v>
      </c>
      <c r="C35">
        <f t="shared" si="1"/>
        <v>3.803127209733251E-16</v>
      </c>
      <c r="D35">
        <f t="shared" si="1"/>
        <v>2.199737456279369E-2</v>
      </c>
      <c r="E35">
        <f t="shared" si="1"/>
        <v>6.793206768297139E-3</v>
      </c>
    </row>
    <row r="36" spans="1:5">
      <c r="A36" s="21">
        <f t="shared" si="0"/>
        <v>-3.1000000000000063</v>
      </c>
      <c r="B36">
        <f t="shared" si="1"/>
        <v>3.2676474401992705E-3</v>
      </c>
      <c r="C36">
        <f t="shared" si="1"/>
        <v>2.0001828176961096E-15</v>
      </c>
      <c r="D36">
        <f t="shared" si="1"/>
        <v>2.4402195510314598E-2</v>
      </c>
      <c r="E36">
        <f t="shared" si="1"/>
        <v>7.7266323521420384E-3</v>
      </c>
    </row>
    <row r="37" spans="1:5">
      <c r="A37" s="21">
        <f t="shared" si="0"/>
        <v>-3.0000000000000062</v>
      </c>
      <c r="B37">
        <f t="shared" si="1"/>
        <v>4.4329722183836188E-3</v>
      </c>
      <c r="C37">
        <f t="shared" si="1"/>
        <v>1.010710442745776E-14</v>
      </c>
      <c r="D37">
        <f t="shared" si="1"/>
        <v>2.7002328639212689E-2</v>
      </c>
      <c r="E37">
        <f t="shared" si="1"/>
        <v>8.7663726171414158E-3</v>
      </c>
    </row>
    <row r="38" spans="1:5">
      <c r="A38" s="21">
        <f t="shared" si="0"/>
        <v>-2.9000000000000061</v>
      </c>
      <c r="B38">
        <f t="shared" si="1"/>
        <v>5.9540418338350203E-3</v>
      </c>
      <c r="C38">
        <f t="shared" si="1"/>
        <v>4.9069545374869901E-14</v>
      </c>
      <c r="D38">
        <f t="shared" si="1"/>
        <v>2.9804908901461993E-2</v>
      </c>
      <c r="E38">
        <f t="shared" si="1"/>
        <v>9.921192325552183E-3</v>
      </c>
    </row>
    <row r="39" spans="1:5">
      <c r="A39" s="21">
        <f t="shared" si="0"/>
        <v>-2.800000000000006</v>
      </c>
      <c r="B39">
        <f t="shared" si="1"/>
        <v>7.9174587444805645E-3</v>
      </c>
      <c r="C39">
        <f t="shared" si="1"/>
        <v>2.2888932395742917E-13</v>
      </c>
      <c r="D39">
        <f t="shared" si="1"/>
        <v>3.2816226656041503E-2</v>
      </c>
      <c r="E39">
        <f t="shared" si="1"/>
        <v>1.1200104495155579E-2</v>
      </c>
    </row>
    <row r="40" spans="1:5">
      <c r="A40" s="21">
        <f t="shared" ref="A40:A71" si="2">A39+0.1</f>
        <v>-2.700000000000006</v>
      </c>
      <c r="B40">
        <f t="shared" si="1"/>
        <v>1.0423577304107558E-2</v>
      </c>
      <c r="C40">
        <f t="shared" si="1"/>
        <v>1.0258107814970825E-12</v>
      </c>
      <c r="D40">
        <f t="shared" si="1"/>
        <v>3.6041574097303963E-2</v>
      </c>
      <c r="E40">
        <f t="shared" si="1"/>
        <v>1.2612307314033443E-2</v>
      </c>
    </row>
    <row r="41" spans="1:5">
      <c r="A41" s="21">
        <f t="shared" si="2"/>
        <v>-2.6000000000000059</v>
      </c>
      <c r="B41">
        <f t="shared" si="1"/>
        <v>1.3586413536594181E-2</v>
      </c>
      <c r="C41">
        <f t="shared" si="1"/>
        <v>4.4170997088666238E-12</v>
      </c>
      <c r="D41">
        <f t="shared" si="1"/>
        <v>3.9485089047959172E-2</v>
      </c>
      <c r="E41">
        <f t="shared" si="1"/>
        <v>1.416711038664698E-2</v>
      </c>
    </row>
    <row r="42" spans="1:5">
      <c r="A42" s="21">
        <f t="shared" si="2"/>
        <v>-2.5000000000000058</v>
      </c>
      <c r="B42">
        <f t="shared" si="1"/>
        <v>1.7532745234282721E-2</v>
      </c>
      <c r="C42">
        <f t="shared" si="1"/>
        <v>1.8274073492180618E-11</v>
      </c>
      <c r="D42">
        <f t="shared" si="1"/>
        <v>4.3149598303533605E-2</v>
      </c>
      <c r="E42">
        <f t="shared" si="1"/>
        <v>1.587385011067614E-2</v>
      </c>
    </row>
    <row r="43" spans="1:5">
      <c r="A43" s="21">
        <f t="shared" si="2"/>
        <v>-2.4000000000000057</v>
      </c>
      <c r="B43">
        <f t="shared" si="1"/>
        <v>2.2400208990311019E-2</v>
      </c>
      <c r="C43">
        <f t="shared" si="1"/>
        <v>7.2637644465027826E-11</v>
      </c>
      <c r="D43">
        <f t="shared" si="1"/>
        <v>4.7036462940983445E-2</v>
      </c>
      <c r="E43">
        <f t="shared" si="1"/>
        <v>1.774179415999573E-2</v>
      </c>
    </row>
    <row r="44" spans="1:5">
      <c r="A44" s="21">
        <f t="shared" si="2"/>
        <v>-2.3000000000000056</v>
      </c>
      <c r="B44">
        <f t="shared" si="1"/>
        <v>2.8334220773293787E-2</v>
      </c>
      <c r="C44">
        <f t="shared" si="1"/>
        <v>2.7740632433927443E-10</v>
      </c>
      <c r="D44">
        <f t="shared" si="1"/>
        <v>5.1145428201703425E-2</v>
      </c>
      <c r="E44">
        <f t="shared" si="1"/>
        <v>1.9780035247745454E-2</v>
      </c>
    </row>
    <row r="45" spans="1:5">
      <c r="A45" s="21">
        <f t="shared" si="2"/>
        <v>-2.2000000000000055</v>
      </c>
      <c r="B45">
        <f t="shared" si="1"/>
        <v>3.5483588319991259E-2</v>
      </c>
      <c r="C45">
        <f t="shared" si="1"/>
        <v>1.0178861014746034E-9</v>
      </c>
      <c r="D45">
        <f t="shared" si="1"/>
        <v>5.5474480721119233E-2</v>
      </c>
      <c r="E45">
        <f t="shared" si="1"/>
        <v>2.1997374562793711E-2</v>
      </c>
    </row>
    <row r="46" spans="1:5">
      <c r="A46" s="21">
        <f t="shared" si="2"/>
        <v>-2.1000000000000054</v>
      </c>
      <c r="B46">
        <f t="shared" si="1"/>
        <v>4.3994749125587186E-2</v>
      </c>
      <c r="C46">
        <f t="shared" si="1"/>
        <v>3.5884775338291654E-9</v>
      </c>
      <c r="D46">
        <f t="shared" si="1"/>
        <v>6.0019715996230107E-2</v>
      </c>
      <c r="E46">
        <f t="shared" si="1"/>
        <v>2.4402195510314643E-2</v>
      </c>
    </row>
    <row r="47" spans="1:5">
      <c r="A47" s="21">
        <f t="shared" si="2"/>
        <v>-2.0000000000000053</v>
      </c>
      <c r="B47">
        <f t="shared" si="1"/>
        <v>5.4004657278425149E-2</v>
      </c>
      <c r="C47">
        <f t="shared" si="1"/>
        <v>1.2154847084961916E-8</v>
      </c>
      <c r="D47">
        <f t="shared" si="1"/>
        <v>6.4775219052187666E-2</v>
      </c>
      <c r="E47">
        <f t="shared" si="1"/>
        <v>2.7002328639212717E-2</v>
      </c>
    </row>
    <row r="48" spans="1:5">
      <c r="A48" s="21">
        <f t="shared" si="2"/>
        <v>-1.9000000000000052</v>
      </c>
      <c r="B48">
        <f t="shared" si="1"/>
        <v>6.5632453312082728E-2</v>
      </c>
      <c r="C48">
        <f t="shared" si="1"/>
        <v>3.9556420793368905E-8</v>
      </c>
      <c r="D48">
        <f t="shared" si="1"/>
        <v>6.9732961283246644E-2</v>
      </c>
      <c r="E48">
        <f t="shared" si="1"/>
        <v>2.9804908901462018E-2</v>
      </c>
    </row>
    <row r="49" spans="1:5">
      <c r="A49" s="21">
        <f t="shared" si="2"/>
        <v>-1.8000000000000052</v>
      </c>
      <c r="B49">
        <f t="shared" si="1"/>
        <v>7.8970178095918026E-2</v>
      </c>
      <c r="C49">
        <f t="shared" si="1"/>
        <v>1.2368376517669804E-7</v>
      </c>
      <c r="D49">
        <f t="shared" si="1"/>
        <v>7.4882716397108043E-2</v>
      </c>
      <c r="E49">
        <f t="shared" si="1"/>
        <v>3.2816226656041531E-2</v>
      </c>
    </row>
    <row r="50" spans="1:5">
      <c r="A50" s="21">
        <f t="shared" si="2"/>
        <v>-1.7000000000000051</v>
      </c>
      <c r="B50">
        <f t="shared" si="1"/>
        <v>9.4072925881966529E-2</v>
      </c>
      <c r="C50">
        <f t="shared" si="1"/>
        <v>3.7156656505760641E-7</v>
      </c>
      <c r="D50">
        <f t="shared" si="1"/>
        <v>8.0211998280844091E-2</v>
      </c>
      <c r="E50">
        <f t="shared" si="1"/>
        <v>3.6041574097303998E-2</v>
      </c>
    </row>
    <row r="51" spans="1:5">
      <c r="A51" s="21">
        <f t="shared" si="2"/>
        <v>-1.600000000000005</v>
      </c>
      <c r="B51">
        <f t="shared" si="1"/>
        <v>0.11094896144223806</v>
      </c>
      <c r="C51">
        <f t="shared" si="1"/>
        <v>1.0724789539642249E-6</v>
      </c>
      <c r="D51">
        <f t="shared" si="1"/>
        <v>8.5706023428637521E-2</v>
      </c>
      <c r="E51">
        <f t="shared" si="1"/>
        <v>3.94850890479592E-2</v>
      </c>
    </row>
    <row r="52" spans="1:5">
      <c r="A52" s="21">
        <f t="shared" si="2"/>
        <v>-1.5000000000000049</v>
      </c>
      <c r="B52">
        <f t="shared" si="1"/>
        <v>0.12955043810437492</v>
      </c>
      <c r="C52">
        <f t="shared" si="1"/>
        <v>2.9741930195954998E-6</v>
      </c>
      <c r="D52">
        <f t="shared" si="1"/>
        <v>9.1347700325411063E-2</v>
      </c>
      <c r="E52">
        <f t="shared" si="1"/>
        <v>4.3149598303533647E-2</v>
      </c>
    </row>
    <row r="53" spans="1:5">
      <c r="A53" s="21">
        <f t="shared" si="2"/>
        <v>-1.4000000000000048</v>
      </c>
      <c r="B53">
        <f t="shared" si="1"/>
        <v>0.14976543279421561</v>
      </c>
      <c r="C53">
        <f t="shared" si="1"/>
        <v>7.9246071557641628E-6</v>
      </c>
      <c r="D53">
        <f t="shared" si="1"/>
        <v>9.7117647866669807E-2</v>
      </c>
      <c r="E53">
        <f t="shared" si="1"/>
        <v>4.703646294098348E-2</v>
      </c>
    </row>
    <row r="54" spans="1:5">
      <c r="A54" s="21">
        <f t="shared" si="2"/>
        <v>-1.3000000000000047</v>
      </c>
      <c r="B54">
        <f t="shared" si="1"/>
        <v>0.17141204685727454</v>
      </c>
      <c r="C54">
        <f t="shared" si="1"/>
        <v>2.0286847066315499E-5</v>
      </c>
      <c r="D54">
        <f t="shared" si="1"/>
        <v>0.10299424451591732</v>
      </c>
      <c r="E54">
        <f t="shared" si="1"/>
        <v>5.1145428201703459E-2</v>
      </c>
    </row>
    <row r="55" spans="1:5">
      <c r="A55" s="21">
        <f t="shared" si="2"/>
        <v>-1.2000000000000046</v>
      </c>
      <c r="B55">
        <f t="shared" si="1"/>
        <v>0.19423529573333911</v>
      </c>
      <c r="C55">
        <f t="shared" si="1"/>
        <v>4.9897592159874948E-5</v>
      </c>
      <c r="D55">
        <f t="shared" si="1"/>
        <v>0.10895370946108193</v>
      </c>
      <c r="E55">
        <f t="shared" si="1"/>
        <v>5.5474480721119268E-2</v>
      </c>
    </row>
    <row r="56" spans="1:5">
      <c r="A56" s="21">
        <f t="shared" si="2"/>
        <v>-1.1000000000000045</v>
      </c>
      <c r="B56">
        <f t="shared" si="1"/>
        <v>0.21790741892216334</v>
      </c>
      <c r="C56">
        <f t="shared" si="1"/>
        <v>1.1791602850277927E-4</v>
      </c>
      <c r="D56">
        <f t="shared" si="1"/>
        <v>0.11497021653659741</v>
      </c>
      <c r="E56">
        <f t="shared" si="1"/>
        <v>6.0019715996230141E-2</v>
      </c>
    </row>
    <row r="57" spans="1:5">
      <c r="A57" s="21">
        <f t="shared" si="2"/>
        <v>-1.0000000000000044</v>
      </c>
      <c r="B57">
        <f t="shared" si="1"/>
        <v>0.24203208227207251</v>
      </c>
      <c r="C57">
        <f t="shared" si="1"/>
        <v>2.6772832355802738E-4</v>
      </c>
      <c r="D57">
        <f t="shared" si="1"/>
        <v>0.12101604113603652</v>
      </c>
      <c r="E57">
        <f t="shared" si="1"/>
        <v>6.4775219052187721E-2</v>
      </c>
    </row>
    <row r="58" spans="1:5">
      <c r="A58" s="21">
        <f t="shared" si="2"/>
        <v>-0.90000000000000446</v>
      </c>
      <c r="B58">
        <f t="shared" si="1"/>
        <v>0.26615272249509409</v>
      </c>
      <c r="C58">
        <f t="shared" si="1"/>
        <v>5.8404191253016665E-4</v>
      </c>
      <c r="D58">
        <f t="shared" si="1"/>
        <v>0.12706173976110741</v>
      </c>
      <c r="E58">
        <f t="shared" si="1"/>
        <v>6.97329612832467E-2</v>
      </c>
    </row>
    <row r="59" spans="1:5">
      <c r="A59" s="21">
        <f t="shared" si="2"/>
        <v>-0.80000000000000449</v>
      </c>
      <c r="B59">
        <f t="shared" si="1"/>
        <v>0.2897650113286519</v>
      </c>
      <c r="C59">
        <f t="shared" si="1"/>
        <v>1.2241141864251888E-3</v>
      </c>
      <c r="D59">
        <f t="shared" si="1"/>
        <v>0.13307636124754732</v>
      </c>
      <c r="E59">
        <f t="shared" si="1"/>
        <v>7.4882716397108084E-2</v>
      </c>
    </row>
    <row r="60" spans="1:5">
      <c r="A60" s="21">
        <f t="shared" si="2"/>
        <v>-0.70000000000000451</v>
      </c>
      <c r="B60">
        <f t="shared" si="1"/>
        <v>0.3123331131920597</v>
      </c>
      <c r="C60">
        <f t="shared" si="1"/>
        <v>2.4650632571667462E-3</v>
      </c>
      <c r="D60">
        <f t="shared" si="1"/>
        <v>0.13902768808944754</v>
      </c>
      <c r="E60">
        <f t="shared" si="1"/>
        <v>8.0211998280844132E-2</v>
      </c>
    </row>
    <row r="61" spans="1:5">
      <c r="A61" s="21">
        <f t="shared" si="2"/>
        <v>-0.60000000000000453</v>
      </c>
      <c r="B61">
        <f t="shared" si="1"/>
        <v>0.33330910035691619</v>
      </c>
      <c r="C61">
        <f t="shared" si="1"/>
        <v>4.7693854937823328E-3</v>
      </c>
      <c r="D61">
        <f t="shared" si="1"/>
        <v>0.1448825056643262</v>
      </c>
      <c r="E61">
        <f t="shared" si="1"/>
        <v>8.5706023428637534E-2</v>
      </c>
    </row>
    <row r="62" spans="1:5">
      <c r="A62" s="21">
        <f t="shared" si="2"/>
        <v>-0.50000000000000455</v>
      </c>
      <c r="B62">
        <f t="shared" si="1"/>
        <v>0.35215460176803237</v>
      </c>
      <c r="C62">
        <f t="shared" si="1"/>
        <v>8.8659444367671664E-3</v>
      </c>
      <c r="D62">
        <f t="shared" si="1"/>
        <v>0.15060689655604645</v>
      </c>
      <c r="E62">
        <f t="shared" si="1"/>
        <v>9.1347700325411091E-2</v>
      </c>
    </row>
    <row r="63" spans="1:5">
      <c r="A63" s="21">
        <f t="shared" si="2"/>
        <v>-0.40000000000000457</v>
      </c>
      <c r="B63">
        <f t="shared" si="1"/>
        <v>0.36836352444442155</v>
      </c>
      <c r="C63">
        <f t="shared" si="1"/>
        <v>1.583491748896099E-2</v>
      </c>
      <c r="D63">
        <f t="shared" si="1"/>
        <v>0.1561665565960301</v>
      </c>
      <c r="E63">
        <f t="shared" si="1"/>
        <v>9.7117647866669807E-2</v>
      </c>
    </row>
    <row r="64" spans="1:5">
      <c r="A64" s="21">
        <f t="shared" si="2"/>
        <v>-0.3000000000000046</v>
      </c>
      <c r="B64">
        <f t="shared" si="1"/>
        <v>0.38148452591753496</v>
      </c>
      <c r="C64">
        <f t="shared" si="1"/>
        <v>2.7172827073188119E-2</v>
      </c>
      <c r="D64">
        <f t="shared" si="1"/>
        <v>0.16152712870966732</v>
      </c>
      <c r="E64">
        <f t="shared" si="1"/>
        <v>0.10299424451591732</v>
      </c>
    </row>
    <row r="65" spans="1:5">
      <c r="A65" s="21">
        <f t="shared" si="2"/>
        <v>-0.20000000000000459</v>
      </c>
      <c r="B65">
        <f t="shared" si="1"/>
        <v>0.39114185266934209</v>
      </c>
      <c r="C65">
        <f t="shared" si="1"/>
        <v>4.4800417980621662E-2</v>
      </c>
      <c r="D65">
        <f t="shared" si="1"/>
        <v>0.16665455017845832</v>
      </c>
      <c r="E65">
        <f t="shared" si="1"/>
        <v>0.10895370946108193</v>
      </c>
    </row>
    <row r="66" spans="1:5">
      <c r="A66" s="21">
        <f t="shared" si="2"/>
        <v>-0.10000000000000459</v>
      </c>
      <c r="B66">
        <f t="shared" si="1"/>
        <v>0.39705320476264611</v>
      </c>
      <c r="C66">
        <f t="shared" si="1"/>
        <v>7.0967176639981949E-2</v>
      </c>
      <c r="D66">
        <f t="shared" si="1"/>
        <v>0.171515408522461</v>
      </c>
      <c r="E66">
        <f t="shared" si="1"/>
        <v>0.11497021653659741</v>
      </c>
    </row>
    <row r="67" spans="1:5">
      <c r="A67" s="21">
        <f t="shared" si="2"/>
        <v>-4.5796699765787707E-15</v>
      </c>
      <c r="B67">
        <f t="shared" si="1"/>
        <v>0.39904344223381111</v>
      </c>
      <c r="C67">
        <f t="shared" si="1"/>
        <v>0.10800931455684944</v>
      </c>
      <c r="D67">
        <f t="shared" si="1"/>
        <v>0.17607730088401641</v>
      </c>
      <c r="E67">
        <f t="shared" si="1"/>
        <v>0.12101604113603652</v>
      </c>
    </row>
    <row r="68" spans="1:5">
      <c r="A68" s="21">
        <f t="shared" si="2"/>
        <v>9.9999999999995426E-2</v>
      </c>
      <c r="B68">
        <f t="shared" si="1"/>
        <v>0.39705320476264649</v>
      </c>
      <c r="C68">
        <f t="shared" si="1"/>
        <v>0.15794035619183491</v>
      </c>
      <c r="D68">
        <f t="shared" si="1"/>
        <v>0.18030919156278929</v>
      </c>
      <c r="E68">
        <f t="shared" si="1"/>
        <v>0.12706173976110741</v>
      </c>
    </row>
    <row r="69" spans="1:5">
      <c r="A69" s="21">
        <f t="shared" si="2"/>
        <v>0.19999999999999543</v>
      </c>
      <c r="B69">
        <f t="shared" si="1"/>
        <v>0.39114185266934282</v>
      </c>
      <c r="C69">
        <f t="shared" si="1"/>
        <v>0.22189792288447463</v>
      </c>
      <c r="D69">
        <f t="shared" si="1"/>
        <v>0.18418176222221097</v>
      </c>
      <c r="E69">
        <f t="shared" si="1"/>
        <v>0.13307636124754732</v>
      </c>
    </row>
    <row r="70" spans="1:5">
      <c r="A70" s="21">
        <f t="shared" si="2"/>
        <v>0.29999999999999544</v>
      </c>
      <c r="B70">
        <f t="shared" si="1"/>
        <v>0.38148452591753595</v>
      </c>
      <c r="C70">
        <f t="shared" si="1"/>
        <v>0.29953086558842934</v>
      </c>
      <c r="D70">
        <f t="shared" si="1"/>
        <v>0.18766774926447038</v>
      </c>
      <c r="E70">
        <f t="shared" si="1"/>
        <v>0.13902768808944754</v>
      </c>
    </row>
    <row r="71" spans="1:5">
      <c r="A71" s="21">
        <f t="shared" si="2"/>
        <v>0.39999999999999547</v>
      </c>
      <c r="B71">
        <f t="shared" si="1"/>
        <v>0.36836352444442289</v>
      </c>
      <c r="C71">
        <f t="shared" si="1"/>
        <v>0.38847059146667612</v>
      </c>
      <c r="D71">
        <f t="shared" si="1"/>
        <v>0.19074226295876762</v>
      </c>
      <c r="E71">
        <f>EXP(-(($A71-E$1)^2)/(2*E$2^2))/(E$2*SQRT(2*3.14))</f>
        <v>0.1448825056643262</v>
      </c>
    </row>
    <row r="72" spans="1:5">
      <c r="A72" s="21">
        <f t="shared" ref="A72:A103" si="3">A71+0.1</f>
        <v>0.49999999999999545</v>
      </c>
      <c r="B72">
        <f t="shared" ref="B72:E127" si="4">EXP(-(($A72-B$1)^2)/(2*B$2^2))/(B$2*SQRT(2*3.14))</f>
        <v>0.35215460176803404</v>
      </c>
      <c r="C72">
        <f t="shared" si="4"/>
        <v>0.48406416454414269</v>
      </c>
      <c r="D72">
        <f t="shared" si="4"/>
        <v>0.19338308310642535</v>
      </c>
      <c r="E72">
        <f t="shared" si="4"/>
        <v>0.15060689655604645</v>
      </c>
    </row>
    <row r="73" spans="1:5">
      <c r="A73" s="21">
        <f t="shared" si="3"/>
        <v>0.59999999999999543</v>
      </c>
      <c r="B73">
        <f t="shared" si="4"/>
        <v>0.33330910035691802</v>
      </c>
      <c r="C73">
        <f t="shared" si="4"/>
        <v>0.57953002265730158</v>
      </c>
      <c r="D73">
        <f t="shared" si="4"/>
        <v>0.19557092633467113</v>
      </c>
      <c r="E73">
        <f t="shared" si="4"/>
        <v>0.1561665565960301</v>
      </c>
    </row>
    <row r="74" spans="1:5">
      <c r="A74" s="21">
        <f t="shared" si="3"/>
        <v>0.6999999999999954</v>
      </c>
      <c r="B74">
        <f t="shared" si="4"/>
        <v>0.3123331131920617</v>
      </c>
      <c r="C74">
        <f t="shared" si="4"/>
        <v>0.6666182007138306</v>
      </c>
      <c r="D74">
        <f t="shared" si="4"/>
        <v>0.19728968052368068</v>
      </c>
      <c r="E74">
        <f t="shared" si="4"/>
        <v>0.16152712870966732</v>
      </c>
    </row>
    <row r="75" spans="1:5">
      <c r="A75" s="21">
        <f t="shared" si="3"/>
        <v>0.79999999999999538</v>
      </c>
      <c r="B75">
        <f t="shared" si="4"/>
        <v>0.28976501132865401</v>
      </c>
      <c r="C75">
        <f t="shared" si="4"/>
        <v>0.73672704888884177</v>
      </c>
      <c r="D75">
        <f t="shared" si="4"/>
        <v>0.19852660238132311</v>
      </c>
      <c r="E75">
        <f t="shared" si="4"/>
        <v>0.16665455017845832</v>
      </c>
    </row>
    <row r="76" spans="1:5">
      <c r="A76" s="21">
        <f t="shared" si="3"/>
        <v>0.89999999999999536</v>
      </c>
      <c r="B76">
        <f t="shared" si="4"/>
        <v>0.26615272249509625</v>
      </c>
      <c r="C76">
        <f t="shared" si="4"/>
        <v>0.78228370533868352</v>
      </c>
      <c r="D76">
        <f t="shared" si="4"/>
        <v>0.19927247477692583</v>
      </c>
      <c r="E76">
        <f t="shared" si="4"/>
        <v>0.171515408522461</v>
      </c>
    </row>
    <row r="77" spans="1:5">
      <c r="A77" s="21">
        <f t="shared" si="3"/>
        <v>0.99999999999999534</v>
      </c>
      <c r="B77">
        <f t="shared" si="4"/>
        <v>0.24203208227207468</v>
      </c>
      <c r="C77">
        <f t="shared" si="4"/>
        <v>0.79808688446762222</v>
      </c>
      <c r="D77">
        <f t="shared" si="4"/>
        <v>0.19952172111690555</v>
      </c>
      <c r="E77">
        <f t="shared" si="4"/>
        <v>0.17607730088401641</v>
      </c>
    </row>
    <row r="78" spans="1:5">
      <c r="A78" s="21">
        <f t="shared" si="3"/>
        <v>1.0999999999999954</v>
      </c>
      <c r="B78">
        <f t="shared" si="4"/>
        <v>0.2179074189221655</v>
      </c>
      <c r="C78">
        <f t="shared" si="4"/>
        <v>0.78228370533868641</v>
      </c>
      <c r="D78">
        <f t="shared" si="4"/>
        <v>0.19927247477692589</v>
      </c>
      <c r="E78">
        <f t="shared" si="4"/>
        <v>0.18030919156278929</v>
      </c>
    </row>
    <row r="79" spans="1:5">
      <c r="A79" s="21">
        <f t="shared" si="3"/>
        <v>1.1999999999999955</v>
      </c>
      <c r="B79">
        <f t="shared" si="4"/>
        <v>0.19423529573334122</v>
      </c>
      <c r="C79">
        <f t="shared" si="4"/>
        <v>0.7367270488888471</v>
      </c>
      <c r="D79">
        <f t="shared" si="4"/>
        <v>0.19852660238132319</v>
      </c>
      <c r="E79">
        <f t="shared" si="4"/>
        <v>0.18418176222221097</v>
      </c>
    </row>
    <row r="80" spans="1:5">
      <c r="A80" s="21">
        <f t="shared" si="3"/>
        <v>1.2999999999999956</v>
      </c>
      <c r="B80">
        <f t="shared" si="4"/>
        <v>0.17141204685727657</v>
      </c>
      <c r="C80">
        <f t="shared" si="4"/>
        <v>0.66661820071383771</v>
      </c>
      <c r="D80">
        <f t="shared" si="4"/>
        <v>0.19728968052368079</v>
      </c>
      <c r="E80">
        <f t="shared" si="4"/>
        <v>0.18766774926447038</v>
      </c>
    </row>
    <row r="81" spans="1:5">
      <c r="A81" s="21">
        <f t="shared" si="3"/>
        <v>1.3999999999999957</v>
      </c>
      <c r="B81">
        <f t="shared" si="4"/>
        <v>0.14976543279421753</v>
      </c>
      <c r="C81">
        <f t="shared" si="4"/>
        <v>0.57953002265730991</v>
      </c>
      <c r="D81">
        <f t="shared" si="4"/>
        <v>0.19557092633467132</v>
      </c>
      <c r="E81">
        <f t="shared" si="4"/>
        <v>0.19074226295876762</v>
      </c>
    </row>
    <row r="82" spans="1:5">
      <c r="A82" s="21">
        <f t="shared" si="3"/>
        <v>1.4999999999999958</v>
      </c>
      <c r="B82">
        <f t="shared" si="4"/>
        <v>0.12955043810437666</v>
      </c>
      <c r="C82">
        <f t="shared" si="4"/>
        <v>0.48406416454415119</v>
      </c>
      <c r="D82">
        <f t="shared" si="4"/>
        <v>0.19338308310642555</v>
      </c>
      <c r="E82">
        <f t="shared" si="4"/>
        <v>0.19338308310642535</v>
      </c>
    </row>
    <row r="83" spans="1:5">
      <c r="A83" s="21">
        <f t="shared" si="3"/>
        <v>1.5999999999999959</v>
      </c>
      <c r="B83">
        <f t="shared" si="4"/>
        <v>0.11094896144223969</v>
      </c>
      <c r="C83">
        <f t="shared" si="4"/>
        <v>0.38847059146668417</v>
      </c>
      <c r="D83">
        <f t="shared" si="4"/>
        <v>0.19074226295876787</v>
      </c>
      <c r="E83">
        <f t="shared" si="4"/>
        <v>0.19557092633467116</v>
      </c>
    </row>
    <row r="84" spans="1:5">
      <c r="A84" s="21">
        <f t="shared" si="3"/>
        <v>1.699999999999996</v>
      </c>
      <c r="B84">
        <f t="shared" si="4"/>
        <v>9.4072925881967973E-2</v>
      </c>
      <c r="C84">
        <f t="shared" si="4"/>
        <v>0.29953086558843661</v>
      </c>
      <c r="D84">
        <f t="shared" si="4"/>
        <v>0.18766774926447069</v>
      </c>
      <c r="E84">
        <f t="shared" si="4"/>
        <v>0.19728968052368068</v>
      </c>
    </row>
    <row r="85" spans="1:5">
      <c r="A85" s="21">
        <f t="shared" si="3"/>
        <v>1.799999999999996</v>
      </c>
      <c r="B85">
        <f t="shared" si="4"/>
        <v>7.897017809591933E-2</v>
      </c>
      <c r="C85">
        <f t="shared" si="4"/>
        <v>0.22189792288448071</v>
      </c>
      <c r="D85">
        <f t="shared" si="4"/>
        <v>0.18418176222221128</v>
      </c>
      <c r="E85">
        <f t="shared" si="4"/>
        <v>0.19852660238132311</v>
      </c>
    </row>
    <row r="86" spans="1:5">
      <c r="A86" s="21">
        <f t="shared" si="3"/>
        <v>1.8999999999999961</v>
      </c>
      <c r="B86">
        <f t="shared" si="4"/>
        <v>6.5632453312083866E-2</v>
      </c>
      <c r="C86">
        <f t="shared" si="4"/>
        <v>0.15794035619183971</v>
      </c>
      <c r="D86">
        <f t="shared" si="4"/>
        <v>0.18030919156278963</v>
      </c>
      <c r="E86">
        <f t="shared" si="4"/>
        <v>0.19927247477692583</v>
      </c>
    </row>
    <row r="87" spans="1:5">
      <c r="A87" s="21">
        <f t="shared" si="3"/>
        <v>1.9999999999999962</v>
      </c>
      <c r="B87">
        <f t="shared" si="4"/>
        <v>5.400465727842612E-2</v>
      </c>
      <c r="C87">
        <f t="shared" si="4"/>
        <v>0.10800931455685306</v>
      </c>
      <c r="D87">
        <f t="shared" si="4"/>
        <v>0.17607730088401677</v>
      </c>
      <c r="E87">
        <f t="shared" si="4"/>
        <v>0.19952172111690555</v>
      </c>
    </row>
    <row r="88" spans="1:5">
      <c r="A88" s="21">
        <f t="shared" si="3"/>
        <v>2.0999999999999961</v>
      </c>
      <c r="B88">
        <f t="shared" si="4"/>
        <v>4.3994749125588047E-2</v>
      </c>
      <c r="C88">
        <f t="shared" si="4"/>
        <v>7.09671766399846E-2</v>
      </c>
      <c r="D88">
        <f t="shared" si="4"/>
        <v>0.17151540852246142</v>
      </c>
      <c r="E88">
        <f t="shared" si="4"/>
        <v>0.19927247477692586</v>
      </c>
    </row>
    <row r="89" spans="1:5">
      <c r="A89" s="21">
        <f t="shared" si="3"/>
        <v>2.1999999999999962</v>
      </c>
      <c r="B89">
        <f t="shared" si="4"/>
        <v>3.5483588319991981E-2</v>
      </c>
      <c r="C89">
        <f t="shared" si="4"/>
        <v>4.4800417980623473E-2</v>
      </c>
      <c r="D89">
        <f t="shared" si="4"/>
        <v>0.16665455017845876</v>
      </c>
      <c r="E89">
        <f t="shared" si="4"/>
        <v>0.19852660238132319</v>
      </c>
    </row>
    <row r="90" spans="1:5">
      <c r="A90" s="21">
        <f t="shared" si="3"/>
        <v>2.2999999999999963</v>
      </c>
      <c r="B90">
        <f t="shared" si="4"/>
        <v>2.8334220773294391E-2</v>
      </c>
      <c r="C90">
        <f t="shared" si="4"/>
        <v>2.7172827073189302E-2</v>
      </c>
      <c r="D90">
        <f t="shared" si="4"/>
        <v>0.16152712870966776</v>
      </c>
      <c r="E90">
        <f t="shared" si="4"/>
        <v>0.19728968052368079</v>
      </c>
    </row>
    <row r="91" spans="1:5">
      <c r="A91" s="21">
        <f t="shared" si="3"/>
        <v>2.3999999999999964</v>
      </c>
      <c r="B91">
        <f t="shared" si="4"/>
        <v>2.2400208990311518E-2</v>
      </c>
      <c r="C91">
        <f t="shared" si="4"/>
        <v>1.5834917488961719E-2</v>
      </c>
      <c r="D91">
        <f t="shared" si="4"/>
        <v>0.15616655659603054</v>
      </c>
      <c r="E91">
        <f t="shared" si="4"/>
        <v>0.19557092633467132</v>
      </c>
    </row>
    <row r="92" spans="1:5">
      <c r="A92" s="21">
        <f t="shared" si="3"/>
        <v>2.4999999999999964</v>
      </c>
      <c r="B92">
        <f t="shared" si="4"/>
        <v>1.7532745234283127E-2</v>
      </c>
      <c r="C92">
        <f t="shared" si="4"/>
        <v>8.8659444367675914E-3</v>
      </c>
      <c r="D92">
        <f t="shared" si="4"/>
        <v>0.15060689655604689</v>
      </c>
      <c r="E92">
        <f t="shared" si="4"/>
        <v>0.19338308310642552</v>
      </c>
    </row>
    <row r="93" spans="1:5">
      <c r="A93" s="21">
        <f t="shared" si="3"/>
        <v>2.5999999999999965</v>
      </c>
      <c r="B93">
        <f t="shared" si="4"/>
        <v>1.3586413536594514E-2</v>
      </c>
      <c r="C93">
        <f t="shared" si="4"/>
        <v>4.7693854937825792E-3</v>
      </c>
      <c r="D93">
        <f t="shared" si="4"/>
        <v>0.14488250566432667</v>
      </c>
      <c r="E93">
        <f t="shared" si="4"/>
        <v>0.19074226295876784</v>
      </c>
    </row>
    <row r="94" spans="1:5">
      <c r="A94" s="21">
        <f t="shared" si="3"/>
        <v>2.6999999999999966</v>
      </c>
      <c r="B94">
        <f t="shared" si="4"/>
        <v>1.042357730410782E-2</v>
      </c>
      <c r="C94">
        <f t="shared" si="4"/>
        <v>2.4650632571668798E-3</v>
      </c>
      <c r="D94">
        <f t="shared" si="4"/>
        <v>0.13902768808944804</v>
      </c>
      <c r="E94">
        <f t="shared" si="4"/>
        <v>0.18766774926447066</v>
      </c>
    </row>
    <row r="95" spans="1:5">
      <c r="A95" s="21">
        <f t="shared" si="3"/>
        <v>2.7999999999999967</v>
      </c>
      <c r="B95">
        <f t="shared" si="4"/>
        <v>7.9174587444807709E-3</v>
      </c>
      <c r="C95">
        <f t="shared" si="4"/>
        <v>1.2241141864252573E-3</v>
      </c>
      <c r="D95">
        <f t="shared" si="4"/>
        <v>0.13307636124754779</v>
      </c>
      <c r="E95">
        <f t="shared" si="4"/>
        <v>0.18418176222221125</v>
      </c>
    </row>
    <row r="96" spans="1:5">
      <c r="A96" s="21">
        <f t="shared" si="3"/>
        <v>2.8999999999999968</v>
      </c>
      <c r="B96">
        <f t="shared" si="4"/>
        <v>5.9540418338351851E-3</v>
      </c>
      <c r="C96">
        <f t="shared" si="4"/>
        <v>5.8404191253020037E-4</v>
      </c>
      <c r="D96">
        <f t="shared" si="4"/>
        <v>0.12706173976110785</v>
      </c>
      <c r="E96">
        <f t="shared" si="4"/>
        <v>0.1803091915627896</v>
      </c>
    </row>
    <row r="97" spans="1:5">
      <c r="A97" s="21">
        <f t="shared" si="3"/>
        <v>2.9999999999999969</v>
      </c>
      <c r="B97">
        <f t="shared" si="4"/>
        <v>4.4329722183837402E-3</v>
      </c>
      <c r="C97">
        <f t="shared" si="4"/>
        <v>2.6772832355804359E-4</v>
      </c>
      <c r="D97">
        <f t="shared" si="4"/>
        <v>0.12101604113603696</v>
      </c>
      <c r="E97">
        <f t="shared" si="4"/>
        <v>0.17607730088401674</v>
      </c>
    </row>
    <row r="98" spans="1:5">
      <c r="A98" s="21">
        <f t="shared" si="3"/>
        <v>3.099999999999997</v>
      </c>
      <c r="B98">
        <f t="shared" si="4"/>
        <v>3.2676474401993638E-3</v>
      </c>
      <c r="C98">
        <f t="shared" si="4"/>
        <v>1.179160285027866E-4</v>
      </c>
      <c r="D98">
        <f t="shared" si="4"/>
        <v>0.11497021653659788</v>
      </c>
      <c r="E98">
        <f t="shared" si="4"/>
        <v>0.17151540852246136</v>
      </c>
    </row>
    <row r="99" spans="1:5">
      <c r="A99" s="21">
        <f t="shared" si="3"/>
        <v>3.1999999999999971</v>
      </c>
      <c r="B99">
        <f t="shared" si="4"/>
        <v>2.3846927468912597E-3</v>
      </c>
      <c r="C99">
        <f t="shared" si="4"/>
        <v>4.9897592159878227E-5</v>
      </c>
      <c r="D99">
        <f t="shared" si="4"/>
        <v>0.10895370946108238</v>
      </c>
      <c r="E99">
        <f t="shared" si="4"/>
        <v>0.1666545501784587</v>
      </c>
    </row>
    <row r="100" spans="1:5">
      <c r="A100" s="21">
        <f t="shared" si="3"/>
        <v>3.2999999999999972</v>
      </c>
      <c r="B100">
        <f t="shared" si="4"/>
        <v>1.7230057396607856E-3</v>
      </c>
      <c r="C100">
        <f t="shared" si="4"/>
        <v>2.0286847066316905E-5</v>
      </c>
      <c r="D100">
        <f t="shared" si="4"/>
        <v>0.10299424451591777</v>
      </c>
      <c r="E100">
        <f t="shared" si="4"/>
        <v>0.16152712870966773</v>
      </c>
    </row>
    <row r="101" spans="1:5">
      <c r="A101" s="21">
        <f t="shared" si="3"/>
        <v>3.3999999999999972</v>
      </c>
      <c r="B101">
        <f t="shared" si="4"/>
        <v>1.2325316285834234E-3</v>
      </c>
      <c r="C101">
        <f t="shared" si="4"/>
        <v>7.9246071557647404E-6</v>
      </c>
      <c r="D101">
        <f t="shared" si="4"/>
        <v>9.7117647866670251E-2</v>
      </c>
      <c r="E101">
        <f t="shared" si="4"/>
        <v>0.15616655659603051</v>
      </c>
    </row>
    <row r="102" spans="1:5">
      <c r="A102" s="21">
        <f t="shared" si="3"/>
        <v>3.4999999999999973</v>
      </c>
      <c r="B102">
        <f t="shared" si="4"/>
        <v>8.7290398565559476E-4</v>
      </c>
      <c r="C102">
        <f t="shared" si="4"/>
        <v>2.9741930195957276E-6</v>
      </c>
      <c r="D102">
        <f t="shared" si="4"/>
        <v>9.1347700325411507E-2</v>
      </c>
      <c r="E102">
        <f t="shared" si="4"/>
        <v>0.15060689655604687</v>
      </c>
    </row>
    <row r="103" spans="1:5">
      <c r="A103" s="21">
        <f t="shared" si="3"/>
        <v>3.5999999999999974</v>
      </c>
      <c r="B103">
        <f t="shared" si="4"/>
        <v>6.1205709321261986E-4</v>
      </c>
      <c r="C103">
        <f t="shared" si="4"/>
        <v>1.0724789539643088E-6</v>
      </c>
      <c r="D103">
        <f t="shared" si="4"/>
        <v>8.5706023428637937E-2</v>
      </c>
      <c r="E103">
        <f t="shared" si="4"/>
        <v>0.14488250566432662</v>
      </c>
    </row>
    <row r="104" spans="1:5">
      <c r="A104" s="21">
        <f t="shared" ref="A104:A127" si="5">A103+0.1</f>
        <v>3.6999999999999975</v>
      </c>
      <c r="B104">
        <f t="shared" si="4"/>
        <v>4.2488798425431156E-4</v>
      </c>
      <c r="C104">
        <f t="shared" si="4"/>
        <v>3.715665650576368E-7</v>
      </c>
      <c r="D104">
        <f t="shared" si="4"/>
        <v>8.0211998280844507E-2</v>
      </c>
      <c r="E104">
        <f t="shared" si="4"/>
        <v>0.13902768808944796</v>
      </c>
    </row>
    <row r="105" spans="1:5">
      <c r="A105" s="21">
        <f t="shared" si="5"/>
        <v>3.7999999999999976</v>
      </c>
      <c r="B105">
        <f t="shared" si="4"/>
        <v>2.9202095626509574E-4</v>
      </c>
      <c r="C105">
        <f t="shared" si="4"/>
        <v>1.236837651767086E-7</v>
      </c>
      <c r="D105">
        <f t="shared" si="4"/>
        <v>7.4882716397108431E-2</v>
      </c>
      <c r="E105">
        <f t="shared" si="4"/>
        <v>0.13307636124754774</v>
      </c>
    </row>
    <row r="106" spans="1:5">
      <c r="A106" s="21">
        <f t="shared" si="5"/>
        <v>3.8999999999999977</v>
      </c>
      <c r="B106">
        <f t="shared" si="4"/>
        <v>1.987058454756565E-4</v>
      </c>
      <c r="C106">
        <f t="shared" si="4"/>
        <v>3.9556420793372419E-8</v>
      </c>
      <c r="D106">
        <f t="shared" si="4"/>
        <v>6.9732961283247033E-2</v>
      </c>
      <c r="E106">
        <f t="shared" si="4"/>
        <v>0.12706173976110782</v>
      </c>
    </row>
    <row r="107" spans="1:5">
      <c r="A107" s="21">
        <f t="shared" si="5"/>
        <v>3.9999999999999978</v>
      </c>
      <c r="B107">
        <f t="shared" si="4"/>
        <v>1.3386416177901966E-4</v>
      </c>
      <c r="C107">
        <f t="shared" si="4"/>
        <v>1.2154847084963041E-8</v>
      </c>
      <c r="D107">
        <f t="shared" si="4"/>
        <v>6.4775219052188054E-2</v>
      </c>
      <c r="E107">
        <f t="shared" si="4"/>
        <v>0.12101604113603692</v>
      </c>
    </row>
    <row r="108" spans="1:5">
      <c r="A108" s="21">
        <f t="shared" si="5"/>
        <v>4.0999999999999979</v>
      </c>
      <c r="B108">
        <f t="shared" si="4"/>
        <v>8.9284291711613464E-5</v>
      </c>
      <c r="C108">
        <f t="shared" si="4"/>
        <v>3.5884775338294971E-9</v>
      </c>
      <c r="D108">
        <f t="shared" si="4"/>
        <v>6.0019715996230454E-2</v>
      </c>
      <c r="E108">
        <f t="shared" si="4"/>
        <v>0.11497021653659781</v>
      </c>
    </row>
    <row r="109" spans="1:5">
      <c r="A109" s="21">
        <f t="shared" si="5"/>
        <v>4.1999999999999975</v>
      </c>
      <c r="B109">
        <f t="shared" si="4"/>
        <v>5.8958014251392452E-5</v>
      </c>
      <c r="C109">
        <f t="shared" si="4"/>
        <v>1.0178861014747084E-9</v>
      </c>
      <c r="D109">
        <f t="shared" si="4"/>
        <v>5.5474480721119587E-2</v>
      </c>
      <c r="E109">
        <f t="shared" si="4"/>
        <v>0.10895370946108235</v>
      </c>
    </row>
    <row r="110" spans="1:5">
      <c r="A110" s="21">
        <f t="shared" si="5"/>
        <v>4.2999999999999972</v>
      </c>
      <c r="B110">
        <f t="shared" si="4"/>
        <v>3.8544968308815362E-5</v>
      </c>
      <c r="C110">
        <f t="shared" si="4"/>
        <v>2.7740632433930494E-10</v>
      </c>
      <c r="D110">
        <f t="shared" si="4"/>
        <v>5.1145428201703778E-2</v>
      </c>
      <c r="E110">
        <f t="shared" si="4"/>
        <v>0.10299424451591777</v>
      </c>
    </row>
    <row r="111" spans="1:5">
      <c r="A111" s="21">
        <f t="shared" si="5"/>
        <v>4.3999999999999968</v>
      </c>
      <c r="B111">
        <f t="shared" si="4"/>
        <v>2.4948796079938849E-5</v>
      </c>
      <c r="C111">
        <f t="shared" si="4"/>
        <v>7.2637644465036589E-11</v>
      </c>
      <c r="D111">
        <f t="shared" si="4"/>
        <v>4.7036462940983799E-2</v>
      </c>
      <c r="E111">
        <f t="shared" si="4"/>
        <v>9.7117647866670279E-2</v>
      </c>
    </row>
    <row r="112" spans="1:5">
      <c r="A112" s="21">
        <f t="shared" si="5"/>
        <v>4.4999999999999964</v>
      </c>
      <c r="B112">
        <f t="shared" si="4"/>
        <v>1.5987794185804785E-5</v>
      </c>
      <c r="C112">
        <f t="shared" si="4"/>
        <v>1.8274073492183018E-11</v>
      </c>
      <c r="D112">
        <f t="shared" si="4"/>
        <v>4.3149598303533959E-2</v>
      </c>
      <c r="E112">
        <f t="shared" si="4"/>
        <v>9.1347700325411549E-2</v>
      </c>
    </row>
    <row r="113" spans="1:5">
      <c r="A113" s="21">
        <f t="shared" si="5"/>
        <v>4.5999999999999961</v>
      </c>
      <c r="B113">
        <f t="shared" si="4"/>
        <v>1.0143423533158361E-5</v>
      </c>
      <c r="C113">
        <f t="shared" si="4"/>
        <v>4.4170997088672361E-12</v>
      </c>
      <c r="D113">
        <f t="shared" si="4"/>
        <v>3.9485089047959512E-2</v>
      </c>
      <c r="E113">
        <f t="shared" si="4"/>
        <v>8.570602342863802E-2</v>
      </c>
    </row>
    <row r="114" spans="1:5">
      <c r="A114" s="21">
        <f t="shared" si="5"/>
        <v>4.6999999999999957</v>
      </c>
      <c r="B114">
        <f t="shared" si="4"/>
        <v>6.3714404079835182E-6</v>
      </c>
      <c r="C114">
        <f t="shared" si="4"/>
        <v>1.0258107814972356E-12</v>
      </c>
      <c r="D114">
        <f t="shared" si="4"/>
        <v>3.6041574097304303E-2</v>
      </c>
      <c r="E114">
        <f t="shared" si="4"/>
        <v>8.0211998280844604E-2</v>
      </c>
    </row>
    <row r="115" spans="1:5">
      <c r="A115" s="21">
        <f t="shared" si="5"/>
        <v>4.7999999999999954</v>
      </c>
      <c r="B115">
        <f t="shared" si="4"/>
        <v>3.962303577882349E-6</v>
      </c>
      <c r="C115">
        <f t="shared" si="4"/>
        <v>2.2888932395746577E-13</v>
      </c>
      <c r="D115">
        <f t="shared" si="4"/>
        <v>3.2816226656041829E-2</v>
      </c>
      <c r="E115">
        <f t="shared" si="4"/>
        <v>7.4882716397108542E-2</v>
      </c>
    </row>
    <row r="116" spans="1:5">
      <c r="A116" s="21">
        <f t="shared" si="5"/>
        <v>4.899999999999995</v>
      </c>
      <c r="B116">
        <f t="shared" si="4"/>
        <v>2.439579205631265E-6</v>
      </c>
      <c r="C116">
        <f t="shared" si="4"/>
        <v>4.9069545374878276E-14</v>
      </c>
      <c r="D116">
        <f t="shared" si="4"/>
        <v>2.9804908901462316E-2</v>
      </c>
      <c r="E116">
        <f t="shared" si="4"/>
        <v>6.9732961283247158E-2</v>
      </c>
    </row>
    <row r="117" spans="1:5">
      <c r="A117" s="21">
        <f t="shared" si="5"/>
        <v>4.9999999999999947</v>
      </c>
      <c r="B117">
        <f t="shared" si="4"/>
        <v>1.4870965097978638E-6</v>
      </c>
      <c r="C117">
        <f t="shared" si="4"/>
        <v>1.0107104427459626E-14</v>
      </c>
      <c r="D117">
        <f t="shared" si="4"/>
        <v>2.7002328639213004E-2</v>
      </c>
      <c r="E117">
        <f t="shared" si="4"/>
        <v>6.4775219052188193E-2</v>
      </c>
    </row>
    <row r="118" spans="1:5">
      <c r="A118" s="21">
        <f t="shared" si="5"/>
        <v>5.0999999999999943</v>
      </c>
      <c r="B118">
        <f t="shared" si="4"/>
        <v>8.9747103486110571E-7</v>
      </c>
      <c r="C118">
        <f t="shared" si="4"/>
        <v>2.0001828176965214E-15</v>
      </c>
      <c r="D118">
        <f t="shared" si="4"/>
        <v>2.4402195510314913E-2</v>
      </c>
      <c r="E118">
        <f t="shared" si="4"/>
        <v>6.001971599623062E-2</v>
      </c>
    </row>
    <row r="119" spans="1:5">
      <c r="A119" s="21">
        <f t="shared" si="5"/>
        <v>5.199999999999994</v>
      </c>
      <c r="B119">
        <f t="shared" si="4"/>
        <v>5.362394769821564E-7</v>
      </c>
      <c r="C119">
        <f t="shared" si="4"/>
        <v>3.8031272097340344E-16</v>
      </c>
      <c r="D119">
        <f t="shared" si="4"/>
        <v>2.1997374562793975E-2</v>
      </c>
      <c r="E119">
        <f t="shared" si="4"/>
        <v>5.547448072111974E-2</v>
      </c>
    </row>
    <row r="120" spans="1:5">
      <c r="A120" s="21">
        <f t="shared" si="5"/>
        <v>5.2999999999999936</v>
      </c>
      <c r="B120">
        <f t="shared" si="4"/>
        <v>3.1721533919405086E-7</v>
      </c>
      <c r="C120">
        <f t="shared" si="4"/>
        <v>6.9476868109506507E-17</v>
      </c>
      <c r="D120">
        <f t="shared" si="4"/>
        <v>1.9780035247745718E-2</v>
      </c>
      <c r="E120">
        <f t="shared" si="4"/>
        <v>5.1145428201703924E-2</v>
      </c>
    </row>
    <row r="121" spans="1:5">
      <c r="A121" s="21">
        <f t="shared" si="5"/>
        <v>5.3999999999999932</v>
      </c>
      <c r="B121">
        <f t="shared" si="4"/>
        <v>1.8578328252882038E-7</v>
      </c>
      <c r="C121">
        <f t="shared" si="4"/>
        <v>1.2194607724194986E-17</v>
      </c>
      <c r="D121">
        <f t="shared" si="4"/>
        <v>1.7741794159995973E-2</v>
      </c>
      <c r="E121">
        <f t="shared" si="4"/>
        <v>4.7036462940983938E-2</v>
      </c>
    </row>
    <row r="122" spans="1:5">
      <c r="A122" s="21">
        <f t="shared" si="5"/>
        <v>5.4999999999999929</v>
      </c>
      <c r="B122">
        <f t="shared" si="4"/>
        <v>1.0772490985624194E-7</v>
      </c>
      <c r="C122">
        <f t="shared" si="4"/>
        <v>2.0564760532755583E-18</v>
      </c>
      <c r="D122">
        <f t="shared" si="4"/>
        <v>1.5873850110676366E-2</v>
      </c>
      <c r="E122">
        <f t="shared" si="4"/>
        <v>4.3149598303534091E-2</v>
      </c>
    </row>
    <row r="123" spans="1:5">
      <c r="A123" s="21">
        <f t="shared" si="5"/>
        <v>5.5999999999999925</v>
      </c>
      <c r="B123">
        <f t="shared" si="4"/>
        <v>6.1841882588355174E-8</v>
      </c>
      <c r="C123">
        <f t="shared" si="4"/>
        <v>3.3320207680951802E-19</v>
      </c>
      <c r="D123">
        <f t="shared" si="4"/>
        <v>1.4167110386647195E-2</v>
      </c>
      <c r="E123">
        <f t="shared" si="4"/>
        <v>3.9485089047959644E-2</v>
      </c>
    </row>
    <row r="124" spans="1:5">
      <c r="A124" s="21">
        <f t="shared" si="5"/>
        <v>5.6999999999999922</v>
      </c>
      <c r="B124">
        <f t="shared" si="4"/>
        <v>3.5148461463680277E-8</v>
      </c>
      <c r="C124">
        <f t="shared" si="4"/>
        <v>5.1870443741017917E-20</v>
      </c>
      <c r="D124">
        <f t="shared" si="4"/>
        <v>1.2612307314033656E-2</v>
      </c>
      <c r="E124">
        <f t="shared" si="4"/>
        <v>3.6041574097304421E-2</v>
      </c>
    </row>
    <row r="125" spans="1:5">
      <c r="A125" s="21">
        <f t="shared" si="5"/>
        <v>5.7999999999999918</v>
      </c>
      <c r="B125">
        <f t="shared" si="4"/>
        <v>1.977821039668656E-8</v>
      </c>
      <c r="C125">
        <f t="shared" si="4"/>
        <v>7.7581906488094881E-21</v>
      </c>
      <c r="D125">
        <f t="shared" si="4"/>
        <v>1.1200104495155773E-2</v>
      </c>
      <c r="E125">
        <f t="shared" si="4"/>
        <v>3.2816226656041947E-2</v>
      </c>
    </row>
    <row r="126" spans="1:5">
      <c r="A126" s="21">
        <f t="shared" si="5"/>
        <v>5.8999999999999915</v>
      </c>
      <c r="B126">
        <f t="shared" si="4"/>
        <v>1.1018556948148594E-8</v>
      </c>
      <c r="C126">
        <f t="shared" si="4"/>
        <v>1.1148826393623734E-21</v>
      </c>
      <c r="D126">
        <f t="shared" si="4"/>
        <v>9.9211923255523547E-3</v>
      </c>
      <c r="E126">
        <f t="shared" si="4"/>
        <v>2.980490890146242E-2</v>
      </c>
    </row>
    <row r="127" spans="1:5">
      <c r="A127" s="21">
        <f t="shared" si="5"/>
        <v>5.9999999999999911</v>
      </c>
      <c r="B127">
        <f t="shared" si="4"/>
        <v>6.0774235424816708E-9</v>
      </c>
      <c r="C127">
        <f t="shared" si="4"/>
        <v>1.5393099570791966E-22</v>
      </c>
      <c r="D127">
        <f t="shared" si="4"/>
        <v>8.7663726171415823E-3</v>
      </c>
      <c r="E127">
        <f t="shared" si="4"/>
        <v>2.7002328639213102E-2</v>
      </c>
    </row>
    <row r="128" spans="1:5">
      <c r="A128" s="21"/>
    </row>
    <row r="129" spans="1:1">
      <c r="A129" s="21"/>
    </row>
    <row r="130" spans="1:1">
      <c r="A130" s="21"/>
    </row>
    <row r="131" spans="1:1">
      <c r="A131" s="21"/>
    </row>
    <row r="132" spans="1:1">
      <c r="A132" s="21"/>
    </row>
    <row r="133" spans="1:1">
      <c r="A133" s="21"/>
    </row>
    <row r="134" spans="1:1">
      <c r="A134" s="21"/>
    </row>
    <row r="135" spans="1:1">
      <c r="A135" s="21"/>
    </row>
    <row r="136" spans="1:1">
      <c r="A136" s="21"/>
    </row>
    <row r="137" spans="1:1">
      <c r="A137" s="21"/>
    </row>
    <row r="138" spans="1:1">
      <c r="A138" s="21"/>
    </row>
    <row r="139" spans="1:1">
      <c r="A139" s="21"/>
    </row>
    <row r="140" spans="1:1">
      <c r="A140" s="21"/>
    </row>
    <row r="141" spans="1:1">
      <c r="A141" s="21"/>
    </row>
    <row r="142" spans="1:1">
      <c r="A142" s="21"/>
    </row>
    <row r="143" spans="1:1">
      <c r="A143" s="21"/>
    </row>
    <row r="144" spans="1:1">
      <c r="A144" s="21"/>
    </row>
    <row r="145" spans="1:1">
      <c r="A145" s="21"/>
    </row>
    <row r="146" spans="1:1">
      <c r="A146" s="21"/>
    </row>
    <row r="147" spans="1:1">
      <c r="A147" s="21"/>
    </row>
    <row r="148" spans="1:1">
      <c r="A148" s="21"/>
    </row>
    <row r="149" spans="1:1">
      <c r="A149" s="21"/>
    </row>
    <row r="150" spans="1:1">
      <c r="A150" s="21"/>
    </row>
    <row r="151" spans="1:1">
      <c r="A151" s="21"/>
    </row>
    <row r="152" spans="1:1">
      <c r="A152" s="21"/>
    </row>
    <row r="153" spans="1:1">
      <c r="A153" s="21"/>
    </row>
    <row r="154" spans="1:1">
      <c r="A154" s="21"/>
    </row>
    <row r="155" spans="1:1">
      <c r="A155" s="21"/>
    </row>
    <row r="156" spans="1:1">
      <c r="A156" s="21"/>
    </row>
    <row r="157" spans="1:1">
      <c r="A157" s="21"/>
    </row>
    <row r="158" spans="1:1">
      <c r="A158" s="21"/>
    </row>
    <row r="159" spans="1:1">
      <c r="A159" s="21"/>
    </row>
    <row r="160" spans="1:1">
      <c r="A160" s="21"/>
    </row>
    <row r="161" spans="1:1">
      <c r="A161" s="21"/>
    </row>
    <row r="162" spans="1:1">
      <c r="A162" s="21"/>
    </row>
    <row r="163" spans="1:1">
      <c r="A163" s="21"/>
    </row>
  </sheetData>
  <phoneticPr fontId="0" type="noConversion"/>
  <pageMargins left="0.78740157499999996" right="0.78740157499999996" top="0.984251969" bottom="0.984251969" header="0.4921259845" footer="0.4921259845"/>
  <headerFooter alignWithMargins="0"/>
  <drawing r:id="rId1"/>
</worksheet>
</file>

<file path=xl/worksheets/sheet13.xml><?xml version="1.0" encoding="utf-8"?>
<worksheet xmlns="http://schemas.openxmlformats.org/spreadsheetml/2006/main" xmlns:r="http://schemas.openxmlformats.org/officeDocument/2006/relationships">
  <sheetPr>
    <pageSetUpPr fitToPage="1"/>
  </sheetPr>
  <dimension ref="A1:E36"/>
  <sheetViews>
    <sheetView workbookViewId="0"/>
  </sheetViews>
  <sheetFormatPr defaultColWidth="9.140625" defaultRowHeight="12.75"/>
  <cols>
    <col min="1" max="1" width="20.42578125" customWidth="1"/>
    <col min="3" max="3" width="4.7109375" customWidth="1"/>
  </cols>
  <sheetData>
    <row r="1" spans="1:2">
      <c r="A1" s="1" t="s">
        <v>8</v>
      </c>
    </row>
    <row r="2" spans="1:2">
      <c r="B2" s="5"/>
    </row>
    <row r="3" spans="1:2">
      <c r="A3" t="s">
        <v>9</v>
      </c>
      <c r="B3" s="11">
        <v>525</v>
      </c>
    </row>
    <row r="4" spans="1:2">
      <c r="A4" t="s">
        <v>10</v>
      </c>
      <c r="B4" s="11">
        <v>55</v>
      </c>
    </row>
    <row r="5" spans="1:2">
      <c r="B5" s="11"/>
    </row>
    <row r="6" spans="1:2">
      <c r="A6" s="6" t="s">
        <v>11</v>
      </c>
      <c r="B6" s="11"/>
    </row>
    <row r="7" spans="1:2">
      <c r="A7" t="s">
        <v>13</v>
      </c>
      <c r="B7" s="11">
        <v>425</v>
      </c>
    </row>
    <row r="8" spans="1:2">
      <c r="A8" t="s">
        <v>12</v>
      </c>
      <c r="B8" s="11">
        <v>600</v>
      </c>
    </row>
    <row r="9" spans="1:2">
      <c r="B9" s="11"/>
    </row>
    <row r="10" spans="1:2">
      <c r="A10" t="s">
        <v>15</v>
      </c>
      <c r="B10" s="34">
        <f>NORMDIST(B7,$B$3,$B$4,1)</f>
        <v>3.451817399720758E-2</v>
      </c>
    </row>
    <row r="11" spans="1:2">
      <c r="A11" t="s">
        <v>14</v>
      </c>
      <c r="B11" s="34">
        <f>1-NORMDIST(B8,$B$3,$B$4,1)</f>
        <v>8.6341020709374328E-2</v>
      </c>
    </row>
    <row r="13" spans="1:2">
      <c r="A13" s="6" t="s">
        <v>16</v>
      </c>
      <c r="B13" s="11"/>
    </row>
    <row r="14" spans="1:2">
      <c r="A14" t="s">
        <v>15</v>
      </c>
      <c r="B14" s="35">
        <v>0.1</v>
      </c>
    </row>
    <row r="15" spans="1:2">
      <c r="A15" t="s">
        <v>14</v>
      </c>
      <c r="B15" s="35">
        <v>0.15</v>
      </c>
    </row>
    <row r="16" spans="1:2">
      <c r="B16" s="11"/>
    </row>
    <row r="17" spans="1:5">
      <c r="A17" t="s">
        <v>13</v>
      </c>
      <c r="B17" s="12">
        <f>NORMINV(B14,$B$3,$B$4)</f>
        <v>454.51466389504697</v>
      </c>
    </row>
    <row r="18" spans="1:5">
      <c r="A18" t="s">
        <v>12</v>
      </c>
      <c r="B18" s="12">
        <f>NORMINV(1-B15,$B$3,$B$4)</f>
        <v>582.00383642215843</v>
      </c>
    </row>
    <row r="21" spans="1:5">
      <c r="D21" s="3" t="s">
        <v>54</v>
      </c>
      <c r="E21" s="3" t="s">
        <v>268</v>
      </c>
    </row>
    <row r="22" spans="1:5">
      <c r="D22">
        <v>350</v>
      </c>
      <c r="E22">
        <f>NORMDIST(D22,$B$3,$B$4,1)</f>
        <v>7.3176832239285616E-4</v>
      </c>
    </row>
    <row r="23" spans="1:5">
      <c r="D23">
        <v>375</v>
      </c>
      <c r="E23">
        <f>NORMDIST(D23,$B$3,$B$4,1)</f>
        <v>3.1930116413534382E-3</v>
      </c>
    </row>
    <row r="24" spans="1:5">
      <c r="D24">
        <v>400</v>
      </c>
      <c r="E24">
        <f>NORMDIST(D24,$B$3,$B$4,1)</f>
        <v>1.1521310043880906E-2</v>
      </c>
    </row>
    <row r="25" spans="1:5">
      <c r="D25">
        <v>425</v>
      </c>
      <c r="E25">
        <f t="shared" ref="E25:E36" si="0">NORMDIST(D25,$B$3,$B$4,1)</f>
        <v>3.451817399720758E-2</v>
      </c>
    </row>
    <row r="26" spans="1:5">
      <c r="D26">
        <v>450</v>
      </c>
      <c r="E26">
        <f t="shared" si="0"/>
        <v>8.6341020709374328E-2</v>
      </c>
    </row>
    <row r="27" spans="1:5">
      <c r="D27">
        <v>475</v>
      </c>
      <c r="E27">
        <f t="shared" si="0"/>
        <v>0.18165107044344886</v>
      </c>
    </row>
    <row r="28" spans="1:5">
      <c r="D28">
        <v>500</v>
      </c>
      <c r="E28">
        <f t="shared" si="0"/>
        <v>0.32471814186337733</v>
      </c>
    </row>
    <row r="29" spans="1:5">
      <c r="D29">
        <v>525</v>
      </c>
      <c r="E29">
        <f t="shared" si="0"/>
        <v>0.5</v>
      </c>
    </row>
    <row r="30" spans="1:5">
      <c r="D30">
        <v>550</v>
      </c>
      <c r="E30">
        <f t="shared" si="0"/>
        <v>0.67528185813662267</v>
      </c>
    </row>
    <row r="31" spans="1:5">
      <c r="D31">
        <v>575</v>
      </c>
      <c r="E31">
        <f t="shared" si="0"/>
        <v>0.81834892955655114</v>
      </c>
    </row>
    <row r="32" spans="1:5">
      <c r="D32">
        <v>600</v>
      </c>
      <c r="E32">
        <f t="shared" si="0"/>
        <v>0.91365897929062567</v>
      </c>
    </row>
    <row r="33" spans="4:5">
      <c r="D33">
        <v>625</v>
      </c>
      <c r="E33">
        <f t="shared" si="0"/>
        <v>0.96548182600279242</v>
      </c>
    </row>
    <row r="34" spans="4:5">
      <c r="D34">
        <v>650</v>
      </c>
      <c r="E34">
        <f t="shared" si="0"/>
        <v>0.98847868995611909</v>
      </c>
    </row>
    <row r="35" spans="4:5">
      <c r="D35">
        <v>675</v>
      </c>
      <c r="E35">
        <f t="shared" si="0"/>
        <v>0.99680698835864656</v>
      </c>
    </row>
    <row r="36" spans="4:5">
      <c r="D36">
        <v>700</v>
      </c>
      <c r="E36">
        <f t="shared" si="0"/>
        <v>0.99926823167760714</v>
      </c>
    </row>
  </sheetData>
  <phoneticPr fontId="0" type="noConversion"/>
  <printOptions horizontalCentered="1" verticalCentered="1" headings="1" gridLines="1" gridLinesSet="0"/>
  <pageMargins left="0.78740157480314965" right="0.78740157480314965" top="0.98425196850393704" bottom="0.98425196850393704" header="0.51181102362204722" footer="0.51181102362204722"/>
  <pageSetup scale="70"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dimension ref="A1:K72"/>
  <sheetViews>
    <sheetView workbookViewId="0"/>
  </sheetViews>
  <sheetFormatPr defaultColWidth="8.85546875" defaultRowHeight="12.75"/>
  <cols>
    <col min="1" max="1" width="14" customWidth="1"/>
    <col min="2" max="2" width="9.7109375" customWidth="1"/>
    <col min="3" max="3" width="11.28515625" customWidth="1"/>
    <col min="4" max="4" width="12.7109375" customWidth="1"/>
    <col min="5" max="5" width="8.85546875" customWidth="1"/>
    <col min="6" max="6" width="9.85546875" customWidth="1"/>
  </cols>
  <sheetData>
    <row r="1" spans="1:7">
      <c r="A1" s="1" t="s">
        <v>122</v>
      </c>
      <c r="D1" s="205" t="s">
        <v>124</v>
      </c>
      <c r="E1" s="205"/>
      <c r="F1" s="205"/>
    </row>
    <row r="2" spans="1:7">
      <c r="A2" s="205" t="s">
        <v>123</v>
      </c>
      <c r="B2" s="205"/>
      <c r="D2" s="3" t="s">
        <v>28</v>
      </c>
      <c r="E2" s="69">
        <v>2</v>
      </c>
      <c r="F2" s="3" t="s">
        <v>55</v>
      </c>
      <c r="G2" s="69">
        <v>5</v>
      </c>
    </row>
    <row r="3" spans="1:7">
      <c r="A3" s="33" t="s">
        <v>30</v>
      </c>
      <c r="B3" s="3" t="s">
        <v>116</v>
      </c>
      <c r="E3" s="3" t="s">
        <v>116</v>
      </c>
    </row>
    <row r="4" spans="1:7">
      <c r="A4" s="14">
        <v>1E-3</v>
      </c>
      <c r="B4" s="14">
        <f t="shared" ref="B4:B9" si="0">NORMSINV(A4)</f>
        <v>-3.0902323061677874</v>
      </c>
      <c r="E4" s="21">
        <f t="shared" ref="E4:E18" si="1">$E$2+$G$2*B4</f>
        <v>-13.451161530838938</v>
      </c>
    </row>
    <row r="5" spans="1:7">
      <c r="A5" s="14">
        <v>5.0000000000000001E-3</v>
      </c>
      <c r="B5" s="14">
        <f t="shared" si="0"/>
        <v>-2.5758293035489155</v>
      </c>
      <c r="E5" s="21">
        <f t="shared" si="1"/>
        <v>-10.879146517744577</v>
      </c>
    </row>
    <row r="6" spans="1:7">
      <c r="A6" s="14">
        <v>0.01</v>
      </c>
      <c r="B6" s="14">
        <f t="shared" si="0"/>
        <v>-2.3263478740408488</v>
      </c>
      <c r="E6" s="21">
        <f t="shared" si="1"/>
        <v>-9.6317393702042438</v>
      </c>
    </row>
    <row r="7" spans="1:7">
      <c r="A7" s="14">
        <v>2.5000000000000001E-2</v>
      </c>
      <c r="B7" s="14">
        <f t="shared" si="0"/>
        <v>-1.9599639845400545</v>
      </c>
      <c r="E7" s="21">
        <f t="shared" si="1"/>
        <v>-7.7998199227002729</v>
      </c>
    </row>
    <row r="8" spans="1:7">
      <c r="A8" s="14">
        <v>0.05</v>
      </c>
      <c r="B8" s="14">
        <f t="shared" si="0"/>
        <v>-1.6448536269514742</v>
      </c>
      <c r="E8" s="21">
        <f t="shared" si="1"/>
        <v>-6.2242681347573701</v>
      </c>
    </row>
    <row r="9" spans="1:7">
      <c r="A9" s="14">
        <v>0.1</v>
      </c>
      <c r="B9" s="14">
        <f t="shared" si="0"/>
        <v>-1.2815515655446004</v>
      </c>
      <c r="E9" s="21">
        <f t="shared" si="1"/>
        <v>-4.4077578277230014</v>
      </c>
    </row>
    <row r="10" spans="1:7">
      <c r="A10" s="14">
        <f>NORMSDIST(B10)</f>
        <v>0.15865525393145707</v>
      </c>
      <c r="B10" s="14">
        <v>-1</v>
      </c>
      <c r="E10" s="21">
        <f t="shared" si="1"/>
        <v>-3</v>
      </c>
    </row>
    <row r="11" spans="1:7">
      <c r="A11" s="14">
        <v>0.5</v>
      </c>
      <c r="B11" s="20">
        <f>NORMSINV(A11)</f>
        <v>-1.392137635291833E-16</v>
      </c>
      <c r="E11" s="21">
        <f t="shared" si="1"/>
        <v>1.9999999999999993</v>
      </c>
    </row>
    <row r="12" spans="1:7">
      <c r="A12" s="14">
        <f>NORMSDIST(B12)</f>
        <v>0.84134474606854293</v>
      </c>
      <c r="B12" s="14">
        <v>1</v>
      </c>
      <c r="E12" s="21">
        <f t="shared" si="1"/>
        <v>7</v>
      </c>
    </row>
    <row r="13" spans="1:7">
      <c r="A13" s="14">
        <v>0.9</v>
      </c>
      <c r="B13" s="14">
        <f t="shared" ref="B13:B18" si="2">NORMSINV(A13)</f>
        <v>1.2815515655446004</v>
      </c>
      <c r="E13" s="21">
        <f t="shared" si="1"/>
        <v>8.4077578277230014</v>
      </c>
    </row>
    <row r="14" spans="1:7">
      <c r="A14" s="14">
        <v>0.95</v>
      </c>
      <c r="B14" s="14">
        <f t="shared" si="2"/>
        <v>1.6448536269514724</v>
      </c>
      <c r="E14" s="21">
        <f t="shared" si="1"/>
        <v>10.224268134757363</v>
      </c>
    </row>
    <row r="15" spans="1:7">
      <c r="A15" s="14">
        <v>0.97499999999999998</v>
      </c>
      <c r="B15" s="14">
        <f t="shared" si="2"/>
        <v>1.959963984540054</v>
      </c>
      <c r="E15" s="21">
        <f t="shared" si="1"/>
        <v>11.799819922700269</v>
      </c>
    </row>
    <row r="16" spans="1:7">
      <c r="A16" s="14">
        <v>0.99</v>
      </c>
      <c r="B16" s="14">
        <f t="shared" si="2"/>
        <v>2.3263478740408399</v>
      </c>
      <c r="E16" s="21">
        <f t="shared" si="1"/>
        <v>13.631739370204199</v>
      </c>
    </row>
    <row r="17" spans="1:9">
      <c r="A17" s="14">
        <v>0.995</v>
      </c>
      <c r="B17" s="14">
        <f t="shared" si="2"/>
        <v>2.5758293035489102</v>
      </c>
      <c r="E17" s="21">
        <f t="shared" si="1"/>
        <v>14.879146517744552</v>
      </c>
    </row>
    <row r="18" spans="1:9">
      <c r="A18" s="14">
        <v>0.999</v>
      </c>
      <c r="B18" s="14">
        <f t="shared" si="2"/>
        <v>3.0902323061677848</v>
      </c>
      <c r="E18" s="21">
        <f t="shared" si="1"/>
        <v>17.451161530838924</v>
      </c>
    </row>
    <row r="20" spans="1:9">
      <c r="A20" s="1" t="s">
        <v>125</v>
      </c>
      <c r="B20" s="63">
        <v>0.9</v>
      </c>
      <c r="C20" s="63">
        <v>0.95</v>
      </c>
      <c r="D20" s="63">
        <v>0.99</v>
      </c>
    </row>
    <row r="21" spans="1:9">
      <c r="A21" s="36" t="s">
        <v>50</v>
      </c>
      <c r="B21" s="14">
        <f>NORMSINV((1-B20)/2)</f>
        <v>-1.6448536269514742</v>
      </c>
      <c r="C21" s="14">
        <f>NORMSINV((1-C20)/2)</f>
        <v>-1.9599639845400545</v>
      </c>
      <c r="D21" s="14">
        <f>NORMSINV((1-D20)/2)</f>
        <v>-2.5758293035489155</v>
      </c>
      <c r="E21" s="68"/>
    </row>
    <row r="22" spans="1:9">
      <c r="A22" t="s">
        <v>126</v>
      </c>
      <c r="B22" s="21">
        <f>$E$2-ABS(B$21)*$G$2</f>
        <v>-6.2242681347573701</v>
      </c>
      <c r="C22" s="21">
        <f>$E$2-ABS(C$21)*$G$2</f>
        <v>-7.7998199227002729</v>
      </c>
      <c r="D22" s="21">
        <f>$E$2-ABS(D$21)*$G$2</f>
        <v>-10.879146517744577</v>
      </c>
      <c r="E22" s="21"/>
    </row>
    <row r="23" spans="1:9">
      <c r="A23" t="s">
        <v>127</v>
      </c>
      <c r="B23" s="21">
        <f>$E$2+ABS(B$21)*$G$2</f>
        <v>10.22426813475737</v>
      </c>
      <c r="C23" s="21">
        <f>$E$2+ABS(C$21)*$G$2</f>
        <v>11.799819922700273</v>
      </c>
      <c r="D23" s="21">
        <f>$E$2+ABS(D$21)*$G$2</f>
        <v>14.879146517744577</v>
      </c>
    </row>
    <row r="25" spans="1:9">
      <c r="A25" s="1" t="s">
        <v>53</v>
      </c>
    </row>
    <row r="26" spans="1:9" ht="48.75" customHeight="1">
      <c r="B26" s="70" t="s">
        <v>128</v>
      </c>
      <c r="C26" s="70" t="s">
        <v>129</v>
      </c>
      <c r="D26" s="70" t="s">
        <v>130</v>
      </c>
    </row>
    <row r="27" spans="1:9">
      <c r="B27" s="71">
        <v>-3</v>
      </c>
      <c r="C27" s="72">
        <f t="shared" ref="C27:C72" si="3">NORMSDIST($B27)</f>
        <v>1.3498980316301035E-3</v>
      </c>
      <c r="D27" s="72">
        <f t="shared" ref="D27:D72" si="4">1-$C27</f>
        <v>0.9986501019683699</v>
      </c>
      <c r="F27" t="s">
        <v>131</v>
      </c>
    </row>
    <row r="28" spans="1:9">
      <c r="B28" s="71">
        <v>-2.8</v>
      </c>
      <c r="C28" s="72">
        <f t="shared" si="3"/>
        <v>2.5551303304278683E-3</v>
      </c>
      <c r="D28" s="72">
        <f t="shared" si="4"/>
        <v>0.99744486966957213</v>
      </c>
    </row>
    <row r="29" spans="1:9">
      <c r="B29" s="71">
        <v>-2.6</v>
      </c>
      <c r="C29" s="72">
        <f t="shared" si="3"/>
        <v>4.661188023718732E-3</v>
      </c>
      <c r="D29" s="72">
        <f t="shared" si="4"/>
        <v>0.99533881197628127</v>
      </c>
      <c r="F29" s="3" t="s">
        <v>118</v>
      </c>
      <c r="G29" s="3" t="s">
        <v>119</v>
      </c>
      <c r="H29" s="3" t="s">
        <v>120</v>
      </c>
      <c r="I29" s="3" t="s">
        <v>119</v>
      </c>
    </row>
    <row r="30" spans="1:9">
      <c r="B30" s="71">
        <v>-2.4</v>
      </c>
      <c r="C30" s="72">
        <f t="shared" si="3"/>
        <v>8.1975359245960444E-3</v>
      </c>
      <c r="D30" s="72">
        <f t="shared" si="4"/>
        <v>0.99180246407540396</v>
      </c>
      <c r="F30" s="21">
        <v>-10</v>
      </c>
      <c r="G30" s="73">
        <f>NORMDIST($F30,$E$2,$G$2,1)</f>
        <v>8.1975359245960444E-3</v>
      </c>
      <c r="H30" s="47">
        <f>($F30-$E$2)/$G$2</f>
        <v>-2.4</v>
      </c>
      <c r="I30" s="73">
        <f>NORMSDIST($H30)</f>
        <v>8.1975359245960444E-3</v>
      </c>
    </row>
    <row r="31" spans="1:9">
      <c r="B31" s="71">
        <v>-2.2000000000000002</v>
      </c>
      <c r="C31" s="72">
        <f t="shared" si="3"/>
        <v>1.390344751349859E-2</v>
      </c>
      <c r="D31" s="72">
        <f t="shared" si="4"/>
        <v>0.98609655248650141</v>
      </c>
      <c r="F31" s="21">
        <v>-5</v>
      </c>
      <c r="G31" s="73">
        <f>NORMDIST($F31,$E$2,$G$2,1)</f>
        <v>8.0756659233771177E-2</v>
      </c>
      <c r="H31" s="47">
        <f>($F31-$E$2)/$G$2</f>
        <v>-1.4</v>
      </c>
      <c r="I31" s="73">
        <f>NORMSDIST($H31)</f>
        <v>8.0756659233771177E-2</v>
      </c>
    </row>
    <row r="32" spans="1:9">
      <c r="B32" s="71">
        <v>-2</v>
      </c>
      <c r="C32" s="72">
        <f t="shared" si="3"/>
        <v>2.275013194817932E-2</v>
      </c>
      <c r="D32" s="72">
        <f t="shared" si="4"/>
        <v>0.97724986805182068</v>
      </c>
      <c r="F32" s="21">
        <v>-1</v>
      </c>
      <c r="G32" s="73">
        <f>NORMDIST($F32,$E$2,$G$2,1)</f>
        <v>0.27425311775007366</v>
      </c>
      <c r="H32" s="47">
        <f>($F32-$E$2)/$G$2</f>
        <v>-0.6</v>
      </c>
      <c r="I32" s="73">
        <f>NORMSDIST($H32)</f>
        <v>0.27425311775007366</v>
      </c>
    </row>
    <row r="33" spans="2:11">
      <c r="B33" s="71">
        <v>-1.8</v>
      </c>
      <c r="C33" s="72">
        <f t="shared" si="3"/>
        <v>3.5930319112925879E-2</v>
      </c>
      <c r="D33" s="72">
        <f t="shared" si="4"/>
        <v>0.96406968088707412</v>
      </c>
      <c r="F33" s="21">
        <v>0</v>
      </c>
      <c r="G33" s="73">
        <f>NORMDIST($F33,$E$2,$G$2,1)</f>
        <v>0.34457825838967582</v>
      </c>
      <c r="H33" s="47">
        <f>($F33-$E$2)/$G$2</f>
        <v>-0.4</v>
      </c>
      <c r="I33" s="73">
        <f>NORMSDIST($H33)</f>
        <v>0.34457825838967582</v>
      </c>
    </row>
    <row r="34" spans="2:11">
      <c r="B34" s="71">
        <v>-1.6</v>
      </c>
      <c r="C34" s="72">
        <f t="shared" si="3"/>
        <v>5.4799291699557995E-2</v>
      </c>
      <c r="D34" s="72">
        <f t="shared" si="4"/>
        <v>0.94520070830044201</v>
      </c>
      <c r="F34" s="21">
        <v>5</v>
      </c>
      <c r="G34" s="73">
        <f>NORMDIST($F34,$E$2,$G$2,1)</f>
        <v>0.72574688224992634</v>
      </c>
      <c r="H34" s="47">
        <f>($F34-$E$2)/$G$2</f>
        <v>0.6</v>
      </c>
      <c r="I34" s="73">
        <f>NORMSDIST($H34)</f>
        <v>0.72574688224992634</v>
      </c>
    </row>
    <row r="35" spans="2:11">
      <c r="B35" s="71">
        <v>-1.4</v>
      </c>
      <c r="C35" s="72">
        <f t="shared" si="3"/>
        <v>8.0756659233771177E-2</v>
      </c>
      <c r="D35" s="72">
        <f t="shared" si="4"/>
        <v>0.91924334076622882</v>
      </c>
    </row>
    <row r="36" spans="2:11">
      <c r="B36" s="71">
        <v>-1.2</v>
      </c>
      <c r="C36" s="72">
        <f t="shared" si="3"/>
        <v>0.11506967022170822</v>
      </c>
      <c r="D36" s="72">
        <f t="shared" si="4"/>
        <v>0.88493032977829178</v>
      </c>
      <c r="F36" t="s">
        <v>134</v>
      </c>
    </row>
    <row r="37" spans="2:11">
      <c r="B37" s="71">
        <v>-1</v>
      </c>
      <c r="C37" s="72">
        <f t="shared" si="3"/>
        <v>0.15865525393145707</v>
      </c>
      <c r="D37" s="72">
        <f t="shared" si="4"/>
        <v>0.84134474606854293</v>
      </c>
      <c r="I37" s="3" t="s">
        <v>132</v>
      </c>
      <c r="J37" s="3" t="s">
        <v>133</v>
      </c>
      <c r="K37" s="3" t="s">
        <v>121</v>
      </c>
    </row>
    <row r="38" spans="2:11">
      <c r="B38" s="71">
        <v>-0.9</v>
      </c>
      <c r="C38" s="72">
        <f t="shared" si="3"/>
        <v>0.18406012534675953</v>
      </c>
      <c r="D38" s="72">
        <f t="shared" si="4"/>
        <v>0.81593987465324047</v>
      </c>
      <c r="F38">
        <v>1</v>
      </c>
      <c r="G38" t="s">
        <v>138</v>
      </c>
      <c r="I38" s="21">
        <f>$E$2-$F38*$G$2</f>
        <v>-3</v>
      </c>
      <c r="J38" s="21">
        <f>$E$2+$F38*$G$2</f>
        <v>7</v>
      </c>
      <c r="K38" s="60">
        <f>1-2*NORMDIST($E$2-F38*$G$2,$E$2,$G$2,1)</f>
        <v>0.68268949213708585</v>
      </c>
    </row>
    <row r="39" spans="2:11">
      <c r="B39" s="71">
        <v>-0.8</v>
      </c>
      <c r="C39" s="72">
        <f t="shared" si="3"/>
        <v>0.21185539858339675</v>
      </c>
      <c r="D39" s="72">
        <f t="shared" si="4"/>
        <v>0.78814460141660325</v>
      </c>
      <c r="F39">
        <v>2</v>
      </c>
      <c r="G39" t="s">
        <v>138</v>
      </c>
      <c r="I39" s="21">
        <f>$E$2-F39*$G$2</f>
        <v>-8</v>
      </c>
      <c r="J39" s="21">
        <f>$E$2+$F39*$G$2</f>
        <v>12</v>
      </c>
      <c r="K39" s="60">
        <f>1-2*NORMDIST($E$2-F39*$G$2,$E$2,$G$2,1)</f>
        <v>0.95449973610364136</v>
      </c>
    </row>
    <row r="40" spans="2:11">
      <c r="B40" s="71">
        <v>-0.7</v>
      </c>
      <c r="C40" s="72">
        <f t="shared" si="3"/>
        <v>0.24196365222307303</v>
      </c>
      <c r="D40" s="72">
        <f t="shared" si="4"/>
        <v>0.75803634777692697</v>
      </c>
      <c r="F40">
        <v>3</v>
      </c>
      <c r="G40" t="s">
        <v>138</v>
      </c>
      <c r="I40" s="21">
        <f>$E$2-F40*$G$2</f>
        <v>-13</v>
      </c>
      <c r="J40" s="21">
        <f>$E$2+$F40*$G$2</f>
        <v>17</v>
      </c>
      <c r="K40" s="60">
        <f>1-2*NORMDIST($E$2-F40*$G$2,$E$2,$G$2,1)</f>
        <v>0.99730020393673979</v>
      </c>
    </row>
    <row r="41" spans="2:11">
      <c r="B41" s="71">
        <v>-0.6</v>
      </c>
      <c r="C41" s="72">
        <f t="shared" si="3"/>
        <v>0.27425311775007366</v>
      </c>
      <c r="D41" s="72">
        <f t="shared" si="4"/>
        <v>0.72574688224992634</v>
      </c>
    </row>
    <row r="42" spans="2:11">
      <c r="B42" s="71">
        <v>-0.5</v>
      </c>
      <c r="C42" s="72">
        <f t="shared" si="3"/>
        <v>0.30853753872598688</v>
      </c>
      <c r="D42" s="72">
        <f t="shared" si="4"/>
        <v>0.69146246127401312</v>
      </c>
    </row>
    <row r="43" spans="2:11">
      <c r="B43" s="71">
        <v>-0.4</v>
      </c>
      <c r="C43" s="72">
        <f t="shared" si="3"/>
        <v>0.34457825838967582</v>
      </c>
      <c r="D43" s="72">
        <f t="shared" si="4"/>
        <v>0.65542174161032418</v>
      </c>
    </row>
    <row r="44" spans="2:11">
      <c r="B44" s="71">
        <v>-0.3</v>
      </c>
      <c r="C44" s="72">
        <f t="shared" si="3"/>
        <v>0.38208857781104744</v>
      </c>
      <c r="D44" s="72">
        <f t="shared" si="4"/>
        <v>0.61791142218895256</v>
      </c>
    </row>
    <row r="45" spans="2:11">
      <c r="B45" s="71">
        <v>-0.2</v>
      </c>
      <c r="C45" s="72">
        <f t="shared" si="3"/>
        <v>0.42074029056089701</v>
      </c>
      <c r="D45" s="72">
        <f t="shared" si="4"/>
        <v>0.57925970943910299</v>
      </c>
    </row>
    <row r="46" spans="2:11">
      <c r="B46" s="71">
        <v>-0.1</v>
      </c>
      <c r="C46" s="72">
        <f t="shared" si="3"/>
        <v>0.46017216272297101</v>
      </c>
      <c r="D46" s="72">
        <f t="shared" si="4"/>
        <v>0.53982783727702899</v>
      </c>
    </row>
    <row r="47" spans="2:11">
      <c r="B47" s="71">
        <v>0</v>
      </c>
      <c r="C47" s="72">
        <f t="shared" si="3"/>
        <v>0.5</v>
      </c>
      <c r="D47" s="72">
        <f t="shared" si="4"/>
        <v>0.5</v>
      </c>
    </row>
    <row r="48" spans="2:11">
      <c r="B48" s="71">
        <v>0.1</v>
      </c>
      <c r="C48" s="72">
        <f t="shared" si="3"/>
        <v>0.53982783727702899</v>
      </c>
      <c r="D48" s="72">
        <f t="shared" si="4"/>
        <v>0.46017216272297101</v>
      </c>
    </row>
    <row r="49" spans="2:4">
      <c r="B49" s="71">
        <v>0.2</v>
      </c>
      <c r="C49" s="72">
        <f t="shared" si="3"/>
        <v>0.57925970943910299</v>
      </c>
      <c r="D49" s="72">
        <f t="shared" si="4"/>
        <v>0.42074029056089701</v>
      </c>
    </row>
    <row r="50" spans="2:4">
      <c r="B50" s="71">
        <v>0.3</v>
      </c>
      <c r="C50" s="72">
        <f t="shared" si="3"/>
        <v>0.61791142218895256</v>
      </c>
      <c r="D50" s="72">
        <f t="shared" si="4"/>
        <v>0.38208857781104744</v>
      </c>
    </row>
    <row r="51" spans="2:4">
      <c r="B51" s="71">
        <v>0.4</v>
      </c>
      <c r="C51" s="72">
        <f t="shared" si="3"/>
        <v>0.65542174161032418</v>
      </c>
      <c r="D51" s="72">
        <f t="shared" si="4"/>
        <v>0.34457825838967582</v>
      </c>
    </row>
    <row r="52" spans="2:4">
      <c r="B52" s="71">
        <v>0.5</v>
      </c>
      <c r="C52" s="72">
        <f t="shared" si="3"/>
        <v>0.69146246127401312</v>
      </c>
      <c r="D52" s="72">
        <f t="shared" si="4"/>
        <v>0.30853753872598688</v>
      </c>
    </row>
    <row r="53" spans="2:4">
      <c r="B53" s="71">
        <v>0.6</v>
      </c>
      <c r="C53" s="72">
        <f t="shared" si="3"/>
        <v>0.72574688224992634</v>
      </c>
      <c r="D53" s="72">
        <f t="shared" si="4"/>
        <v>0.27425311775007366</v>
      </c>
    </row>
    <row r="54" spans="2:4">
      <c r="B54" s="71">
        <v>0.7</v>
      </c>
      <c r="C54" s="72">
        <f t="shared" si="3"/>
        <v>0.75803634777692697</v>
      </c>
      <c r="D54" s="72">
        <f t="shared" si="4"/>
        <v>0.24196365222307303</v>
      </c>
    </row>
    <row r="55" spans="2:4">
      <c r="B55" s="71">
        <v>0.8</v>
      </c>
      <c r="C55" s="72">
        <f t="shared" si="3"/>
        <v>0.78814460141660325</v>
      </c>
      <c r="D55" s="72">
        <f t="shared" si="4"/>
        <v>0.21185539858339675</v>
      </c>
    </row>
    <row r="56" spans="2:4">
      <c r="B56" s="71">
        <v>0.9</v>
      </c>
      <c r="C56" s="72">
        <f t="shared" si="3"/>
        <v>0.81593987465324047</v>
      </c>
      <c r="D56" s="72">
        <f t="shared" si="4"/>
        <v>0.18406012534675953</v>
      </c>
    </row>
    <row r="57" spans="2:4">
      <c r="B57" s="71">
        <v>1</v>
      </c>
      <c r="C57" s="72">
        <f t="shared" si="3"/>
        <v>0.84134474606854293</v>
      </c>
      <c r="D57" s="72">
        <f t="shared" si="4"/>
        <v>0.15865525393145707</v>
      </c>
    </row>
    <row r="58" spans="2:4">
      <c r="B58" s="71">
        <v>1.1000000000000001</v>
      </c>
      <c r="C58" s="72">
        <f t="shared" si="3"/>
        <v>0.86433393905361733</v>
      </c>
      <c r="D58" s="72">
        <f t="shared" si="4"/>
        <v>0.13566606094638267</v>
      </c>
    </row>
    <row r="59" spans="2:4">
      <c r="B59" s="71">
        <v>1.2</v>
      </c>
      <c r="C59" s="72">
        <f t="shared" si="3"/>
        <v>0.88493032977829178</v>
      </c>
      <c r="D59" s="72">
        <f t="shared" si="4"/>
        <v>0.11506967022170822</v>
      </c>
    </row>
    <row r="60" spans="2:4">
      <c r="B60" s="71">
        <v>1.3</v>
      </c>
      <c r="C60" s="72">
        <f t="shared" si="3"/>
        <v>0.9031995154143897</v>
      </c>
      <c r="D60" s="72">
        <f t="shared" si="4"/>
        <v>9.6800484585610302E-2</v>
      </c>
    </row>
    <row r="61" spans="2:4">
      <c r="B61" s="71">
        <v>1.4</v>
      </c>
      <c r="C61" s="72">
        <f t="shared" si="3"/>
        <v>0.91924334076622882</v>
      </c>
      <c r="D61" s="72">
        <f t="shared" si="4"/>
        <v>8.0756659233771177E-2</v>
      </c>
    </row>
    <row r="62" spans="2:4">
      <c r="B62" s="71">
        <v>1.5</v>
      </c>
      <c r="C62" s="72">
        <f t="shared" si="3"/>
        <v>0.93319279873114191</v>
      </c>
      <c r="D62" s="72">
        <f t="shared" si="4"/>
        <v>6.6807201268858085E-2</v>
      </c>
    </row>
    <row r="63" spans="2:4">
      <c r="B63" s="71">
        <v>1.6</v>
      </c>
      <c r="C63" s="72">
        <f t="shared" si="3"/>
        <v>0.94520070830044201</v>
      </c>
      <c r="D63" s="72">
        <f t="shared" si="4"/>
        <v>5.4799291699557995E-2</v>
      </c>
    </row>
    <row r="64" spans="2:4">
      <c r="B64" s="71">
        <v>1.7</v>
      </c>
      <c r="C64" s="72">
        <f t="shared" si="3"/>
        <v>0.95543453724145688</v>
      </c>
      <c r="D64" s="72">
        <f t="shared" si="4"/>
        <v>4.4565462758543117E-2</v>
      </c>
    </row>
    <row r="65" spans="2:4">
      <c r="B65" s="71">
        <v>1.8</v>
      </c>
      <c r="C65" s="72">
        <f t="shared" si="3"/>
        <v>0.96406968088707412</v>
      </c>
      <c r="D65" s="72">
        <f t="shared" si="4"/>
        <v>3.5930319112925879E-2</v>
      </c>
    </row>
    <row r="66" spans="2:4">
      <c r="B66" s="71">
        <v>1.9</v>
      </c>
      <c r="C66" s="72">
        <f t="shared" si="3"/>
        <v>0.97128344018399804</v>
      </c>
      <c r="D66" s="72">
        <f t="shared" si="4"/>
        <v>2.8716559816001963E-2</v>
      </c>
    </row>
    <row r="67" spans="2:4">
      <c r="B67" s="71">
        <v>2</v>
      </c>
      <c r="C67" s="72">
        <f t="shared" si="3"/>
        <v>0.97724986805182068</v>
      </c>
      <c r="D67" s="72">
        <f t="shared" si="4"/>
        <v>2.275013194817932E-2</v>
      </c>
    </row>
    <row r="68" spans="2:4">
      <c r="B68" s="71">
        <v>2.2000000000000002</v>
      </c>
      <c r="C68" s="72">
        <f t="shared" si="3"/>
        <v>0.98609655248650141</v>
      </c>
      <c r="D68" s="72">
        <f t="shared" si="4"/>
        <v>1.390344751349859E-2</v>
      </c>
    </row>
    <row r="69" spans="2:4">
      <c r="B69" s="71">
        <v>2.4</v>
      </c>
      <c r="C69" s="72">
        <f t="shared" si="3"/>
        <v>0.99180246407540396</v>
      </c>
      <c r="D69" s="72">
        <f t="shared" si="4"/>
        <v>8.1975359245960444E-3</v>
      </c>
    </row>
    <row r="70" spans="2:4">
      <c r="B70" s="71">
        <v>2.6</v>
      </c>
      <c r="C70" s="72">
        <f t="shared" si="3"/>
        <v>0.99533881197628127</v>
      </c>
      <c r="D70" s="72">
        <f t="shared" si="4"/>
        <v>4.661188023718732E-3</v>
      </c>
    </row>
    <row r="71" spans="2:4">
      <c r="B71" s="71">
        <v>2.8</v>
      </c>
      <c r="C71" s="72">
        <f t="shared" si="3"/>
        <v>0.99744486966957213</v>
      </c>
      <c r="D71" s="72">
        <f t="shared" si="4"/>
        <v>2.5551303304278683E-3</v>
      </c>
    </row>
    <row r="72" spans="2:4">
      <c r="B72" s="71">
        <v>3</v>
      </c>
      <c r="C72" s="72">
        <f t="shared" si="3"/>
        <v>0.9986501019683699</v>
      </c>
      <c r="D72" s="72">
        <f t="shared" si="4"/>
        <v>1.3498980316301035E-3</v>
      </c>
    </row>
  </sheetData>
  <mergeCells count="2">
    <mergeCell ref="A2:B2"/>
    <mergeCell ref="D1:F1"/>
  </mergeCells>
  <phoneticPr fontId="11" type="noConversion"/>
  <printOptions gridLines="1" gridLinesSet="0"/>
  <pageMargins left="0.78740157499999996" right="0.78740157499999996" top="0.984251969" bottom="0.984251969" header="0.5" footer="0.5"/>
  <pageSetup paperSize="9"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dimension ref="A1:M75"/>
  <sheetViews>
    <sheetView workbookViewId="0"/>
  </sheetViews>
  <sheetFormatPr defaultColWidth="11.42578125" defaultRowHeight="12.75"/>
  <sheetData>
    <row r="1" spans="1:13">
      <c r="A1" s="1" t="s">
        <v>226</v>
      </c>
    </row>
    <row r="3" spans="1:13">
      <c r="A3" t="s">
        <v>227</v>
      </c>
    </row>
    <row r="5" spans="1:13">
      <c r="B5" s="205" t="s">
        <v>321</v>
      </c>
      <c r="C5" s="205"/>
      <c r="D5" s="205"/>
      <c r="F5" s="205" t="s">
        <v>322</v>
      </c>
      <c r="G5" s="205"/>
      <c r="H5" s="205"/>
      <c r="I5" s="205" t="s">
        <v>315</v>
      </c>
      <c r="J5" s="205"/>
      <c r="K5" s="205"/>
      <c r="L5" s="64"/>
      <c r="M5" s="64"/>
    </row>
    <row r="6" spans="1:13">
      <c r="A6" s="140"/>
      <c r="B6" s="26" t="s">
        <v>28</v>
      </c>
      <c r="C6" s="26" t="s">
        <v>55</v>
      </c>
      <c r="D6" s="26" t="s">
        <v>206</v>
      </c>
      <c r="E6" s="140"/>
      <c r="F6" s="26" t="s">
        <v>316</v>
      </c>
      <c r="G6" s="26" t="s">
        <v>317</v>
      </c>
      <c r="H6" s="26" t="s">
        <v>318</v>
      </c>
      <c r="I6" s="26" t="s">
        <v>28</v>
      </c>
      <c r="J6" s="26" t="s">
        <v>55</v>
      </c>
      <c r="K6" s="26" t="s">
        <v>206</v>
      </c>
    </row>
    <row r="7" spans="1:13">
      <c r="A7" t="s">
        <v>228</v>
      </c>
      <c r="B7">
        <v>8</v>
      </c>
      <c r="C7">
        <v>1</v>
      </c>
      <c r="D7">
        <f t="shared" ref="D7:D16" si="0">C7^2</f>
        <v>1</v>
      </c>
      <c r="F7">
        <v>2</v>
      </c>
      <c r="G7">
        <v>8</v>
      </c>
      <c r="H7">
        <v>15</v>
      </c>
      <c r="I7" s="8">
        <f t="shared" ref="I7:I16" si="1">(F7+4*G7+H7)/6</f>
        <v>8.1666666666666661</v>
      </c>
      <c r="J7" s="8">
        <f t="shared" ref="J7:J16" si="2">(H7-F7)/6</f>
        <v>2.1666666666666665</v>
      </c>
      <c r="K7" s="8">
        <f t="shared" ref="K7:K16" si="3">J7^2</f>
        <v>4.6944444444444438</v>
      </c>
    </row>
    <row r="8" spans="1:13">
      <c r="A8" t="s">
        <v>229</v>
      </c>
      <c r="B8">
        <v>2</v>
      </c>
      <c r="C8">
        <v>0.1</v>
      </c>
      <c r="D8">
        <f t="shared" si="0"/>
        <v>1.0000000000000002E-2</v>
      </c>
      <c r="F8">
        <v>1</v>
      </c>
      <c r="G8">
        <v>2</v>
      </c>
      <c r="H8">
        <v>4</v>
      </c>
      <c r="I8" s="8">
        <f t="shared" si="1"/>
        <v>2.1666666666666665</v>
      </c>
      <c r="J8" s="8">
        <f t="shared" si="2"/>
        <v>0.5</v>
      </c>
      <c r="K8" s="8">
        <f t="shared" si="3"/>
        <v>0.25</v>
      </c>
    </row>
    <row r="9" spans="1:13">
      <c r="A9" t="s">
        <v>230</v>
      </c>
      <c r="B9">
        <v>2</v>
      </c>
      <c r="C9">
        <v>0.3</v>
      </c>
      <c r="D9">
        <f t="shared" si="0"/>
        <v>0.09</v>
      </c>
      <c r="F9">
        <v>1</v>
      </c>
      <c r="G9">
        <v>2</v>
      </c>
      <c r="H9">
        <v>3</v>
      </c>
      <c r="I9" s="8">
        <f t="shared" si="1"/>
        <v>2</v>
      </c>
      <c r="J9" s="8">
        <f t="shared" si="2"/>
        <v>0.33333333333333331</v>
      </c>
      <c r="K9" s="8">
        <f t="shared" si="3"/>
        <v>0.1111111111111111</v>
      </c>
    </row>
    <row r="10" spans="1:13">
      <c r="A10" t="s">
        <v>231</v>
      </c>
      <c r="B10">
        <v>6</v>
      </c>
      <c r="C10">
        <v>2</v>
      </c>
      <c r="D10">
        <f t="shared" si="0"/>
        <v>4</v>
      </c>
      <c r="F10">
        <v>2</v>
      </c>
      <c r="G10">
        <v>6</v>
      </c>
      <c r="H10">
        <v>10</v>
      </c>
      <c r="I10" s="8">
        <f t="shared" si="1"/>
        <v>6</v>
      </c>
      <c r="J10" s="8">
        <f t="shared" si="2"/>
        <v>1.3333333333333333</v>
      </c>
      <c r="K10" s="8">
        <f t="shared" si="3"/>
        <v>1.7777777777777777</v>
      </c>
    </row>
    <row r="11" spans="1:13">
      <c r="A11" t="s">
        <v>232</v>
      </c>
      <c r="B11">
        <v>4</v>
      </c>
      <c r="C11">
        <v>0.5</v>
      </c>
      <c r="D11">
        <f t="shared" si="0"/>
        <v>0.25</v>
      </c>
      <c r="F11">
        <v>3</v>
      </c>
      <c r="G11">
        <v>4</v>
      </c>
      <c r="H11">
        <v>6</v>
      </c>
      <c r="I11" s="8">
        <f t="shared" si="1"/>
        <v>4.166666666666667</v>
      </c>
      <c r="J11" s="8">
        <f t="shared" si="2"/>
        <v>0.5</v>
      </c>
      <c r="K11" s="8">
        <f t="shared" si="3"/>
        <v>0.25</v>
      </c>
    </row>
    <row r="12" spans="1:13">
      <c r="A12" t="s">
        <v>233</v>
      </c>
      <c r="B12">
        <v>3</v>
      </c>
      <c r="C12">
        <v>0.1</v>
      </c>
      <c r="D12">
        <f t="shared" si="0"/>
        <v>1.0000000000000002E-2</v>
      </c>
      <c r="F12">
        <v>1</v>
      </c>
      <c r="G12">
        <v>3</v>
      </c>
      <c r="H12">
        <v>6</v>
      </c>
      <c r="I12" s="8">
        <f t="shared" si="1"/>
        <v>3.1666666666666665</v>
      </c>
      <c r="J12" s="8">
        <f t="shared" si="2"/>
        <v>0.83333333333333337</v>
      </c>
      <c r="K12" s="8">
        <f t="shared" si="3"/>
        <v>0.69444444444444453</v>
      </c>
    </row>
    <row r="13" spans="1:13">
      <c r="A13" t="s">
        <v>234</v>
      </c>
      <c r="B13">
        <v>4</v>
      </c>
      <c r="C13">
        <v>1.5</v>
      </c>
      <c r="D13">
        <f t="shared" si="0"/>
        <v>2.25</v>
      </c>
      <c r="F13">
        <v>1</v>
      </c>
      <c r="G13">
        <v>4</v>
      </c>
      <c r="H13">
        <v>6</v>
      </c>
      <c r="I13" s="8">
        <f t="shared" si="1"/>
        <v>3.8333333333333335</v>
      </c>
      <c r="J13" s="8">
        <f t="shared" si="2"/>
        <v>0.83333333333333337</v>
      </c>
      <c r="K13" s="8">
        <f t="shared" si="3"/>
        <v>0.69444444444444453</v>
      </c>
    </row>
    <row r="14" spans="1:13">
      <c r="A14" t="s">
        <v>235</v>
      </c>
      <c r="B14">
        <v>6</v>
      </c>
      <c r="C14">
        <v>1.8</v>
      </c>
      <c r="D14">
        <f t="shared" si="0"/>
        <v>3.24</v>
      </c>
      <c r="F14">
        <v>1</v>
      </c>
      <c r="G14">
        <v>6</v>
      </c>
      <c r="H14">
        <v>9</v>
      </c>
      <c r="I14" s="8">
        <f t="shared" si="1"/>
        <v>5.666666666666667</v>
      </c>
      <c r="J14" s="8">
        <f t="shared" si="2"/>
        <v>1.3333333333333333</v>
      </c>
      <c r="K14" s="8">
        <f t="shared" si="3"/>
        <v>1.7777777777777777</v>
      </c>
    </row>
    <row r="15" spans="1:13">
      <c r="A15" t="s">
        <v>236</v>
      </c>
      <c r="B15">
        <v>8</v>
      </c>
      <c r="C15">
        <v>2.4</v>
      </c>
      <c r="D15">
        <f t="shared" si="0"/>
        <v>5.76</v>
      </c>
      <c r="F15">
        <v>4</v>
      </c>
      <c r="G15">
        <v>8</v>
      </c>
      <c r="H15">
        <v>14</v>
      </c>
      <c r="I15" s="8">
        <f t="shared" si="1"/>
        <v>8.3333333333333339</v>
      </c>
      <c r="J15" s="8">
        <f t="shared" si="2"/>
        <v>1.6666666666666667</v>
      </c>
      <c r="K15" s="8">
        <f t="shared" si="3"/>
        <v>2.7777777777777781</v>
      </c>
    </row>
    <row r="16" spans="1:13">
      <c r="A16" s="140" t="s">
        <v>237</v>
      </c>
      <c r="B16" s="140">
        <v>12</v>
      </c>
      <c r="C16" s="140">
        <v>3.2</v>
      </c>
      <c r="D16" s="140">
        <f t="shared" si="0"/>
        <v>10.240000000000002</v>
      </c>
      <c r="E16" s="140"/>
      <c r="F16" s="140">
        <v>3</v>
      </c>
      <c r="G16" s="140">
        <v>12</v>
      </c>
      <c r="H16" s="140">
        <v>22</v>
      </c>
      <c r="I16" s="141">
        <f t="shared" si="1"/>
        <v>12.166666666666666</v>
      </c>
      <c r="J16" s="141">
        <f t="shared" si="2"/>
        <v>3.1666666666666665</v>
      </c>
      <c r="K16" s="141">
        <f t="shared" si="3"/>
        <v>10.027777777777777</v>
      </c>
    </row>
    <row r="17" spans="1:11">
      <c r="A17" t="s">
        <v>56</v>
      </c>
      <c r="B17">
        <f>SUM(B7:B16)</f>
        <v>55</v>
      </c>
      <c r="C17" s="21">
        <f>SQRT(D17)</f>
        <v>5.1816985632126462</v>
      </c>
      <c r="D17">
        <f>SUM(D7:D16)</f>
        <v>26.85</v>
      </c>
      <c r="F17">
        <f>SUM(F7:F16)</f>
        <v>19</v>
      </c>
      <c r="G17">
        <f>SUM(G7:G16)</f>
        <v>55</v>
      </c>
      <c r="H17">
        <f>SUM(H7:H16)</f>
        <v>95</v>
      </c>
      <c r="I17" s="8">
        <f>SUM(I7:I16)</f>
        <v>55.666666666666664</v>
      </c>
      <c r="J17" s="8">
        <f>SQRT(K17)</f>
        <v>4.8016200969626448</v>
      </c>
      <c r="K17" s="8">
        <f>SUM(K7:K16)</f>
        <v>23.055555555555557</v>
      </c>
    </row>
    <row r="19" spans="1:11">
      <c r="H19" s="3" t="s">
        <v>319</v>
      </c>
      <c r="I19" s="65">
        <f>(I17-F17)/(H17-F17)*((I17-F17)*(H17-I17)/K17-1)</f>
        <v>29.697209892200377</v>
      </c>
    </row>
    <row r="20" spans="1:11">
      <c r="A20" t="s">
        <v>238</v>
      </c>
      <c r="H20" s="3" t="s">
        <v>320</v>
      </c>
      <c r="I20" s="65">
        <f>I19*(H17-I17)/(I17-F17)</f>
        <v>31.857006975269499</v>
      </c>
    </row>
    <row r="21" spans="1:11">
      <c r="B21" s="3" t="s">
        <v>26</v>
      </c>
      <c r="C21" s="3" t="s">
        <v>320</v>
      </c>
      <c r="H21" s="3"/>
      <c r="J21" s="3"/>
    </row>
    <row r="22" spans="1:11">
      <c r="A22" s="3" t="s">
        <v>54</v>
      </c>
      <c r="B22" s="3" t="s">
        <v>225</v>
      </c>
      <c r="C22" s="3" t="s">
        <v>225</v>
      </c>
      <c r="J22" s="65"/>
    </row>
    <row r="23" spans="1:11">
      <c r="A23">
        <v>40</v>
      </c>
      <c r="B23" s="65">
        <f>NORMDIST(A23,$B$17,$C$17,1)</f>
        <v>1.8969787356128975E-3</v>
      </c>
      <c r="C23" s="65">
        <f>BETADIST(A23,$I$19,$I$20,$F$17,$H$17)</f>
        <v>3.2471221465620124E-4</v>
      </c>
      <c r="J23" s="65"/>
    </row>
    <row r="24" spans="1:11">
      <c r="A24">
        <v>50</v>
      </c>
      <c r="B24" s="65">
        <f>NORMDIST(A24,$B$17,$C$17,1)</f>
        <v>0.16728879607332803</v>
      </c>
      <c r="C24" s="65">
        <f>BETADIST(A24,$I$19,$I$20,$F$17,$H$17)</f>
        <v>0.12025430218535056</v>
      </c>
      <c r="J24" s="65"/>
    </row>
    <row r="25" spans="1:11">
      <c r="A25">
        <v>60</v>
      </c>
      <c r="B25" s="65">
        <f>NORMDIST(A25,$B$17,$C$17,1)</f>
        <v>0.83271120392667197</v>
      </c>
      <c r="C25" s="65">
        <f>BETADIST(A25,$I$19,$I$20,$F$17,$H$17)</f>
        <v>0.81463737847856066</v>
      </c>
    </row>
    <row r="29" spans="1:11">
      <c r="B29" s="3" t="s">
        <v>26</v>
      </c>
      <c r="C29" s="3" t="s">
        <v>320</v>
      </c>
    </row>
    <row r="30" spans="1:11">
      <c r="A30">
        <v>10</v>
      </c>
      <c r="B30">
        <f t="shared" ref="B30:B75" si="4">NORMDIST(A30,$B$17,$C$17,1)</f>
        <v>1.9035494997975786E-18</v>
      </c>
    </row>
    <row r="31" spans="1:11">
      <c r="A31">
        <v>12</v>
      </c>
      <c r="B31">
        <f t="shared" si="4"/>
        <v>5.274493010305446E-17</v>
      </c>
    </row>
    <row r="32" spans="1:11">
      <c r="A32">
        <v>14</v>
      </c>
      <c r="B32">
        <f t="shared" si="4"/>
        <v>1.2617258063571035E-15</v>
      </c>
    </row>
    <row r="33" spans="1:3">
      <c r="A33">
        <v>16</v>
      </c>
      <c r="B33">
        <f t="shared" si="4"/>
        <v>2.6061327997954713E-14</v>
      </c>
    </row>
    <row r="34" spans="1:3">
      <c r="A34">
        <v>18</v>
      </c>
      <c r="B34">
        <f t="shared" si="4"/>
        <v>4.6490701367767E-13</v>
      </c>
    </row>
    <row r="35" spans="1:3">
      <c r="A35">
        <v>20</v>
      </c>
      <c r="B35">
        <f t="shared" si="4"/>
        <v>7.1643633687900323E-12</v>
      </c>
      <c r="C35">
        <f t="shared" ref="C35:C71" si="5">BETADIST(A35,$I$19,$I$20,$F$17,$H$17)</f>
        <v>1.6084399598900648E-39</v>
      </c>
    </row>
    <row r="36" spans="1:3">
      <c r="A36">
        <v>22</v>
      </c>
      <c r="B36">
        <f t="shared" si="4"/>
        <v>9.5400547749318451E-11</v>
      </c>
      <c r="C36">
        <f t="shared" si="5"/>
        <v>1.0611559803969326E-25</v>
      </c>
    </row>
    <row r="37" spans="1:3">
      <c r="A37">
        <v>24</v>
      </c>
      <c r="B37">
        <f t="shared" si="4"/>
        <v>1.0980568198496987E-9</v>
      </c>
      <c r="C37">
        <f t="shared" si="5"/>
        <v>1.7999125394071697E-19</v>
      </c>
    </row>
    <row r="38" spans="1:3">
      <c r="A38">
        <v>26</v>
      </c>
      <c r="B38">
        <f t="shared" si="4"/>
        <v>1.0928526086580885E-8</v>
      </c>
      <c r="C38">
        <f t="shared" si="5"/>
        <v>1.6848933108383679E-15</v>
      </c>
    </row>
    <row r="39" spans="1:3">
      <c r="A39">
        <v>28</v>
      </c>
      <c r="B39">
        <f t="shared" si="4"/>
        <v>9.4091806238542455E-8</v>
      </c>
      <c r="C39">
        <f t="shared" si="5"/>
        <v>1.2293243025179228E-12</v>
      </c>
    </row>
    <row r="40" spans="1:3">
      <c r="A40">
        <v>30</v>
      </c>
      <c r="B40">
        <f t="shared" si="4"/>
        <v>7.0116665162878178E-7</v>
      </c>
      <c r="C40">
        <f t="shared" si="5"/>
        <v>1.9462005953550521E-10</v>
      </c>
    </row>
    <row r="41" spans="1:3">
      <c r="A41">
        <v>32</v>
      </c>
      <c r="B41">
        <f t="shared" si="4"/>
        <v>4.5252150149277526E-6</v>
      </c>
      <c r="C41">
        <f t="shared" si="5"/>
        <v>1.107213295453939E-8</v>
      </c>
    </row>
    <row r="42" spans="1:3">
      <c r="A42">
        <v>34</v>
      </c>
      <c r="B42">
        <f t="shared" si="4"/>
        <v>2.5312234172569781E-5</v>
      </c>
      <c r="C42">
        <f t="shared" si="5"/>
        <v>3.0123081914372446E-7</v>
      </c>
    </row>
    <row r="43" spans="1:3">
      <c r="A43">
        <v>36</v>
      </c>
      <c r="B43">
        <f t="shared" si="4"/>
        <v>1.2282574407218583E-4</v>
      </c>
      <c r="C43">
        <f t="shared" si="5"/>
        <v>4.679834099310871E-6</v>
      </c>
    </row>
    <row r="44" spans="1:3">
      <c r="A44">
        <v>38</v>
      </c>
      <c r="B44">
        <f t="shared" si="4"/>
        <v>5.1760688911173247E-4</v>
      </c>
      <c r="C44">
        <f t="shared" si="5"/>
        <v>4.6694141064146648E-5</v>
      </c>
    </row>
    <row r="45" spans="1:3">
      <c r="A45">
        <v>40</v>
      </c>
      <c r="B45">
        <f t="shared" si="4"/>
        <v>1.8969787356128975E-3</v>
      </c>
      <c r="C45">
        <f t="shared" si="5"/>
        <v>3.2471221465620124E-4</v>
      </c>
    </row>
    <row r="46" spans="1:3">
      <c r="A46">
        <v>42</v>
      </c>
      <c r="B46">
        <f t="shared" si="4"/>
        <v>6.0565909051589761E-3</v>
      </c>
      <c r="C46">
        <f t="shared" si="5"/>
        <v>1.6695656058645114E-3</v>
      </c>
    </row>
    <row r="47" spans="1:3">
      <c r="A47">
        <v>44</v>
      </c>
      <c r="B47">
        <f t="shared" si="4"/>
        <v>1.6882959319215574E-2</v>
      </c>
      <c r="C47">
        <f t="shared" si="5"/>
        <v>6.6333504787015191E-3</v>
      </c>
    </row>
    <row r="48" spans="1:3">
      <c r="A48">
        <v>46</v>
      </c>
      <c r="B48">
        <f t="shared" si="4"/>
        <v>4.1203982960923424E-2</v>
      </c>
      <c r="C48">
        <f t="shared" si="5"/>
        <v>2.1067210294286119E-2</v>
      </c>
    </row>
    <row r="49" spans="1:3">
      <c r="A49">
        <v>48</v>
      </c>
      <c r="B49">
        <f t="shared" si="4"/>
        <v>8.8362392105196585E-2</v>
      </c>
      <c r="C49">
        <f t="shared" si="5"/>
        <v>5.4938768793892298E-2</v>
      </c>
    </row>
    <row r="50" spans="1:3">
      <c r="A50">
        <v>50</v>
      </c>
      <c r="B50">
        <f t="shared" si="4"/>
        <v>0.16728879607332803</v>
      </c>
      <c r="C50">
        <f t="shared" si="5"/>
        <v>0.12025430218535056</v>
      </c>
    </row>
    <row r="51" spans="1:3">
      <c r="A51">
        <v>52</v>
      </c>
      <c r="B51">
        <f t="shared" si="4"/>
        <v>0.28130783434962392</v>
      </c>
      <c r="C51">
        <f t="shared" si="5"/>
        <v>0.2251429272578987</v>
      </c>
    </row>
    <row r="52" spans="1:3">
      <c r="A52">
        <v>54</v>
      </c>
      <c r="B52">
        <f t="shared" si="4"/>
        <v>0.42348460941218624</v>
      </c>
      <c r="C52">
        <f t="shared" si="5"/>
        <v>0.36675806109304954</v>
      </c>
    </row>
    <row r="53" spans="1:3">
      <c r="A53">
        <v>56</v>
      </c>
      <c r="B53">
        <f t="shared" si="4"/>
        <v>0.57651539058781376</v>
      </c>
      <c r="C53">
        <f t="shared" si="5"/>
        <v>0.52852488514277485</v>
      </c>
    </row>
    <row r="54" spans="1:3">
      <c r="A54">
        <v>58</v>
      </c>
      <c r="B54">
        <f t="shared" si="4"/>
        <v>0.71869216565037608</v>
      </c>
      <c r="C54">
        <f t="shared" si="5"/>
        <v>0.68539738142879925</v>
      </c>
    </row>
    <row r="55" spans="1:3">
      <c r="A55">
        <v>60</v>
      </c>
      <c r="B55">
        <f t="shared" si="4"/>
        <v>0.83271120392667197</v>
      </c>
      <c r="C55">
        <f t="shared" si="5"/>
        <v>0.81463737847856066</v>
      </c>
    </row>
    <row r="56" spans="1:3">
      <c r="A56">
        <v>62</v>
      </c>
      <c r="B56">
        <f t="shared" si="4"/>
        <v>0.91163760789480341</v>
      </c>
      <c r="C56">
        <f t="shared" si="5"/>
        <v>0.90492201017307206</v>
      </c>
    </row>
    <row r="57" spans="1:3">
      <c r="A57">
        <v>64</v>
      </c>
      <c r="B57">
        <f t="shared" si="4"/>
        <v>0.95879601703907658</v>
      </c>
      <c r="C57">
        <f t="shared" si="5"/>
        <v>0.95815632950834517</v>
      </c>
    </row>
    <row r="58" spans="1:3">
      <c r="A58">
        <v>66</v>
      </c>
      <c r="B58">
        <f t="shared" si="4"/>
        <v>0.98311704068078443</v>
      </c>
      <c r="C58">
        <f t="shared" si="5"/>
        <v>0.98444945552809804</v>
      </c>
    </row>
    <row r="59" spans="1:3">
      <c r="A59">
        <v>68</v>
      </c>
      <c r="B59">
        <f t="shared" si="4"/>
        <v>0.99394340909484102</v>
      </c>
      <c r="C59">
        <f t="shared" si="5"/>
        <v>0.99520951668646385</v>
      </c>
    </row>
    <row r="60" spans="1:3">
      <c r="A60">
        <v>70</v>
      </c>
      <c r="B60">
        <f t="shared" si="4"/>
        <v>0.9981030212643871</v>
      </c>
      <c r="C60">
        <f t="shared" si="5"/>
        <v>0.99880385405170757</v>
      </c>
    </row>
    <row r="61" spans="1:3">
      <c r="A61">
        <v>72</v>
      </c>
      <c r="B61">
        <f t="shared" si="4"/>
        <v>0.99948239311088827</v>
      </c>
      <c r="C61">
        <f t="shared" si="5"/>
        <v>0.99976460879250484</v>
      </c>
    </row>
    <row r="62" spans="1:3">
      <c r="A62">
        <v>74</v>
      </c>
      <c r="B62">
        <f t="shared" si="4"/>
        <v>0.99987717425592781</v>
      </c>
      <c r="C62">
        <f t="shared" si="5"/>
        <v>0.99996477765446434</v>
      </c>
    </row>
    <row r="63" spans="1:3">
      <c r="A63">
        <v>76</v>
      </c>
      <c r="B63">
        <f t="shared" si="4"/>
        <v>0.99997468776582743</v>
      </c>
      <c r="C63">
        <f t="shared" si="5"/>
        <v>0.99999617662182239</v>
      </c>
    </row>
    <row r="64" spans="1:3">
      <c r="A64">
        <v>78</v>
      </c>
      <c r="B64">
        <f t="shared" si="4"/>
        <v>0.99999547478498507</v>
      </c>
      <c r="C64">
        <f t="shared" si="5"/>
        <v>0.99999971737083826</v>
      </c>
    </row>
    <row r="65" spans="1:3">
      <c r="A65">
        <v>80</v>
      </c>
      <c r="B65">
        <f t="shared" si="4"/>
        <v>0.99999929883334837</v>
      </c>
      <c r="C65">
        <f t="shared" si="5"/>
        <v>0.99999998696613923</v>
      </c>
    </row>
    <row r="66" spans="1:3">
      <c r="A66">
        <v>82</v>
      </c>
      <c r="B66">
        <f t="shared" si="4"/>
        <v>0.99999990590819376</v>
      </c>
      <c r="C66">
        <f t="shared" si="5"/>
        <v>0.99999999966942499</v>
      </c>
    </row>
    <row r="67" spans="1:3">
      <c r="A67">
        <v>84</v>
      </c>
      <c r="B67">
        <f t="shared" si="4"/>
        <v>0.99999998907147392</v>
      </c>
      <c r="C67">
        <f t="shared" si="5"/>
        <v>0.99999999999618805</v>
      </c>
    </row>
    <row r="68" spans="1:3">
      <c r="A68">
        <v>86</v>
      </c>
      <c r="B68">
        <f t="shared" si="4"/>
        <v>0.99999999890194313</v>
      </c>
      <c r="C68">
        <f t="shared" si="5"/>
        <v>0.99999999999998535</v>
      </c>
    </row>
    <row r="69" spans="1:3">
      <c r="A69">
        <v>88</v>
      </c>
      <c r="B69">
        <f t="shared" si="4"/>
        <v>0.99999999990459942</v>
      </c>
      <c r="C69">
        <f t="shared" si="5"/>
        <v>1</v>
      </c>
    </row>
    <row r="70" spans="1:3">
      <c r="A70">
        <v>90</v>
      </c>
      <c r="B70">
        <f t="shared" si="4"/>
        <v>0.99999999999283562</v>
      </c>
      <c r="C70">
        <f t="shared" si="5"/>
        <v>1</v>
      </c>
    </row>
    <row r="71" spans="1:3">
      <c r="A71">
        <v>92</v>
      </c>
      <c r="B71">
        <f t="shared" si="4"/>
        <v>0.99999999999953504</v>
      </c>
      <c r="C71">
        <f t="shared" si="5"/>
        <v>1</v>
      </c>
    </row>
    <row r="72" spans="1:3">
      <c r="A72">
        <v>94</v>
      </c>
      <c r="B72">
        <f t="shared" si="4"/>
        <v>0.99999999999997391</v>
      </c>
    </row>
    <row r="73" spans="1:3">
      <c r="A73">
        <v>96</v>
      </c>
      <c r="B73">
        <f t="shared" si="4"/>
        <v>0.99999999999999878</v>
      </c>
    </row>
    <row r="74" spans="1:3">
      <c r="A74">
        <v>98</v>
      </c>
      <c r="B74">
        <f t="shared" si="4"/>
        <v>1</v>
      </c>
    </row>
    <row r="75" spans="1:3">
      <c r="A75">
        <v>100</v>
      </c>
      <c r="B75">
        <f t="shared" si="4"/>
        <v>1</v>
      </c>
    </row>
  </sheetData>
  <mergeCells count="3">
    <mergeCell ref="F5:H5"/>
    <mergeCell ref="B5:D5"/>
    <mergeCell ref="I5:K5"/>
  </mergeCells>
  <phoneticPr fontId="11" type="noConversion"/>
  <pageMargins left="0.78740157499999996" right="0.78740157499999996" top="0.984251969" bottom="0.984251969" header="0.4921259845" footer="0.4921259845"/>
  <pageSetup paperSize="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dimension ref="A1:P75"/>
  <sheetViews>
    <sheetView workbookViewId="0"/>
  </sheetViews>
  <sheetFormatPr defaultColWidth="11.42578125" defaultRowHeight="12.75"/>
  <cols>
    <col min="1" max="16384" width="11.42578125" style="221"/>
  </cols>
  <sheetData>
    <row r="1" spans="1:15">
      <c r="A1" s="1" t="s">
        <v>226</v>
      </c>
    </row>
    <row r="2" spans="1:15">
      <c r="A2"/>
    </row>
    <row r="3" spans="1:15">
      <c r="A3" t="s">
        <v>227</v>
      </c>
    </row>
    <row r="6" spans="1:15">
      <c r="A6" s="222"/>
      <c r="B6" s="26" t="s">
        <v>28</v>
      </c>
      <c r="C6" s="26" t="s">
        <v>55</v>
      </c>
      <c r="D6" s="26" t="s">
        <v>206</v>
      </c>
      <c r="F6" s="223" t="s">
        <v>561</v>
      </c>
    </row>
    <row r="7" spans="1:15">
      <c r="A7" t="s">
        <v>228</v>
      </c>
      <c r="B7" s="221">
        <v>8</v>
      </c>
      <c r="C7" s="221">
        <v>1</v>
      </c>
      <c r="D7" s="221">
        <f>C7^2</f>
        <v>1</v>
      </c>
      <c r="F7" s="221">
        <v>1</v>
      </c>
      <c r="G7" s="221">
        <f t="array" ref="G7:O7">TRANSPOSE(F8:F16)</f>
        <v>0.5</v>
      </c>
      <c r="H7" s="221">
        <v>0.4</v>
      </c>
      <c r="I7" s="221">
        <v>0.3</v>
      </c>
      <c r="J7" s="221">
        <v>0.1</v>
      </c>
      <c r="K7" s="221">
        <v>0</v>
      </c>
      <c r="L7" s="221">
        <v>0.2</v>
      </c>
      <c r="M7" s="221">
        <v>0.4</v>
      </c>
      <c r="N7" s="221">
        <v>0.2</v>
      </c>
      <c r="O7" s="221">
        <v>0.1</v>
      </c>
    </row>
    <row r="8" spans="1:15">
      <c r="A8" t="s">
        <v>229</v>
      </c>
      <c r="B8" s="221">
        <v>2</v>
      </c>
      <c r="C8" s="221">
        <v>0.1</v>
      </c>
      <c r="D8" s="221">
        <f>C8^2</f>
        <v>1.0000000000000002E-2</v>
      </c>
      <c r="F8" s="221">
        <v>0.5</v>
      </c>
      <c r="G8" s="221">
        <v>1</v>
      </c>
      <c r="H8" s="221">
        <f t="array" ref="H8:O8">TRANSPOSE(G9:G16)</f>
        <v>0.1</v>
      </c>
      <c r="I8" s="221">
        <v>0</v>
      </c>
      <c r="J8" s="221">
        <v>0.3</v>
      </c>
      <c r="K8" s="221">
        <v>0.1</v>
      </c>
      <c r="L8" s="221">
        <v>0.3</v>
      </c>
      <c r="M8" s="221">
        <v>0.3</v>
      </c>
      <c r="N8" s="221">
        <v>0.2</v>
      </c>
      <c r="O8" s="221">
        <v>0</v>
      </c>
    </row>
    <row r="9" spans="1:15">
      <c r="A9" t="s">
        <v>230</v>
      </c>
      <c r="B9" s="221">
        <v>2</v>
      </c>
      <c r="C9" s="221">
        <v>0.3</v>
      </c>
      <c r="D9" s="221">
        <f>C9^2</f>
        <v>0.09</v>
      </c>
      <c r="F9" s="221">
        <v>0.4</v>
      </c>
      <c r="G9" s="221">
        <v>0.1</v>
      </c>
      <c r="H9" s="221">
        <v>1</v>
      </c>
      <c r="I9" s="221">
        <f t="array" ref="I9:O9">TRANSPOSE(H10:H16)</f>
        <v>0.6</v>
      </c>
      <c r="J9" s="221">
        <v>0.5</v>
      </c>
      <c r="K9" s="221">
        <v>0.1</v>
      </c>
      <c r="L9" s="221">
        <v>0</v>
      </c>
      <c r="M9" s="221">
        <v>0.5</v>
      </c>
      <c r="N9" s="221">
        <v>0.1</v>
      </c>
      <c r="O9" s="221">
        <v>0</v>
      </c>
    </row>
    <row r="10" spans="1:15">
      <c r="A10" t="s">
        <v>231</v>
      </c>
      <c r="B10" s="221">
        <v>6</v>
      </c>
      <c r="C10" s="221">
        <v>2</v>
      </c>
      <c r="D10" s="221">
        <f>C10^2</f>
        <v>4</v>
      </c>
      <c r="F10" s="221">
        <v>0.3</v>
      </c>
      <c r="G10" s="221">
        <v>0</v>
      </c>
      <c r="H10" s="221">
        <v>0.6</v>
      </c>
      <c r="I10" s="221">
        <v>1</v>
      </c>
      <c r="J10" s="221">
        <f t="array" ref="J10:O10">TRANSPOSE(I11:I16)</f>
        <v>0.8</v>
      </c>
      <c r="K10" s="221">
        <v>0.2</v>
      </c>
      <c r="L10" s="221">
        <v>0.1</v>
      </c>
      <c r="M10" s="221">
        <v>0</v>
      </c>
      <c r="N10" s="221">
        <v>0</v>
      </c>
      <c r="O10" s="221">
        <v>0.2</v>
      </c>
    </row>
    <row r="11" spans="1:15">
      <c r="A11" t="s">
        <v>232</v>
      </c>
      <c r="B11" s="221">
        <v>4</v>
      </c>
      <c r="C11" s="221">
        <v>0.5</v>
      </c>
      <c r="D11" s="221">
        <f>C11^2</f>
        <v>0.25</v>
      </c>
      <c r="F11" s="221">
        <v>0.1</v>
      </c>
      <c r="G11" s="221">
        <v>0.3</v>
      </c>
      <c r="H11" s="221">
        <v>0.5</v>
      </c>
      <c r="I11" s="221">
        <v>0.8</v>
      </c>
      <c r="J11" s="221">
        <v>1</v>
      </c>
      <c r="K11" s="221">
        <f t="array" ref="K11:O11">TRANSPOSE(J12:J16)</f>
        <v>0.2</v>
      </c>
      <c r="L11" s="221">
        <v>0.3</v>
      </c>
      <c r="M11" s="221">
        <v>0.3</v>
      </c>
      <c r="N11" s="221">
        <v>0.3</v>
      </c>
      <c r="O11" s="221">
        <v>0.1</v>
      </c>
    </row>
    <row r="12" spans="1:15">
      <c r="A12" t="s">
        <v>233</v>
      </c>
      <c r="B12" s="221">
        <v>3</v>
      </c>
      <c r="C12" s="221">
        <v>0.1</v>
      </c>
      <c r="D12" s="221">
        <f>C12^2</f>
        <v>1.0000000000000002E-2</v>
      </c>
      <c r="F12" s="221">
        <v>0</v>
      </c>
      <c r="G12" s="221">
        <v>0.1</v>
      </c>
      <c r="H12" s="221">
        <v>0.1</v>
      </c>
      <c r="I12" s="221">
        <v>0.2</v>
      </c>
      <c r="J12" s="221">
        <v>0.2</v>
      </c>
      <c r="K12" s="221">
        <v>1</v>
      </c>
      <c r="L12" s="221">
        <f t="array" ref="L12:O12">TRANSPOSE(K13:K16)</f>
        <v>0.4</v>
      </c>
      <c r="M12" s="221">
        <v>0.4</v>
      </c>
      <c r="N12" s="221">
        <v>0.5</v>
      </c>
      <c r="O12" s="221">
        <v>0</v>
      </c>
    </row>
    <row r="13" spans="1:15">
      <c r="A13" t="s">
        <v>234</v>
      </c>
      <c r="B13" s="221">
        <v>4</v>
      </c>
      <c r="C13" s="221">
        <v>1.5</v>
      </c>
      <c r="D13" s="221">
        <f>C13^2</f>
        <v>2.25</v>
      </c>
      <c r="F13" s="221">
        <v>0.2</v>
      </c>
      <c r="G13" s="221">
        <v>0.3</v>
      </c>
      <c r="H13" s="221">
        <v>0</v>
      </c>
      <c r="I13" s="221">
        <v>0.1</v>
      </c>
      <c r="J13" s="221">
        <v>0.3</v>
      </c>
      <c r="K13" s="221">
        <v>0.4</v>
      </c>
      <c r="L13" s="221">
        <v>1</v>
      </c>
      <c r="M13" s="221">
        <f t="array" ref="M13:O13">TRANSPOSE(L14:L16)</f>
        <v>0.7</v>
      </c>
      <c r="N13" s="221">
        <v>0.8</v>
      </c>
      <c r="O13" s="221">
        <v>0.3</v>
      </c>
    </row>
    <row r="14" spans="1:15">
      <c r="A14" t="s">
        <v>235</v>
      </c>
      <c r="B14" s="221">
        <v>6</v>
      </c>
      <c r="C14" s="221">
        <v>1.8</v>
      </c>
      <c r="D14" s="221">
        <f>C14^2</f>
        <v>3.24</v>
      </c>
      <c r="F14" s="221">
        <v>0.4</v>
      </c>
      <c r="G14" s="221">
        <v>0.3</v>
      </c>
      <c r="H14" s="221">
        <v>0.5</v>
      </c>
      <c r="I14" s="221">
        <v>0</v>
      </c>
      <c r="J14" s="221">
        <v>0.3</v>
      </c>
      <c r="K14" s="221">
        <v>0.4</v>
      </c>
      <c r="L14" s="221">
        <v>0.7</v>
      </c>
      <c r="M14" s="221">
        <v>1</v>
      </c>
      <c r="N14" s="221">
        <f t="array" ref="N14:O14">TRANSPOSE(M15:M16)</f>
        <v>0.9</v>
      </c>
      <c r="O14" s="221">
        <v>0.4</v>
      </c>
    </row>
    <row r="15" spans="1:15">
      <c r="A15" t="s">
        <v>236</v>
      </c>
      <c r="B15" s="221">
        <v>8</v>
      </c>
      <c r="C15" s="221">
        <v>2.4</v>
      </c>
      <c r="D15" s="221">
        <f>C15^2</f>
        <v>5.76</v>
      </c>
      <c r="F15" s="221">
        <v>0.2</v>
      </c>
      <c r="G15" s="224">
        <v>0.2</v>
      </c>
      <c r="H15" s="224">
        <v>0.1</v>
      </c>
      <c r="I15" s="224">
        <v>0</v>
      </c>
      <c r="J15" s="224">
        <v>0.3</v>
      </c>
      <c r="K15" s="224">
        <v>0.5</v>
      </c>
      <c r="L15" s="224">
        <v>0.8</v>
      </c>
      <c r="M15" s="224">
        <v>0.9</v>
      </c>
      <c r="N15" s="221">
        <v>1</v>
      </c>
      <c r="O15" s="221">
        <f>N16</f>
        <v>0.5</v>
      </c>
    </row>
    <row r="16" spans="1:15">
      <c r="A16" s="140" t="s">
        <v>237</v>
      </c>
      <c r="B16" s="222">
        <v>12</v>
      </c>
      <c r="C16" s="222">
        <v>3.2</v>
      </c>
      <c r="D16" s="222">
        <f>C16^2</f>
        <v>10.240000000000002</v>
      </c>
      <c r="F16" s="221">
        <v>0.1</v>
      </c>
      <c r="G16" s="224">
        <v>0</v>
      </c>
      <c r="H16" s="224">
        <v>0</v>
      </c>
      <c r="I16" s="224">
        <v>0.2</v>
      </c>
      <c r="J16" s="224">
        <v>0.1</v>
      </c>
      <c r="K16" s="224">
        <v>0</v>
      </c>
      <c r="L16" s="224">
        <v>0.3</v>
      </c>
      <c r="M16" s="224">
        <v>0.4</v>
      </c>
      <c r="N16" s="224">
        <v>0.5</v>
      </c>
      <c r="O16" s="221">
        <v>1</v>
      </c>
    </row>
    <row r="17" spans="1:16">
      <c r="A17" t="s">
        <v>56</v>
      </c>
      <c r="B17" s="221">
        <f>SUM(B7:B16)</f>
        <v>55</v>
      </c>
      <c r="C17" s="225">
        <f>SQRT(D17)</f>
        <v>8.5965109201349819</v>
      </c>
      <c r="D17" s="221">
        <f t="array" ref="D17">MMULT(MMULT(F28:O28,F18:O27),TRANSPOSE(F28:O28))</f>
        <v>73.900000000000006</v>
      </c>
      <c r="F17" s="223" t="s">
        <v>562</v>
      </c>
    </row>
    <row r="18" spans="1:16">
      <c r="F18" s="221">
        <f t="array" ref="F18:O18">TRANSPOSE($C$7:$C$16)*(F7:O7)*C7</f>
        <v>1</v>
      </c>
      <c r="G18" s="221">
        <v>0.05</v>
      </c>
      <c r="H18" s="221">
        <v>0.12</v>
      </c>
      <c r="I18" s="221">
        <v>0.6</v>
      </c>
      <c r="J18" s="221">
        <v>0.05</v>
      </c>
      <c r="K18" s="221">
        <v>0</v>
      </c>
      <c r="L18" s="221">
        <v>0.30000000000000004</v>
      </c>
      <c r="M18" s="221">
        <v>0.72000000000000008</v>
      </c>
      <c r="N18" s="221">
        <v>0.48</v>
      </c>
      <c r="O18" s="221">
        <v>0.32000000000000006</v>
      </c>
    </row>
    <row r="19" spans="1:16">
      <c r="F19" s="221">
        <f t="array" ref="F19:O19">TRANSPOSE($C$7:$C$16)*(F8:O8)*C8</f>
        <v>0.05</v>
      </c>
      <c r="G19" s="221">
        <v>1.0000000000000002E-2</v>
      </c>
      <c r="H19" s="221">
        <v>3.0000000000000001E-3</v>
      </c>
      <c r="I19" s="221">
        <v>0</v>
      </c>
      <c r="J19" s="221">
        <v>1.4999999999999999E-2</v>
      </c>
      <c r="K19" s="221">
        <v>1.0000000000000002E-3</v>
      </c>
      <c r="L19" s="221">
        <v>4.4999999999999998E-2</v>
      </c>
      <c r="M19" s="221">
        <v>5.4000000000000006E-2</v>
      </c>
      <c r="N19" s="221">
        <v>4.8000000000000001E-2</v>
      </c>
      <c r="O19" s="221">
        <v>0</v>
      </c>
    </row>
    <row r="20" spans="1:16">
      <c r="A20" t="s">
        <v>238</v>
      </c>
      <c r="F20" s="221">
        <f t="array" ref="F20:O20">TRANSPOSE($C$7:$C$16)*(F9:O9)*C9</f>
        <v>0.12</v>
      </c>
      <c r="G20" s="221">
        <v>3.0000000000000005E-3</v>
      </c>
      <c r="H20" s="221">
        <v>0.09</v>
      </c>
      <c r="I20" s="221">
        <v>0.36</v>
      </c>
      <c r="J20" s="221">
        <v>7.4999999999999997E-2</v>
      </c>
      <c r="K20" s="221">
        <v>3.0000000000000005E-3</v>
      </c>
      <c r="L20" s="221">
        <v>0</v>
      </c>
      <c r="M20" s="221">
        <v>0.27</v>
      </c>
      <c r="N20" s="221">
        <v>7.1999999999999995E-2</v>
      </c>
      <c r="O20" s="221">
        <v>0</v>
      </c>
    </row>
    <row r="21" spans="1:16">
      <c r="B21" s="226" t="s">
        <v>26</v>
      </c>
      <c r="F21" s="221">
        <f t="array" ref="F21:O21">TRANSPOSE($C$7:$C$16)*(F10:O10)*C10</f>
        <v>0.6</v>
      </c>
      <c r="G21" s="221">
        <v>0</v>
      </c>
      <c r="H21" s="221">
        <v>0.36</v>
      </c>
      <c r="I21" s="221">
        <v>4</v>
      </c>
      <c r="J21" s="221">
        <v>0.8</v>
      </c>
      <c r="K21" s="221">
        <v>4.0000000000000008E-2</v>
      </c>
      <c r="L21" s="221">
        <v>0.30000000000000004</v>
      </c>
      <c r="M21" s="221">
        <v>0</v>
      </c>
      <c r="N21" s="221">
        <v>0</v>
      </c>
      <c r="O21" s="221">
        <v>1.2800000000000002</v>
      </c>
    </row>
    <row r="22" spans="1:16">
      <c r="A22" s="226" t="s">
        <v>54</v>
      </c>
      <c r="B22" s="226" t="s">
        <v>225</v>
      </c>
      <c r="C22" s="226"/>
      <c r="F22" s="221">
        <f t="array" ref="F22:O22">TRANSPOSE($C$7:$C$16)*(F11:O11)*C11</f>
        <v>0.05</v>
      </c>
      <c r="G22" s="221">
        <v>1.4999999999999999E-2</v>
      </c>
      <c r="H22" s="221">
        <v>7.4999999999999997E-2</v>
      </c>
      <c r="I22" s="221">
        <v>0.8</v>
      </c>
      <c r="J22" s="221">
        <v>0.25</v>
      </c>
      <c r="K22" s="221">
        <v>1.0000000000000002E-2</v>
      </c>
      <c r="L22" s="221">
        <v>0.22499999999999998</v>
      </c>
      <c r="M22" s="221">
        <v>0.27</v>
      </c>
      <c r="N22" s="221">
        <v>0.36</v>
      </c>
      <c r="O22" s="221">
        <v>0.16000000000000003</v>
      </c>
    </row>
    <row r="23" spans="1:16">
      <c r="A23" s="221">
        <v>40</v>
      </c>
      <c r="B23" s="227">
        <f>NORMDIST(A23,$B$17,$C$17,1)</f>
        <v>4.0501664284715133E-2</v>
      </c>
      <c r="C23" s="227"/>
      <c r="F23" s="221">
        <f t="array" ref="F23:O23">TRANSPOSE($C$7:$C$16)*(F12:O12)*C12</f>
        <v>0</v>
      </c>
      <c r="G23" s="221">
        <v>1.0000000000000002E-3</v>
      </c>
      <c r="H23" s="221">
        <v>3.0000000000000001E-3</v>
      </c>
      <c r="I23" s="221">
        <v>4.0000000000000008E-2</v>
      </c>
      <c r="J23" s="221">
        <v>1.0000000000000002E-2</v>
      </c>
      <c r="K23" s="221">
        <v>1.0000000000000002E-2</v>
      </c>
      <c r="L23" s="221">
        <v>6.0000000000000012E-2</v>
      </c>
      <c r="M23" s="221">
        <v>7.2000000000000008E-2</v>
      </c>
      <c r="N23" s="221">
        <v>0.12</v>
      </c>
      <c r="O23" s="221">
        <v>0</v>
      </c>
    </row>
    <row r="24" spans="1:16">
      <c r="A24" s="221">
        <v>50</v>
      </c>
      <c r="B24" s="227">
        <f>NORMDIST(A24,$B$17,$C$17,1)</f>
        <v>0.28040752065267061</v>
      </c>
      <c r="C24" s="227"/>
      <c r="F24" s="221">
        <f t="array" ref="F24:O24">TRANSPOSE($C$7:$C$16)*(F13:O13)*C13</f>
        <v>0.30000000000000004</v>
      </c>
      <c r="G24" s="221">
        <v>4.4999999999999998E-2</v>
      </c>
      <c r="H24" s="221">
        <v>0</v>
      </c>
      <c r="I24" s="221">
        <v>0.30000000000000004</v>
      </c>
      <c r="J24" s="221">
        <v>0.22499999999999998</v>
      </c>
      <c r="K24" s="221">
        <v>6.0000000000000012E-2</v>
      </c>
      <c r="L24" s="221">
        <v>2.25</v>
      </c>
      <c r="M24" s="221">
        <v>1.8900000000000001</v>
      </c>
      <c r="N24" s="221">
        <v>2.88</v>
      </c>
      <c r="O24" s="221">
        <v>1.44</v>
      </c>
    </row>
    <row r="25" spans="1:16">
      <c r="A25" s="221">
        <v>60</v>
      </c>
      <c r="B25" s="227">
        <f>NORMDIST(A25,$B$17,$C$17,1)</f>
        <v>0.71959247934732939</v>
      </c>
      <c r="C25" s="227"/>
      <c r="F25" s="221">
        <f t="array" ref="F25:O25">TRANSPOSE($C$7:$C$16)*(F14:O14)*C14</f>
        <v>0.72000000000000008</v>
      </c>
      <c r="G25" s="221">
        <v>5.3999999999999999E-2</v>
      </c>
      <c r="H25" s="221">
        <v>0.27</v>
      </c>
      <c r="I25" s="221">
        <v>0</v>
      </c>
      <c r="J25" s="221">
        <v>0.27</v>
      </c>
      <c r="K25" s="221">
        <v>7.2000000000000022E-2</v>
      </c>
      <c r="L25" s="221">
        <v>1.8899999999999997</v>
      </c>
      <c r="M25" s="221">
        <v>3.24</v>
      </c>
      <c r="N25" s="221">
        <v>3.8880000000000003</v>
      </c>
      <c r="O25" s="221">
        <v>2.3040000000000007</v>
      </c>
    </row>
    <row r="26" spans="1:16">
      <c r="F26" s="221">
        <f t="array" ref="F26:O26">TRANSPOSE($C$7:$C$16)*(F15:O15)*C15</f>
        <v>0.48</v>
      </c>
      <c r="G26" s="221">
        <v>4.8000000000000008E-2</v>
      </c>
      <c r="H26" s="221">
        <v>7.1999999999999995E-2</v>
      </c>
      <c r="I26" s="221">
        <v>0</v>
      </c>
      <c r="J26" s="221">
        <v>0.36</v>
      </c>
      <c r="K26" s="221">
        <v>0.12</v>
      </c>
      <c r="L26" s="221">
        <v>2.8800000000000003</v>
      </c>
      <c r="M26" s="221">
        <v>3.8879999999999999</v>
      </c>
      <c r="N26" s="221">
        <v>5.76</v>
      </c>
      <c r="O26" s="221">
        <v>3.84</v>
      </c>
    </row>
    <row r="27" spans="1:16">
      <c r="F27" s="221">
        <f t="array" ref="F27:O27">TRANSPOSE($C$7:$C$16)*(F16:O16)*C16</f>
        <v>0.32000000000000006</v>
      </c>
      <c r="G27" s="221">
        <v>0</v>
      </c>
      <c r="H27" s="221">
        <v>0</v>
      </c>
      <c r="I27" s="221">
        <v>1.2800000000000002</v>
      </c>
      <c r="J27" s="221">
        <v>0.16000000000000003</v>
      </c>
      <c r="K27" s="221">
        <v>0</v>
      </c>
      <c r="L27" s="221">
        <v>1.44</v>
      </c>
      <c r="M27" s="221">
        <v>2.3040000000000003</v>
      </c>
      <c r="N27" s="221">
        <v>3.84</v>
      </c>
      <c r="O27" s="221">
        <v>10.240000000000002</v>
      </c>
    </row>
    <row r="28" spans="1:16">
      <c r="F28" s="221">
        <v>1</v>
      </c>
      <c r="G28" s="221">
        <v>1</v>
      </c>
      <c r="H28" s="221">
        <v>1</v>
      </c>
      <c r="I28" s="221">
        <v>1</v>
      </c>
      <c r="J28" s="221">
        <v>1</v>
      </c>
      <c r="K28" s="221">
        <v>1</v>
      </c>
      <c r="L28" s="221">
        <v>1</v>
      </c>
      <c r="M28" s="221">
        <v>1</v>
      </c>
      <c r="N28" s="221">
        <v>1</v>
      </c>
      <c r="O28" s="221">
        <v>1</v>
      </c>
      <c r="P28" s="224" t="s">
        <v>563</v>
      </c>
    </row>
    <row r="29" spans="1:16">
      <c r="B29" s="226"/>
      <c r="C29" s="226"/>
    </row>
    <row r="30" spans="1:16">
      <c r="A30" s="221">
        <v>10</v>
      </c>
      <c r="B30" s="221">
        <f>NORMDIST(A30,$B$17,$C$17,1)</f>
        <v>8.2634627062150826E-8</v>
      </c>
    </row>
    <row r="31" spans="1:16">
      <c r="A31" s="221">
        <v>12</v>
      </c>
      <c r="B31" s="221">
        <f>NORMDIST(A31,$B$17,$C$17,1)</f>
        <v>2.8364974282892173E-7</v>
      </c>
    </row>
    <row r="32" spans="1:16">
      <c r="A32" s="221">
        <v>14</v>
      </c>
      <c r="B32" s="221">
        <f>NORMDIST(A32,$B$17,$C$17,1)</f>
        <v>9.2398363316092968E-7</v>
      </c>
    </row>
    <row r="33" spans="1:2">
      <c r="A33" s="221">
        <v>16</v>
      </c>
      <c r="B33" s="221">
        <f>NORMDIST(A33,$B$17,$C$17,1)</f>
        <v>2.856735924705589E-6</v>
      </c>
    </row>
    <row r="34" spans="1:2">
      <c r="A34" s="221">
        <v>18</v>
      </c>
      <c r="B34" s="221">
        <f>NORMDIST(A34,$B$17,$C$17,1)</f>
        <v>8.3843649445469737E-6</v>
      </c>
    </row>
    <row r="35" spans="1:2">
      <c r="A35" s="221">
        <v>20</v>
      </c>
      <c r="B35" s="221">
        <f>NORMDIST(A35,$B$17,$C$17,1)</f>
        <v>2.3363781013863161E-5</v>
      </c>
    </row>
    <row r="36" spans="1:2">
      <c r="A36" s="221">
        <v>22</v>
      </c>
      <c r="B36" s="221">
        <f>NORMDIST(A36,$B$17,$C$17,1)</f>
        <v>6.1826922238550353E-5</v>
      </c>
    </row>
    <row r="37" spans="1:2">
      <c r="A37" s="221">
        <v>24</v>
      </c>
      <c r="B37" s="221">
        <f>NORMDIST(A37,$B$17,$C$17,1)</f>
        <v>1.5540820378978637E-4</v>
      </c>
    </row>
    <row r="38" spans="1:2">
      <c r="A38" s="221">
        <v>26</v>
      </c>
      <c r="B38" s="221">
        <f>NORMDIST(A38,$B$17,$C$17,1)</f>
        <v>3.7114691506001662E-4</v>
      </c>
    </row>
    <row r="39" spans="1:2">
      <c r="A39" s="221">
        <v>28</v>
      </c>
      <c r="B39" s="221">
        <f>NORMDIST(A39,$B$17,$C$17,1)</f>
        <v>8.4240897562437578E-4</v>
      </c>
    </row>
    <row r="40" spans="1:2">
      <c r="A40" s="221">
        <v>30</v>
      </c>
      <c r="B40" s="221">
        <f>NORMDIST(A40,$B$17,$C$17,1)</f>
        <v>1.8178311145571335E-3</v>
      </c>
    </row>
    <row r="41" spans="1:2">
      <c r="A41" s="221">
        <v>32</v>
      </c>
      <c r="B41" s="221">
        <f>NORMDIST(A41,$B$17,$C$17,1)</f>
        <v>3.7308483019257155E-3</v>
      </c>
    </row>
    <row r="42" spans="1:2">
      <c r="A42" s="221">
        <v>34</v>
      </c>
      <c r="B42" s="221">
        <f>NORMDIST(A42,$B$17,$C$17,1)</f>
        <v>7.2858649664850894E-3</v>
      </c>
    </row>
    <row r="43" spans="1:2">
      <c r="A43" s="221">
        <v>36</v>
      </c>
      <c r="B43" s="221">
        <f>NORMDIST(A43,$B$17,$C$17,1)</f>
        <v>1.3545676528952999E-2</v>
      </c>
    </row>
    <row r="44" spans="1:2">
      <c r="A44" s="221">
        <v>38</v>
      </c>
      <c r="B44" s="221">
        <f>NORMDIST(A44,$B$17,$C$17,1)</f>
        <v>2.3989945446367456E-2</v>
      </c>
    </row>
    <row r="45" spans="1:2">
      <c r="A45" s="221">
        <v>40</v>
      </c>
      <c r="B45" s="221">
        <f>NORMDIST(A45,$B$17,$C$17,1)</f>
        <v>4.0501664284715133E-2</v>
      </c>
    </row>
    <row r="46" spans="1:2">
      <c r="A46" s="221">
        <v>42</v>
      </c>
      <c r="B46" s="221">
        <f>NORMDIST(A46,$B$17,$C$17,1)</f>
        <v>6.523622697765763E-2</v>
      </c>
    </row>
    <row r="47" spans="1:2">
      <c r="A47" s="221">
        <v>44</v>
      </c>
      <c r="B47" s="221">
        <f>NORMDIST(A47,$B$17,$C$17,1)</f>
        <v>0.10034487687469973</v>
      </c>
    </row>
    <row r="48" spans="1:2">
      <c r="A48" s="221">
        <v>46</v>
      </c>
      <c r="B48" s="221">
        <f>NORMDIST(A48,$B$17,$C$17,1)</f>
        <v>0.14756446138824653</v>
      </c>
    </row>
    <row r="49" spans="1:2">
      <c r="A49" s="221">
        <v>48</v>
      </c>
      <c r="B49" s="221">
        <f>NORMDIST(A49,$B$17,$C$17,1)</f>
        <v>0.20774118000973607</v>
      </c>
    </row>
    <row r="50" spans="1:2">
      <c r="A50" s="221">
        <v>50</v>
      </c>
      <c r="B50" s="221">
        <f>NORMDIST(A50,$B$17,$C$17,1)</f>
        <v>0.28040752065267061</v>
      </c>
    </row>
    <row r="51" spans="1:2">
      <c r="A51" s="221">
        <v>52</v>
      </c>
      <c r="B51" s="221">
        <f>NORMDIST(A51,$B$17,$C$17,1)</f>
        <v>0.36355261553150653</v>
      </c>
    </row>
    <row r="52" spans="1:2">
      <c r="A52" s="221">
        <v>54</v>
      </c>
      <c r="B52" s="221">
        <f>NORMDIST(A52,$B$17,$C$17,1)</f>
        <v>0.45369698556677185</v>
      </c>
    </row>
    <row r="53" spans="1:2">
      <c r="A53" s="221">
        <v>56</v>
      </c>
      <c r="B53" s="221">
        <f>NORMDIST(A53,$B$17,$C$17,1)</f>
        <v>0.54630301443322815</v>
      </c>
    </row>
    <row r="54" spans="1:2">
      <c r="A54" s="221">
        <v>58</v>
      </c>
      <c r="B54" s="221">
        <f>NORMDIST(A54,$B$17,$C$17,1)</f>
        <v>0.63644738446849347</v>
      </c>
    </row>
    <row r="55" spans="1:2">
      <c r="A55" s="221">
        <v>60</v>
      </c>
      <c r="B55" s="221">
        <f>NORMDIST(A55,$B$17,$C$17,1)</f>
        <v>0.71959247934732939</v>
      </c>
    </row>
    <row r="56" spans="1:2">
      <c r="A56" s="221">
        <v>62</v>
      </c>
      <c r="B56" s="221">
        <f>NORMDIST(A56,$B$17,$C$17,1)</f>
        <v>0.79225881999026393</v>
      </c>
    </row>
    <row r="57" spans="1:2">
      <c r="A57" s="221">
        <v>64</v>
      </c>
      <c r="B57" s="221">
        <f>NORMDIST(A57,$B$17,$C$17,1)</f>
        <v>0.85243553861175347</v>
      </c>
    </row>
    <row r="58" spans="1:2">
      <c r="A58" s="221">
        <v>66</v>
      </c>
      <c r="B58" s="221">
        <f>NORMDIST(A58,$B$17,$C$17,1)</f>
        <v>0.89965512312530027</v>
      </c>
    </row>
    <row r="59" spans="1:2">
      <c r="A59" s="221">
        <v>68</v>
      </c>
      <c r="B59" s="221">
        <f>NORMDIST(A59,$B$17,$C$17,1)</f>
        <v>0.93476377302234237</v>
      </c>
    </row>
    <row r="60" spans="1:2">
      <c r="A60" s="221">
        <v>70</v>
      </c>
      <c r="B60" s="221">
        <f>NORMDIST(A60,$B$17,$C$17,1)</f>
        <v>0.95949833571528487</v>
      </c>
    </row>
    <row r="61" spans="1:2">
      <c r="A61" s="221">
        <v>72</v>
      </c>
      <c r="B61" s="221">
        <f>NORMDIST(A61,$B$17,$C$17,1)</f>
        <v>0.97601005455363254</v>
      </c>
    </row>
    <row r="62" spans="1:2">
      <c r="A62" s="221">
        <v>74</v>
      </c>
      <c r="B62" s="221">
        <f>NORMDIST(A62,$B$17,$C$17,1)</f>
        <v>0.986454323471047</v>
      </c>
    </row>
    <row r="63" spans="1:2">
      <c r="A63" s="221">
        <v>76</v>
      </c>
      <c r="B63" s="221">
        <f>NORMDIST(A63,$B$17,$C$17,1)</f>
        <v>0.99271413503351491</v>
      </c>
    </row>
    <row r="64" spans="1:2">
      <c r="A64" s="221">
        <v>78</v>
      </c>
      <c r="B64" s="221">
        <f>NORMDIST(A64,$B$17,$C$17,1)</f>
        <v>0.99626915169807428</v>
      </c>
    </row>
    <row r="65" spans="1:2">
      <c r="A65" s="221">
        <v>80</v>
      </c>
      <c r="B65" s="221">
        <f>NORMDIST(A65,$B$17,$C$17,1)</f>
        <v>0.99818216888544287</v>
      </c>
    </row>
    <row r="66" spans="1:2">
      <c r="A66" s="221">
        <v>82</v>
      </c>
      <c r="B66" s="221">
        <f>NORMDIST(A66,$B$17,$C$17,1)</f>
        <v>0.99915759102437562</v>
      </c>
    </row>
    <row r="67" spans="1:2">
      <c r="A67" s="221">
        <v>84</v>
      </c>
      <c r="B67" s="221">
        <f>NORMDIST(A67,$B$17,$C$17,1)</f>
        <v>0.99962885308493998</v>
      </c>
    </row>
    <row r="68" spans="1:2">
      <c r="A68" s="221">
        <v>86</v>
      </c>
      <c r="B68" s="221">
        <f>NORMDIST(A68,$B$17,$C$17,1)</f>
        <v>0.99984459179621021</v>
      </c>
    </row>
    <row r="69" spans="1:2">
      <c r="A69" s="221">
        <v>88</v>
      </c>
      <c r="B69" s="221">
        <f>NORMDIST(A69,$B$17,$C$17,1)</f>
        <v>0.99993817307776145</v>
      </c>
    </row>
    <row r="70" spans="1:2">
      <c r="A70" s="221">
        <v>90</v>
      </c>
      <c r="B70" s="221">
        <f>NORMDIST(A70,$B$17,$C$17,1)</f>
        <v>0.99997663621898614</v>
      </c>
    </row>
    <row r="71" spans="1:2">
      <c r="A71" s="221">
        <v>92</v>
      </c>
      <c r="B71" s="221">
        <f>NORMDIST(A71,$B$17,$C$17,1)</f>
        <v>0.99999161563505545</v>
      </c>
    </row>
    <row r="72" spans="1:2">
      <c r="A72" s="221">
        <v>94</v>
      </c>
      <c r="B72" s="221">
        <f>NORMDIST(A72,$B$17,$C$17,1)</f>
        <v>0.99999714326407529</v>
      </c>
    </row>
    <row r="73" spans="1:2">
      <c r="A73" s="221">
        <v>96</v>
      </c>
      <c r="B73" s="221">
        <f>NORMDIST(A73,$B$17,$C$17,1)</f>
        <v>0.99999907601636684</v>
      </c>
    </row>
    <row r="74" spans="1:2">
      <c r="A74" s="221">
        <v>98</v>
      </c>
      <c r="B74" s="221">
        <f>NORMDIST(A74,$B$17,$C$17,1)</f>
        <v>0.9999997163502572</v>
      </c>
    </row>
    <row r="75" spans="1:2">
      <c r="A75" s="221">
        <v>100</v>
      </c>
      <c r="B75" s="221">
        <f>NORMDIST(A75,$B$17,$C$17,1)</f>
        <v>0.99999991736537297</v>
      </c>
    </row>
  </sheetData>
  <pageMargins left="0.78740157499999996" right="0.78740157499999996" top="0.984251969" bottom="0.984251969" header="0.4921259845" footer="0.4921259845"/>
  <pageSetup paperSize="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dimension ref="A1:J33"/>
  <sheetViews>
    <sheetView workbookViewId="0"/>
  </sheetViews>
  <sheetFormatPr defaultColWidth="9.140625" defaultRowHeight="12.75"/>
  <cols>
    <col min="9" max="9" width="11.140625" customWidth="1"/>
  </cols>
  <sheetData>
    <row r="1" spans="2:10">
      <c r="B1" s="3" t="s">
        <v>347</v>
      </c>
      <c r="C1" t="s">
        <v>516</v>
      </c>
    </row>
    <row r="2" spans="2:10" ht="26.25" customHeight="1">
      <c r="B2" s="154">
        <v>65400</v>
      </c>
      <c r="C2" s="65">
        <f>LN(B2)</f>
        <v>11.08827753744529</v>
      </c>
      <c r="F2" s="175" t="s">
        <v>27</v>
      </c>
      <c r="G2" s="175" t="s">
        <v>24</v>
      </c>
      <c r="H2" s="176" t="s">
        <v>25</v>
      </c>
      <c r="I2" s="177" t="s">
        <v>517</v>
      </c>
      <c r="J2" s="178" t="s">
        <v>518</v>
      </c>
    </row>
    <row r="3" spans="2:10">
      <c r="B3" s="154">
        <v>62000</v>
      </c>
      <c r="C3" s="65">
        <f t="shared" ref="C3:C31" si="0">LN(B3)</f>
        <v>11.034889664027229</v>
      </c>
      <c r="F3" s="22">
        <v>30000</v>
      </c>
      <c r="G3" s="16">
        <v>0</v>
      </c>
      <c r="H3" s="30">
        <f t="shared" ref="H3:H14" si="1">G3/COUNT($B$2:$B$31)</f>
        <v>0</v>
      </c>
      <c r="I3" s="30">
        <f t="shared" ref="I3:I14" si="2">LOGNORMDIST(F3,$C$32,$C$33)</f>
        <v>7.2022933129722855E-3</v>
      </c>
      <c r="J3" s="30">
        <f>I3</f>
        <v>7.2022933129722855E-3</v>
      </c>
    </row>
    <row r="4" spans="2:10">
      <c r="B4" s="154">
        <v>63200</v>
      </c>
      <c r="C4" s="65">
        <f t="shared" si="0"/>
        <v>11.054059580134949</v>
      </c>
      <c r="F4" s="22">
        <v>35000</v>
      </c>
      <c r="G4" s="16">
        <v>1</v>
      </c>
      <c r="H4" s="30">
        <f t="shared" si="1"/>
        <v>3.3333333333333333E-2</v>
      </c>
      <c r="I4" s="30">
        <f t="shared" si="2"/>
        <v>4.1081536865227752E-2</v>
      </c>
      <c r="J4" s="30">
        <f>I4-I3</f>
        <v>3.3879243552255467E-2</v>
      </c>
    </row>
    <row r="5" spans="2:10">
      <c r="B5" s="154">
        <v>52000</v>
      </c>
      <c r="C5" s="65">
        <f t="shared" si="0"/>
        <v>10.858998997563564</v>
      </c>
      <c r="F5" s="22">
        <v>40000</v>
      </c>
      <c r="G5" s="16">
        <v>3</v>
      </c>
      <c r="H5" s="30">
        <f t="shared" si="1"/>
        <v>0.1</v>
      </c>
      <c r="I5" s="30">
        <f t="shared" si="2"/>
        <v>0.13043626559720312</v>
      </c>
      <c r="J5" s="30">
        <f t="shared" ref="J5:J14" si="3">I5-I4</f>
        <v>8.9354728731975364E-2</v>
      </c>
    </row>
    <row r="6" spans="2:10">
      <c r="B6" s="154">
        <v>81400</v>
      </c>
      <c r="C6" s="65">
        <f t="shared" si="0"/>
        <v>11.307130551990632</v>
      </c>
      <c r="F6" s="22">
        <v>45000</v>
      </c>
      <c r="G6" s="16">
        <v>4</v>
      </c>
      <c r="H6" s="30">
        <f t="shared" si="1"/>
        <v>0.13333333333333333</v>
      </c>
      <c r="I6" s="30">
        <f t="shared" si="2"/>
        <v>0.28001464978262869</v>
      </c>
      <c r="J6" s="30">
        <f t="shared" si="3"/>
        <v>0.14957838418542557</v>
      </c>
    </row>
    <row r="7" spans="2:10">
      <c r="B7" s="154">
        <v>46300</v>
      </c>
      <c r="C7" s="65">
        <f t="shared" si="0"/>
        <v>10.742897240074326</v>
      </c>
      <c r="F7" s="22">
        <v>50000</v>
      </c>
      <c r="G7" s="16">
        <v>7</v>
      </c>
      <c r="H7" s="30">
        <f t="shared" si="1"/>
        <v>0.23333333333333334</v>
      </c>
      <c r="I7" s="30">
        <f t="shared" si="2"/>
        <v>0.46081528189436294</v>
      </c>
      <c r="J7" s="30">
        <f t="shared" si="3"/>
        <v>0.18080063211173425</v>
      </c>
    </row>
    <row r="8" spans="2:10">
      <c r="B8" s="154">
        <v>49600</v>
      </c>
      <c r="C8" s="65">
        <f t="shared" si="0"/>
        <v>10.811746112713019</v>
      </c>
      <c r="F8" s="22">
        <v>55000</v>
      </c>
      <c r="G8" s="16">
        <v>4</v>
      </c>
      <c r="H8" s="30">
        <f t="shared" si="1"/>
        <v>0.13333333333333333</v>
      </c>
      <c r="I8" s="30">
        <f t="shared" si="2"/>
        <v>0.63300749453448735</v>
      </c>
      <c r="J8" s="30">
        <f t="shared" si="3"/>
        <v>0.17219221264012441</v>
      </c>
    </row>
    <row r="9" spans="2:10">
      <c r="B9" s="154">
        <v>45900</v>
      </c>
      <c r="C9" s="65">
        <f t="shared" si="0"/>
        <v>10.734220396048636</v>
      </c>
      <c r="F9" s="22">
        <v>60000</v>
      </c>
      <c r="G9" s="16">
        <v>4</v>
      </c>
      <c r="H9" s="30">
        <f t="shared" si="1"/>
        <v>0.13333333333333333</v>
      </c>
      <c r="I9" s="30">
        <f t="shared" si="2"/>
        <v>0.77031457054408448</v>
      </c>
      <c r="J9" s="30">
        <f t="shared" si="3"/>
        <v>0.13730707600959713</v>
      </c>
    </row>
    <row r="10" spans="2:10">
      <c r="B10" s="154">
        <v>47700</v>
      </c>
      <c r="C10" s="65">
        <f t="shared" si="0"/>
        <v>10.772686676876432</v>
      </c>
      <c r="F10" s="22">
        <v>65000</v>
      </c>
      <c r="G10" s="16">
        <v>4</v>
      </c>
      <c r="H10" s="30">
        <f t="shared" si="1"/>
        <v>0.13333333333333333</v>
      </c>
      <c r="I10" s="30">
        <f t="shared" si="2"/>
        <v>0.86604686222109228</v>
      </c>
      <c r="J10" s="30">
        <f t="shared" si="3"/>
        <v>9.5732291677007808E-2</v>
      </c>
    </row>
    <row r="11" spans="2:10">
      <c r="B11" s="154">
        <v>59900</v>
      </c>
      <c r="C11" s="65">
        <f t="shared" si="0"/>
        <v>11.00043178410354</v>
      </c>
      <c r="F11" s="22">
        <v>70000</v>
      </c>
      <c r="G11" s="16">
        <v>1</v>
      </c>
      <c r="H11" s="30">
        <f t="shared" si="1"/>
        <v>3.3333333333333333E-2</v>
      </c>
      <c r="I11" s="30">
        <f t="shared" si="2"/>
        <v>0.92627878454072099</v>
      </c>
      <c r="J11" s="30">
        <f t="shared" si="3"/>
        <v>6.0231922319628706E-2</v>
      </c>
    </row>
    <row r="12" spans="2:10">
      <c r="B12" s="154">
        <v>48100</v>
      </c>
      <c r="C12" s="65">
        <f t="shared" si="0"/>
        <v>10.781037456093852</v>
      </c>
      <c r="F12" s="22">
        <v>75000</v>
      </c>
      <c r="G12" s="16">
        <v>0</v>
      </c>
      <c r="H12" s="30">
        <f t="shared" si="1"/>
        <v>0</v>
      </c>
      <c r="I12" s="30">
        <f t="shared" si="2"/>
        <v>0.96128818774543656</v>
      </c>
      <c r="J12" s="30">
        <f t="shared" si="3"/>
        <v>3.5009403204715572E-2</v>
      </c>
    </row>
    <row r="13" spans="2:10">
      <c r="B13" s="154">
        <v>58100</v>
      </c>
      <c r="C13" s="65">
        <f t="shared" si="0"/>
        <v>10.969920942840002</v>
      </c>
      <c r="F13" s="22">
        <v>80000</v>
      </c>
      <c r="G13" s="16">
        <v>1</v>
      </c>
      <c r="H13" s="30">
        <f t="shared" si="1"/>
        <v>3.3333333333333333E-2</v>
      </c>
      <c r="I13" s="30">
        <f t="shared" si="2"/>
        <v>0.98042298452019705</v>
      </c>
      <c r="J13" s="30">
        <f t="shared" si="3"/>
        <v>1.9134796774760487E-2</v>
      </c>
    </row>
    <row r="14" spans="2:10">
      <c r="B14" s="154">
        <v>56000</v>
      </c>
      <c r="C14" s="65">
        <f t="shared" si="0"/>
        <v>10.933106969717286</v>
      </c>
      <c r="F14" s="180">
        <v>85000</v>
      </c>
      <c r="G14" s="181">
        <v>1</v>
      </c>
      <c r="H14" s="182">
        <f t="shared" si="1"/>
        <v>3.3333333333333333E-2</v>
      </c>
      <c r="I14" s="182">
        <f t="shared" si="2"/>
        <v>0.99039162440380268</v>
      </c>
      <c r="J14" s="182">
        <f t="shared" si="3"/>
        <v>9.9686398836056345E-3</v>
      </c>
    </row>
    <row r="15" spans="2:10">
      <c r="B15" s="154">
        <v>53400</v>
      </c>
      <c r="C15" s="65">
        <f t="shared" si="0"/>
        <v>10.885566024948286</v>
      </c>
    </row>
    <row r="16" spans="2:10">
      <c r="B16" s="154">
        <v>39000</v>
      </c>
      <c r="C16" s="65">
        <f t="shared" si="0"/>
        <v>10.571316925111784</v>
      </c>
    </row>
    <row r="17" spans="1:3">
      <c r="B17" s="154">
        <v>61500</v>
      </c>
      <c r="C17" s="65">
        <f t="shared" si="0"/>
        <v>11.026792453794609</v>
      </c>
    </row>
    <row r="18" spans="1:3">
      <c r="B18" s="154">
        <v>37700</v>
      </c>
      <c r="C18" s="65">
        <f t="shared" si="0"/>
        <v>10.537415373436103</v>
      </c>
    </row>
    <row r="19" spans="1:3">
      <c r="B19" s="154">
        <v>36700</v>
      </c>
      <c r="C19" s="65">
        <f t="shared" si="0"/>
        <v>10.510532034042662</v>
      </c>
    </row>
    <row r="20" spans="1:3">
      <c r="B20" s="154">
        <v>45200</v>
      </c>
      <c r="C20" s="65">
        <f t="shared" si="0"/>
        <v>10.718852365820323</v>
      </c>
    </row>
    <row r="21" spans="1:3">
      <c r="B21" s="154">
        <v>59000</v>
      </c>
      <c r="C21" s="65">
        <f t="shared" si="0"/>
        <v>10.985292722887856</v>
      </c>
    </row>
    <row r="22" spans="1:3">
      <c r="B22" s="154">
        <v>54300</v>
      </c>
      <c r="C22" s="65">
        <f t="shared" si="0"/>
        <v>10.902279505922026</v>
      </c>
    </row>
    <row r="23" spans="1:3">
      <c r="B23" s="154">
        <v>62100</v>
      </c>
      <c r="C23" s="65">
        <f t="shared" si="0"/>
        <v>11.036501267921571</v>
      </c>
    </row>
    <row r="24" spans="1:3">
      <c r="B24" s="154">
        <v>78000</v>
      </c>
      <c r="C24" s="65">
        <f t="shared" si="0"/>
        <v>11.264464105671729</v>
      </c>
    </row>
    <row r="25" spans="1:3">
      <c r="B25" s="154">
        <v>43200</v>
      </c>
      <c r="C25" s="65">
        <f t="shared" si="0"/>
        <v>10.673595774232203</v>
      </c>
    </row>
    <row r="26" spans="1:3">
      <c r="B26" s="154">
        <v>44500</v>
      </c>
      <c r="C26" s="65">
        <f t="shared" si="0"/>
        <v>10.703244468154331</v>
      </c>
    </row>
    <row r="27" spans="1:3">
      <c r="B27" s="154">
        <v>43300</v>
      </c>
      <c r="C27" s="65">
        <f t="shared" si="0"/>
        <v>10.675907913990581</v>
      </c>
    </row>
    <row r="28" spans="1:3">
      <c r="B28" s="154">
        <v>45400</v>
      </c>
      <c r="C28" s="65">
        <f t="shared" si="0"/>
        <v>10.723267384029439</v>
      </c>
    </row>
    <row r="29" spans="1:3">
      <c r="B29" s="154">
        <v>53900</v>
      </c>
      <c r="C29" s="65">
        <f t="shared" si="0"/>
        <v>10.894885756897089</v>
      </c>
    </row>
    <row r="30" spans="1:3">
      <c r="B30" s="154">
        <v>44100</v>
      </c>
      <c r="C30" s="65">
        <f t="shared" si="0"/>
        <v>10.694215061434937</v>
      </c>
    </row>
    <row r="31" spans="1:3">
      <c r="B31" s="154">
        <v>31000</v>
      </c>
      <c r="C31" s="65">
        <f t="shared" si="0"/>
        <v>10.341742483467284</v>
      </c>
    </row>
    <row r="32" spans="1:3">
      <c r="A32" t="s">
        <v>28</v>
      </c>
      <c r="B32" s="179">
        <f>AVERAGE(B2:B31)</f>
        <v>52263.333333333336</v>
      </c>
      <c r="C32" s="65">
        <f>AVERAGE(C2:C31)</f>
        <v>10.841175851046382</v>
      </c>
    </row>
    <row r="33" spans="1:3">
      <c r="A33" t="s">
        <v>108</v>
      </c>
      <c r="B33" s="179">
        <f>STDEV(B2:B31)</f>
        <v>11492.650825136294</v>
      </c>
      <c r="C33" s="65">
        <f>STDEV(C2:C31)</f>
        <v>0.21749917621571035</v>
      </c>
    </row>
  </sheetData>
  <phoneticPr fontId="11" type="noConversion"/>
  <pageMargins left="0.78740157499999996" right="0.78740157499999996" top="0.984251969" bottom="0.984251969" header="0.5" footer="0.5"/>
  <pageSetup paperSize="9" orientation="portrait" verticalDpi="0" r:id="rId1"/>
  <headerFooter alignWithMargins="0"/>
  <drawing r:id="rId2"/>
</worksheet>
</file>

<file path=xl/worksheets/sheet18.xml><?xml version="1.0" encoding="utf-8"?>
<worksheet xmlns="http://schemas.openxmlformats.org/spreadsheetml/2006/main" xmlns:r="http://schemas.openxmlformats.org/officeDocument/2006/relationships">
  <dimension ref="A1:E46"/>
  <sheetViews>
    <sheetView workbookViewId="0"/>
  </sheetViews>
  <sheetFormatPr defaultColWidth="11.42578125" defaultRowHeight="12.75"/>
  <sheetData>
    <row r="1" spans="1:5">
      <c r="A1" s="1" t="s">
        <v>182</v>
      </c>
    </row>
    <row r="2" spans="1:5">
      <c r="A2" s="1"/>
    </row>
    <row r="3" spans="1:5">
      <c r="A3" t="s">
        <v>422</v>
      </c>
      <c r="B3" s="112">
        <v>500</v>
      </c>
      <c r="C3" s="3"/>
      <c r="D3" s="3"/>
    </row>
    <row r="4" spans="1:5">
      <c r="B4" s="3"/>
      <c r="C4" s="3"/>
      <c r="D4" s="3"/>
    </row>
    <row r="5" spans="1:5">
      <c r="B5" s="3" t="s">
        <v>155</v>
      </c>
      <c r="C5" s="3" t="s">
        <v>156</v>
      </c>
      <c r="D5" s="3"/>
    </row>
    <row r="6" spans="1:5">
      <c r="A6" t="s">
        <v>28</v>
      </c>
      <c r="B6" s="165">
        <f>0.56/100</f>
        <v>5.6000000000000008E-3</v>
      </c>
      <c r="C6" s="166">
        <f>B6/21</f>
        <v>2.6666666666666668E-4</v>
      </c>
      <c r="D6" s="47">
        <f>LN(B3*EXP(C6+0.5*C7^2))</f>
        <v>6.2149548603269533</v>
      </c>
    </row>
    <row r="7" spans="1:5">
      <c r="A7" t="s">
        <v>108</v>
      </c>
      <c r="B7" s="47">
        <f>5.8/100</f>
        <v>5.7999999999999996E-2</v>
      </c>
      <c r="C7" s="165">
        <f>B7/SQRT(21)</f>
        <v>1.2656637633687557E-2</v>
      </c>
      <c r="D7" s="3"/>
    </row>
    <row r="8" spans="1:5">
      <c r="B8" s="3"/>
      <c r="C8" s="3"/>
      <c r="D8" s="3"/>
    </row>
    <row r="9" spans="1:5" ht="14.25">
      <c r="B9" s="33" t="s">
        <v>30</v>
      </c>
      <c r="C9" s="113" t="s">
        <v>198</v>
      </c>
      <c r="D9" s="3" t="s">
        <v>157</v>
      </c>
    </row>
    <row r="10" spans="1:5">
      <c r="B10" s="3">
        <v>0.05</v>
      </c>
      <c r="C10" s="47">
        <f>NORMSINV(B10)</f>
        <v>-1.6448536269514742</v>
      </c>
      <c r="D10" s="112">
        <f>-$B$3*(EXP($C$6+0.5*$C$7^2+C10*$C$7)-1)</f>
        <v>10.131717369595671</v>
      </c>
    </row>
    <row r="11" spans="1:5">
      <c r="B11" s="3">
        <v>0.01</v>
      </c>
      <c r="C11" s="47">
        <f>NORMSINV(B11)</f>
        <v>-2.3263478740408488</v>
      </c>
      <c r="D11" s="112">
        <f>-$B$3*(EXP($C$6+0.5*$C$7^2+C11*$C$7)-1)</f>
        <v>14.338869538391474</v>
      </c>
    </row>
    <row r="12" spans="1:5">
      <c r="B12" s="38"/>
    </row>
    <row r="13" spans="1:5">
      <c r="B13" s="112" t="s">
        <v>282</v>
      </c>
      <c r="C13" s="3" t="s">
        <v>154</v>
      </c>
      <c r="D13" s="3" t="s">
        <v>283</v>
      </c>
      <c r="E13" s="13" t="s">
        <v>284</v>
      </c>
    </row>
    <row r="14" spans="1:5">
      <c r="A14">
        <v>-3</v>
      </c>
      <c r="B14" s="47">
        <f t="shared" ref="B14:B26" si="0">$C$6+A14*$C$7</f>
        <v>-3.7703246234396005E-2</v>
      </c>
      <c r="C14" s="21">
        <f>$B$3*EXP(B14)</f>
        <v>481.49933598769775</v>
      </c>
      <c r="D14" s="8">
        <f>C14-$B$3</f>
        <v>-18.500664012302252</v>
      </c>
      <c r="E14">
        <f t="shared" ref="E14:E26" si="1">LOGNORMDIST(C14,$D$6,$C$7)</f>
        <v>1.3221166171406562E-3</v>
      </c>
    </row>
    <row r="15" spans="1:5">
      <c r="A15">
        <v>-2.5</v>
      </c>
      <c r="B15" s="47">
        <f t="shared" si="0"/>
        <v>-3.1374927417552226E-2</v>
      </c>
      <c r="C15" s="21">
        <f t="shared" ref="C15:C26" si="2">$B$3*EXP(B15)</f>
        <v>484.55607911719187</v>
      </c>
      <c r="D15" s="8">
        <f t="shared" ref="D15:D26" si="3">C15-$B$3</f>
        <v>-15.443920882808129</v>
      </c>
      <c r="E15">
        <f t="shared" si="1"/>
        <v>6.0996142328362257E-3</v>
      </c>
    </row>
    <row r="16" spans="1:5">
      <c r="A16">
        <v>-2</v>
      </c>
      <c r="B16" s="47">
        <f t="shared" si="0"/>
        <v>-2.504660860070845E-2</v>
      </c>
      <c r="C16" s="21">
        <f t="shared" si="2"/>
        <v>487.63222762871123</v>
      </c>
      <c r="D16" s="8">
        <f t="shared" si="3"/>
        <v>-12.367772371288765</v>
      </c>
      <c r="E16">
        <f t="shared" si="1"/>
        <v>2.2410615274176982E-2</v>
      </c>
    </row>
    <row r="17" spans="1:5">
      <c r="A17">
        <v>-1.5</v>
      </c>
      <c r="B17" s="47">
        <f t="shared" si="0"/>
        <v>-1.871828978386467E-2</v>
      </c>
      <c r="C17" s="21">
        <f t="shared" si="2"/>
        <v>490.72790471509057</v>
      </c>
      <c r="D17" s="8">
        <f t="shared" si="3"/>
        <v>-9.272095284909426</v>
      </c>
      <c r="E17">
        <f t="shared" si="1"/>
        <v>6.5991455936548538E-2</v>
      </c>
    </row>
    <row r="18" spans="1:5">
      <c r="A18">
        <v>-1</v>
      </c>
      <c r="B18" s="47">
        <f t="shared" si="0"/>
        <v>-1.2389970967020891E-2</v>
      </c>
      <c r="C18" s="21">
        <f t="shared" si="2"/>
        <v>493.84323435124037</v>
      </c>
      <c r="D18" s="8">
        <f t="shared" si="3"/>
        <v>-6.1567656487596309</v>
      </c>
      <c r="E18">
        <f t="shared" si="1"/>
        <v>0.15712883118576748</v>
      </c>
    </row>
    <row r="19" spans="1:5">
      <c r="A19">
        <v>-0.5</v>
      </c>
      <c r="B19" s="47">
        <f t="shared" si="0"/>
        <v>-6.0616521501771119E-3</v>
      </c>
      <c r="C19" s="21">
        <f t="shared" si="2"/>
        <v>496.97834129911138</v>
      </c>
      <c r="D19" s="8">
        <f t="shared" si="3"/>
        <v>-3.0216587008886222</v>
      </c>
      <c r="E19">
        <f t="shared" si="1"/>
        <v>0.30631309305915688</v>
      </c>
    </row>
    <row r="20" spans="1:5">
      <c r="A20">
        <v>0</v>
      </c>
      <c r="B20" s="47">
        <f t="shared" si="0"/>
        <v>2.6666666666666668E-4</v>
      </c>
      <c r="C20" s="21">
        <f t="shared" si="2"/>
        <v>500.1333511126914</v>
      </c>
      <c r="D20" s="8">
        <f t="shared" si="3"/>
        <v>0.13335111269140043</v>
      </c>
      <c r="E20">
        <f t="shared" si="1"/>
        <v>0.49747538291092863</v>
      </c>
    </row>
    <row r="21" spans="1:5">
      <c r="A21">
        <v>0.5</v>
      </c>
      <c r="B21" s="47">
        <f t="shared" si="0"/>
        <v>6.5949854835104455E-3</v>
      </c>
      <c r="C21" s="21">
        <f t="shared" si="2"/>
        <v>503.30839014303331</v>
      </c>
      <c r="D21" s="8">
        <f t="shared" si="3"/>
        <v>3.3083901430333071</v>
      </c>
      <c r="E21">
        <f t="shared" si="1"/>
        <v>0.68923096598284683</v>
      </c>
    </row>
    <row r="22" spans="1:5">
      <c r="A22">
        <v>1</v>
      </c>
      <c r="B22" s="47">
        <f t="shared" si="0"/>
        <v>1.2923304300354224E-2</v>
      </c>
      <c r="C22" s="21">
        <f t="shared" si="2"/>
        <v>506.50358554331478</v>
      </c>
      <c r="D22" s="8">
        <f t="shared" si="3"/>
        <v>6.5035855433147844</v>
      </c>
      <c r="E22">
        <f t="shared" si="1"/>
        <v>0.83980863303613051</v>
      </c>
    </row>
    <row r="23" spans="1:5">
      <c r="A23">
        <v>1.5</v>
      </c>
      <c r="B23" s="47">
        <f t="shared" si="0"/>
        <v>1.9251623117198E-2</v>
      </c>
      <c r="C23" s="21">
        <f t="shared" si="2"/>
        <v>509.71906527393116</v>
      </c>
      <c r="D23" s="8">
        <f t="shared" si="3"/>
        <v>9.7190652739311645</v>
      </c>
      <c r="E23">
        <f t="shared" si="1"/>
        <v>0.93236927311130957</v>
      </c>
    </row>
    <row r="24" spans="1:5">
      <c r="A24">
        <v>2</v>
      </c>
      <c r="B24" s="47">
        <f t="shared" si="0"/>
        <v>2.557994193404178E-2</v>
      </c>
      <c r="C24" s="21">
        <f t="shared" si="2"/>
        <v>512.95495810761952</v>
      </c>
      <c r="D24" s="8">
        <f t="shared" si="3"/>
        <v>12.954958107619518</v>
      </c>
      <c r="E24">
        <f t="shared" si="1"/>
        <v>0.97690602694407014</v>
      </c>
    </row>
    <row r="25" spans="1:5">
      <c r="A25">
        <v>2.5</v>
      </c>
      <c r="B25" s="47">
        <f t="shared" si="0"/>
        <v>3.1908260750885556E-2</v>
      </c>
      <c r="C25" s="21">
        <f t="shared" si="2"/>
        <v>516.21139363461566</v>
      </c>
      <c r="D25" s="8">
        <f t="shared" si="3"/>
        <v>16.211393634615661</v>
      </c>
      <c r="E25">
        <f t="shared" si="1"/>
        <v>0.99367852864549877</v>
      </c>
    </row>
    <row r="26" spans="1:5">
      <c r="A26">
        <v>3</v>
      </c>
      <c r="B26" s="47">
        <f t="shared" si="0"/>
        <v>3.8236579567729335E-2</v>
      </c>
      <c r="C26" s="21">
        <f t="shared" si="2"/>
        <v>519.48850226784452</v>
      </c>
      <c r="D26" s="8">
        <f t="shared" si="3"/>
        <v>19.488502267844524</v>
      </c>
      <c r="E26">
        <f t="shared" si="1"/>
        <v>0.99862178808828816</v>
      </c>
    </row>
    <row r="27" spans="1:5">
      <c r="B27" s="38"/>
    </row>
    <row r="28" spans="1:5">
      <c r="B28" s="38"/>
    </row>
    <row r="29" spans="1:5">
      <c r="B29" s="38"/>
    </row>
    <row r="30" spans="1:5">
      <c r="B30" s="38"/>
    </row>
    <row r="31" spans="1:5">
      <c r="B31" s="38"/>
    </row>
    <row r="32" spans="1:5">
      <c r="B32" s="38"/>
    </row>
    <row r="33" spans="2:2">
      <c r="B33" s="38"/>
    </row>
    <row r="34" spans="2:2">
      <c r="B34" s="38"/>
    </row>
    <row r="35" spans="2:2">
      <c r="B35" s="38"/>
    </row>
    <row r="36" spans="2:2">
      <c r="B36" s="38"/>
    </row>
    <row r="37" spans="2:2">
      <c r="B37" s="38"/>
    </row>
    <row r="38" spans="2:2">
      <c r="B38" s="38"/>
    </row>
    <row r="39" spans="2:2">
      <c r="B39" s="38"/>
    </row>
    <row r="40" spans="2:2">
      <c r="B40" s="38"/>
    </row>
    <row r="41" spans="2:2">
      <c r="B41" s="38"/>
    </row>
    <row r="42" spans="2:2">
      <c r="B42" s="38"/>
    </row>
    <row r="43" spans="2:2">
      <c r="B43" s="38"/>
    </row>
    <row r="44" spans="2:2">
      <c r="B44" s="38"/>
    </row>
    <row r="45" spans="2:2">
      <c r="B45" s="38"/>
    </row>
    <row r="46" spans="2:2">
      <c r="B46" s="38"/>
    </row>
  </sheetData>
  <phoneticPr fontId="11" type="noConversion"/>
  <pageMargins left="0.78740157499999996" right="0.78740157499999996" top="0.984251969" bottom="0.984251969" header="0.4921259845" footer="0.4921259845"/>
  <pageSetup paperSize="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dimension ref="A1:E46"/>
  <sheetViews>
    <sheetView workbookViewId="0"/>
  </sheetViews>
  <sheetFormatPr defaultColWidth="11.42578125" defaultRowHeight="12.75"/>
  <sheetData>
    <row r="1" spans="1:5">
      <c r="A1" s="1" t="s">
        <v>182</v>
      </c>
    </row>
    <row r="2" spans="1:5">
      <c r="A2" s="1"/>
    </row>
    <row r="3" spans="1:5">
      <c r="A3" t="s">
        <v>422</v>
      </c>
      <c r="B3" s="112">
        <v>500</v>
      </c>
      <c r="C3" s="3"/>
      <c r="D3" s="3"/>
    </row>
    <row r="4" spans="1:5">
      <c r="B4" s="3"/>
      <c r="C4" s="3"/>
      <c r="D4" s="3"/>
    </row>
    <row r="5" spans="1:5">
      <c r="B5" s="3" t="s">
        <v>155</v>
      </c>
      <c r="C5" s="3" t="s">
        <v>156</v>
      </c>
      <c r="D5" s="3"/>
    </row>
    <row r="6" spans="1:5">
      <c r="A6" t="s">
        <v>28</v>
      </c>
      <c r="B6" s="165">
        <f>0.56/100</f>
        <v>5.6000000000000008E-3</v>
      </c>
      <c r="C6" s="166">
        <f>B6/21</f>
        <v>2.6666666666666668E-4</v>
      </c>
      <c r="D6" s="47">
        <f>B3*C6</f>
        <v>0.13333333333333333</v>
      </c>
    </row>
    <row r="7" spans="1:5">
      <c r="A7" t="s">
        <v>108</v>
      </c>
      <c r="B7" s="47">
        <f>5.8/100</f>
        <v>5.7999999999999996E-2</v>
      </c>
      <c r="C7" s="165">
        <f>B7/SQRT(21)</f>
        <v>1.2656637633687557E-2</v>
      </c>
      <c r="D7" s="47">
        <f>B3*C7</f>
        <v>6.3283188168437787</v>
      </c>
    </row>
    <row r="8" spans="1:5">
      <c r="B8" s="3"/>
      <c r="C8" s="3"/>
      <c r="D8" s="3"/>
    </row>
    <row r="9" spans="1:5" ht="14.25">
      <c r="B9" s="33" t="s">
        <v>30</v>
      </c>
      <c r="C9" s="113" t="s">
        <v>198</v>
      </c>
      <c r="D9" s="3" t="s">
        <v>157</v>
      </c>
    </row>
    <row r="10" spans="1:5">
      <c r="B10" s="3">
        <v>0.05</v>
      </c>
      <c r="C10" s="47">
        <f>NORMSINV(B10)</f>
        <v>-1.6448536269514742</v>
      </c>
      <c r="D10" s="8">
        <f>-$B$3*C10*$C$7</f>
        <v>10.409158158390751</v>
      </c>
    </row>
    <row r="11" spans="1:5">
      <c r="B11" s="3">
        <v>0.01</v>
      </c>
      <c r="C11" s="47">
        <f>NORMSINV(B11)</f>
        <v>-2.3263478740408488</v>
      </c>
      <c r="D11" s="8">
        <f>-$B$3*C11*$C$7</f>
        <v>14.721871025817222</v>
      </c>
    </row>
    <row r="12" spans="1:5">
      <c r="B12" s="38"/>
    </row>
    <row r="13" spans="1:5">
      <c r="B13" s="112" t="s">
        <v>282</v>
      </c>
      <c r="C13" s="3" t="s">
        <v>154</v>
      </c>
      <c r="D13" s="3" t="s">
        <v>283</v>
      </c>
      <c r="E13" s="13" t="s">
        <v>284</v>
      </c>
    </row>
    <row r="14" spans="1:5">
      <c r="A14">
        <v>-3</v>
      </c>
      <c r="B14" s="47">
        <f t="shared" ref="B14:B26" si="0">$C$6+A14*$C$7</f>
        <v>-3.7703246234396005E-2</v>
      </c>
      <c r="C14" s="21">
        <f>$B$3*(1+B14)</f>
        <v>481.14837688280198</v>
      </c>
      <c r="D14" s="8">
        <f t="shared" ref="D14:D26" si="1">C14-$B$3</f>
        <v>-18.851623117198017</v>
      </c>
      <c r="E14" s="14">
        <f>NORMDIST(D14,$D$6,$D$7,1)</f>
        <v>1.3498980316299924E-3</v>
      </c>
    </row>
    <row r="15" spans="1:5">
      <c r="A15">
        <v>-2.5</v>
      </c>
      <c r="B15" s="47">
        <f t="shared" si="0"/>
        <v>-3.1374927417552226E-2</v>
      </c>
      <c r="C15" s="21">
        <f t="shared" ref="C15:C26" si="2">$B$3*(1+B15)</f>
        <v>484.31253629122392</v>
      </c>
      <c r="D15" s="8">
        <f t="shared" si="1"/>
        <v>-15.687463708776079</v>
      </c>
      <c r="E15" s="14">
        <f t="shared" ref="E15:E26" si="3">NORMDIST(D15,$D$6,$D$7,1)</f>
        <v>6.2096653257759371E-3</v>
      </c>
    </row>
    <row r="16" spans="1:5">
      <c r="A16">
        <v>-2</v>
      </c>
      <c r="B16" s="47">
        <f t="shared" si="0"/>
        <v>-2.504660860070845E-2</v>
      </c>
      <c r="C16" s="21">
        <f t="shared" si="2"/>
        <v>487.4766956996458</v>
      </c>
      <c r="D16" s="8">
        <f t="shared" si="1"/>
        <v>-12.523304300354198</v>
      </c>
      <c r="E16" s="14">
        <f t="shared" si="3"/>
        <v>2.2750131948179431E-2</v>
      </c>
    </row>
    <row r="17" spans="1:5">
      <c r="A17">
        <v>-1.5</v>
      </c>
      <c r="B17" s="47">
        <f t="shared" si="0"/>
        <v>-1.871828978386467E-2</v>
      </c>
      <c r="C17" s="21">
        <f t="shared" si="2"/>
        <v>490.64085510806763</v>
      </c>
      <c r="D17" s="8">
        <f t="shared" si="1"/>
        <v>-9.3591448919323739</v>
      </c>
      <c r="E17" s="14">
        <f t="shared" si="3"/>
        <v>6.6807201268857308E-2</v>
      </c>
    </row>
    <row r="18" spans="1:5">
      <c r="A18">
        <v>-1</v>
      </c>
      <c r="B18" s="47">
        <f t="shared" si="0"/>
        <v>-1.2389970967020891E-2</v>
      </c>
      <c r="C18" s="21">
        <f t="shared" si="2"/>
        <v>493.80501451648956</v>
      </c>
      <c r="D18" s="8">
        <f t="shared" si="1"/>
        <v>-6.1949854835104361</v>
      </c>
      <c r="E18" s="14">
        <f t="shared" si="3"/>
        <v>0.15865525393145741</v>
      </c>
    </row>
    <row r="19" spans="1:5">
      <c r="A19">
        <v>-0.5</v>
      </c>
      <c r="B19" s="47">
        <f t="shared" si="0"/>
        <v>-6.0616521501771119E-3</v>
      </c>
      <c r="C19" s="21">
        <f t="shared" si="2"/>
        <v>496.96917392491144</v>
      </c>
      <c r="D19" s="8">
        <f t="shared" si="1"/>
        <v>-3.0308260750885552</v>
      </c>
      <c r="E19" s="14">
        <f t="shared" si="3"/>
        <v>0.30853753872598699</v>
      </c>
    </row>
    <row r="20" spans="1:5">
      <c r="A20">
        <v>0</v>
      </c>
      <c r="B20" s="47">
        <f t="shared" si="0"/>
        <v>2.6666666666666668E-4</v>
      </c>
      <c r="C20" s="21">
        <f t="shared" si="2"/>
        <v>500.13333333333333</v>
      </c>
      <c r="D20" s="8">
        <f t="shared" si="1"/>
        <v>0.13333333333332575</v>
      </c>
      <c r="E20" s="14">
        <f t="shared" si="3"/>
        <v>0.49999999999999956</v>
      </c>
    </row>
    <row r="21" spans="1:5">
      <c r="A21">
        <v>0.5</v>
      </c>
      <c r="B21" s="47">
        <f t="shared" si="0"/>
        <v>6.5949854835104455E-3</v>
      </c>
      <c r="C21" s="21">
        <f t="shared" si="2"/>
        <v>503.29749274175515</v>
      </c>
      <c r="D21" s="8">
        <f t="shared" si="1"/>
        <v>3.2974927417551498</v>
      </c>
      <c r="E21" s="14">
        <f t="shared" si="3"/>
        <v>0.69146246127400901</v>
      </c>
    </row>
    <row r="22" spans="1:5">
      <c r="A22">
        <v>1</v>
      </c>
      <c r="B22" s="47">
        <f t="shared" si="0"/>
        <v>1.2923304300354224E-2</v>
      </c>
      <c r="C22" s="21">
        <f t="shared" si="2"/>
        <v>506.46165215017714</v>
      </c>
      <c r="D22" s="8">
        <f t="shared" si="1"/>
        <v>6.4616521501771444</v>
      </c>
      <c r="E22" s="14">
        <f t="shared" si="3"/>
        <v>0.84134474606854415</v>
      </c>
    </row>
    <row r="23" spans="1:5">
      <c r="A23">
        <v>1.5</v>
      </c>
      <c r="B23" s="47">
        <f t="shared" si="0"/>
        <v>1.9251623117198E-2</v>
      </c>
      <c r="C23" s="21">
        <f t="shared" si="2"/>
        <v>509.62581155859897</v>
      </c>
      <c r="D23" s="8">
        <f t="shared" si="1"/>
        <v>9.6258115585989685</v>
      </c>
      <c r="E23" s="14">
        <f t="shared" si="3"/>
        <v>0.93319279873114125</v>
      </c>
    </row>
    <row r="24" spans="1:5">
      <c r="A24">
        <v>2</v>
      </c>
      <c r="B24" s="47">
        <f t="shared" si="0"/>
        <v>2.557994193404178E-2</v>
      </c>
      <c r="C24" s="21">
        <f t="shared" si="2"/>
        <v>512.78997096702085</v>
      </c>
      <c r="D24" s="8">
        <f t="shared" si="1"/>
        <v>12.789970967020849</v>
      </c>
      <c r="E24" s="14">
        <f t="shared" si="3"/>
        <v>0.97724986805182046</v>
      </c>
    </row>
    <row r="25" spans="1:5">
      <c r="A25">
        <v>2.5</v>
      </c>
      <c r="B25" s="47">
        <f t="shared" si="0"/>
        <v>3.1908260750885556E-2</v>
      </c>
      <c r="C25" s="21">
        <f t="shared" si="2"/>
        <v>515.95413037544279</v>
      </c>
      <c r="D25" s="8">
        <f t="shared" si="1"/>
        <v>15.954130375442787</v>
      </c>
      <c r="E25" s="14">
        <f t="shared" si="3"/>
        <v>0.99379033467422384</v>
      </c>
    </row>
    <row r="26" spans="1:5">
      <c r="A26">
        <v>3</v>
      </c>
      <c r="B26" s="47">
        <f t="shared" si="0"/>
        <v>3.8236579567729335E-2</v>
      </c>
      <c r="C26" s="21">
        <f t="shared" si="2"/>
        <v>519.11828978386461</v>
      </c>
      <c r="D26" s="8">
        <f t="shared" si="1"/>
        <v>19.118289783864611</v>
      </c>
      <c r="E26" s="14">
        <f t="shared" si="3"/>
        <v>0.99865010196837023</v>
      </c>
    </row>
    <row r="27" spans="1:5">
      <c r="B27" s="38"/>
    </row>
    <row r="28" spans="1:5">
      <c r="B28" s="38"/>
    </row>
    <row r="29" spans="1:5">
      <c r="B29" s="38"/>
    </row>
    <row r="30" spans="1:5">
      <c r="B30" s="38"/>
    </row>
    <row r="31" spans="1:5">
      <c r="B31" s="38"/>
    </row>
    <row r="32" spans="1:5">
      <c r="B32" s="38"/>
    </row>
    <row r="33" spans="2:2">
      <c r="B33" s="38"/>
    </row>
    <row r="34" spans="2:2">
      <c r="B34" s="38"/>
    </row>
    <row r="35" spans="2:2">
      <c r="B35" s="38"/>
    </row>
    <row r="36" spans="2:2">
      <c r="B36" s="38"/>
    </row>
    <row r="37" spans="2:2">
      <c r="B37" s="38"/>
    </row>
    <row r="38" spans="2:2">
      <c r="B38" s="38"/>
    </row>
    <row r="39" spans="2:2">
      <c r="B39" s="38"/>
    </row>
    <row r="40" spans="2:2">
      <c r="B40" s="38"/>
    </row>
    <row r="41" spans="2:2">
      <c r="B41" s="38"/>
    </row>
    <row r="42" spans="2:2">
      <c r="B42" s="38"/>
    </row>
    <row r="43" spans="2:2">
      <c r="B43" s="38"/>
    </row>
    <row r="44" spans="2:2">
      <c r="B44" s="38"/>
    </row>
    <row r="45" spans="2:2">
      <c r="B45" s="38"/>
    </row>
    <row r="46" spans="2:2">
      <c r="B46" s="38"/>
    </row>
  </sheetData>
  <phoneticPr fontId="11" type="noConversion"/>
  <pageMargins left="0.78740157499999996" right="0.78740157499999996" top="0.984251969" bottom="0.984251969" header="0.4921259845" footer="0.4921259845"/>
  <pageSetup paperSize="9"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dimension ref="A1:M70"/>
  <sheetViews>
    <sheetView workbookViewId="0"/>
  </sheetViews>
  <sheetFormatPr defaultColWidth="11.42578125" defaultRowHeight="12.75"/>
  <cols>
    <col min="1" max="1" width="23.5703125" customWidth="1"/>
  </cols>
  <sheetData>
    <row r="1" spans="1:13">
      <c r="A1" s="90" t="s">
        <v>185</v>
      </c>
      <c r="B1" s="5"/>
      <c r="C1" s="5"/>
      <c r="D1" s="5"/>
      <c r="E1" s="5"/>
      <c r="F1" s="5"/>
      <c r="G1" s="5"/>
      <c r="H1" s="5"/>
      <c r="I1" s="5"/>
    </row>
    <row r="2" spans="1:13">
      <c r="A2" s="5"/>
      <c r="B2" s="5"/>
      <c r="C2" s="5"/>
      <c r="D2" s="5"/>
      <c r="E2" s="5"/>
      <c r="F2" s="5"/>
      <c r="G2" s="5"/>
    </row>
    <row r="3" spans="1:13">
      <c r="A3" s="5" t="s">
        <v>186</v>
      </c>
      <c r="B3">
        <v>200</v>
      </c>
      <c r="I3" s="5"/>
      <c r="J3" s="5"/>
      <c r="K3" s="5"/>
      <c r="L3" s="5"/>
      <c r="M3" s="5"/>
    </row>
    <row r="4" spans="1:13">
      <c r="A4" s="5" t="s">
        <v>187</v>
      </c>
      <c r="B4">
        <v>0.1</v>
      </c>
      <c r="I4" s="5"/>
      <c r="J4" s="5"/>
      <c r="K4" s="5"/>
      <c r="L4" s="5"/>
      <c r="M4" s="5"/>
    </row>
    <row r="5" spans="1:13">
      <c r="A5" s="5"/>
      <c r="I5" s="5"/>
      <c r="J5" s="5"/>
      <c r="K5" s="5"/>
      <c r="L5" s="5"/>
      <c r="M5" s="5"/>
    </row>
    <row r="6" spans="1:13">
      <c r="A6" s="5" t="s">
        <v>188</v>
      </c>
      <c r="B6">
        <v>215</v>
      </c>
      <c r="I6" s="5"/>
      <c r="J6" s="5"/>
      <c r="K6" s="5"/>
      <c r="L6" s="5"/>
      <c r="M6" s="5"/>
    </row>
    <row r="7" spans="1:13">
      <c r="I7" s="5"/>
      <c r="J7" s="5"/>
      <c r="K7" s="5"/>
      <c r="L7" s="5"/>
      <c r="M7" s="5"/>
    </row>
    <row r="8" spans="1:13">
      <c r="A8" s="90" t="s">
        <v>53</v>
      </c>
      <c r="B8" s="5"/>
      <c r="C8" s="5"/>
      <c r="D8" s="5"/>
      <c r="E8" s="5"/>
      <c r="I8" s="5"/>
    </row>
    <row r="9" spans="1:13" ht="25.5">
      <c r="A9" s="5"/>
      <c r="B9" s="10" t="s">
        <v>189</v>
      </c>
      <c r="C9" s="10" t="s">
        <v>190</v>
      </c>
      <c r="D9" s="10" t="s">
        <v>191</v>
      </c>
      <c r="E9" s="10" t="s">
        <v>192</v>
      </c>
      <c r="I9" s="5"/>
    </row>
    <row r="10" spans="1:13">
      <c r="A10" s="5"/>
      <c r="B10" s="37">
        <f>1-BINOMDIST(205,$B$6,1-$B$4,1)</f>
        <v>1.353032854285563E-3</v>
      </c>
      <c r="C10" s="37">
        <f>1-BINOMDIST(200,$B$6,1-$B$4,1)</f>
        <v>4.9642310394425238E-2</v>
      </c>
      <c r="D10" s="37">
        <f>1-BINOMDIST(194,$B$6,1-$B$4,1)</f>
        <v>0.42147402013751689</v>
      </c>
      <c r="E10" s="37">
        <f>1-BINOMDIST(189,$B$6,1-$B$4,1)</f>
        <v>0.82002085697775851</v>
      </c>
    </row>
    <row r="12" spans="1:13">
      <c r="A12" s="91" t="s">
        <v>193</v>
      </c>
    </row>
    <row r="13" spans="1:13" ht="25.5">
      <c r="B13" s="13" t="s">
        <v>189</v>
      </c>
      <c r="C13" s="13" t="s">
        <v>190</v>
      </c>
      <c r="D13" s="13" t="s">
        <v>191</v>
      </c>
      <c r="E13" s="13" t="s">
        <v>192</v>
      </c>
    </row>
    <row r="14" spans="1:13">
      <c r="A14" t="s">
        <v>188</v>
      </c>
      <c r="B14" s="92"/>
      <c r="C14" s="92"/>
      <c r="D14" s="92"/>
      <c r="E14" s="92"/>
    </row>
    <row r="15" spans="1:13">
      <c r="A15">
        <v>206</v>
      </c>
      <c r="B15" s="37">
        <f>1-BINOMDIST(205,A15,1-$B$4,1)</f>
        <v>3.7493685933753795E-10</v>
      </c>
      <c r="C15" s="37">
        <f>1-BINOMDIST(200,A15,1-$B$4,1)</f>
        <v>2.370153587427648E-5</v>
      </c>
      <c r="D15" s="37">
        <f>1-BINOMDIST(194,A15,1-$B$4,1)</f>
        <v>1.2150340345056354E-2</v>
      </c>
      <c r="E15" s="37">
        <f>1-BINOMDIST(189,A15,1-$B$4,1)</f>
        <v>0.17096469584383323</v>
      </c>
    </row>
    <row r="16" spans="1:13">
      <c r="A16">
        <v>209</v>
      </c>
      <c r="B16" s="37">
        <f t="shared" ref="B16:B24" si="0">1-BINOMDIST(205,A16,1-$B$4,1)</f>
        <v>6.4228982277203528E-7</v>
      </c>
      <c r="C16" s="37">
        <f t="shared" ref="C16:C24" si="1">1-BINOMDIST(200,A16,1-$B$4,1)</f>
        <v>7.5294533592795698E-4</v>
      </c>
      <c r="D16" s="37">
        <f t="shared" ref="D16:D24" si="2">1-BINOMDIST(194,A16,1-$B$4,1)</f>
        <v>6.4253097892496891E-2</v>
      </c>
      <c r="E16" s="37">
        <f t="shared" ref="E16:E24" si="3">1-BINOMDIST(189,A16,1-$B$4,1)</f>
        <v>0.38410996370063799</v>
      </c>
    </row>
    <row r="17" spans="1:5">
      <c r="A17">
        <v>212</v>
      </c>
      <c r="B17" s="37">
        <f t="shared" si="0"/>
        <v>5.8474655066587111E-5</v>
      </c>
      <c r="C17" s="37">
        <f t="shared" si="1"/>
        <v>8.7225139361207793E-3</v>
      </c>
      <c r="D17" s="37">
        <f t="shared" si="2"/>
        <v>0.20078557600671854</v>
      </c>
      <c r="E17" s="37">
        <f t="shared" si="3"/>
        <v>0.62751949021542064</v>
      </c>
    </row>
    <row r="18" spans="1:5">
      <c r="A18">
        <v>215</v>
      </c>
      <c r="B18" s="37">
        <f t="shared" si="0"/>
        <v>1.353032854285563E-3</v>
      </c>
      <c r="C18" s="37">
        <f t="shared" si="1"/>
        <v>4.9642310394425238E-2</v>
      </c>
      <c r="D18" s="37">
        <f t="shared" si="2"/>
        <v>0.42147402013751689</v>
      </c>
      <c r="E18" s="37">
        <f t="shared" si="3"/>
        <v>0.82002085697775851</v>
      </c>
    </row>
    <row r="19" spans="1:5">
      <c r="A19">
        <v>218</v>
      </c>
      <c r="B19" s="37">
        <f t="shared" si="0"/>
        <v>1.2839716619399866E-2</v>
      </c>
      <c r="C19" s="37">
        <f t="shared" si="1"/>
        <v>0.16598213701230591</v>
      </c>
      <c r="D19" s="37">
        <f t="shared" si="2"/>
        <v>0.65883557619599054</v>
      </c>
      <c r="E19" s="37">
        <f t="shared" si="3"/>
        <v>0.93057363686384975</v>
      </c>
    </row>
    <row r="20" spans="1:5">
      <c r="A20">
        <v>221</v>
      </c>
      <c r="B20" s="37">
        <f t="shared" si="0"/>
        <v>6.3851655796926754E-2</v>
      </c>
      <c r="C20" s="37">
        <f t="shared" si="1"/>
        <v>0.36987894150360923</v>
      </c>
      <c r="D20" s="37">
        <f t="shared" si="2"/>
        <v>0.83857567063850191</v>
      </c>
      <c r="E20" s="37">
        <f t="shared" si="3"/>
        <v>0.97843810720289359</v>
      </c>
    </row>
    <row r="21" spans="1:5">
      <c r="A21">
        <v>224</v>
      </c>
      <c r="B21" s="37">
        <f t="shared" si="0"/>
        <v>0.19440309056424843</v>
      </c>
      <c r="C21" s="37">
        <f t="shared" si="1"/>
        <v>0.60749580884868881</v>
      </c>
      <c r="D21" s="37">
        <f t="shared" si="2"/>
        <v>0.93868048661370762</v>
      </c>
      <c r="E21" s="37">
        <f t="shared" si="3"/>
        <v>0.9945418499183758</v>
      </c>
    </row>
    <row r="22" spans="1:5">
      <c r="A22">
        <v>227</v>
      </c>
      <c r="B22" s="37">
        <f t="shared" si="0"/>
        <v>0.40609424267051952</v>
      </c>
      <c r="C22" s="37">
        <f t="shared" si="1"/>
        <v>0.80231258567408337</v>
      </c>
      <c r="D22" s="37">
        <f t="shared" si="2"/>
        <v>0.98113780630652658</v>
      </c>
      <c r="E22" s="37">
        <f t="shared" si="3"/>
        <v>0.99885873331131436</v>
      </c>
    </row>
    <row r="23" spans="1:5">
      <c r="A23">
        <v>230</v>
      </c>
      <c r="B23" s="37">
        <f t="shared" si="0"/>
        <v>0.63895074360995952</v>
      </c>
      <c r="C23" s="37">
        <f t="shared" si="1"/>
        <v>0.91969795720689163</v>
      </c>
      <c r="D23" s="37">
        <f t="shared" si="2"/>
        <v>0.9952453756503874</v>
      </c>
      <c r="E23" s="37">
        <f t="shared" si="3"/>
        <v>0.99980029587057329</v>
      </c>
    </row>
    <row r="24" spans="1:5">
      <c r="A24">
        <v>233</v>
      </c>
      <c r="B24" s="37">
        <f t="shared" si="0"/>
        <v>0.8219004461787659</v>
      </c>
      <c r="C24" s="37">
        <f t="shared" si="1"/>
        <v>0.97351764447219336</v>
      </c>
      <c r="D24" s="37">
        <f t="shared" si="2"/>
        <v>0.99900525611788094</v>
      </c>
      <c r="E24" s="37">
        <f t="shared" si="3"/>
        <v>0.99997039458351344</v>
      </c>
    </row>
    <row r="28" spans="1:5">
      <c r="B28" s="205" t="s">
        <v>285</v>
      </c>
      <c r="C28" s="205"/>
    </row>
    <row r="29" spans="1:5" ht="25.5">
      <c r="A29" s="13" t="s">
        <v>286</v>
      </c>
      <c r="B29" s="3" t="s">
        <v>287</v>
      </c>
      <c r="C29" s="13" t="s">
        <v>288</v>
      </c>
    </row>
    <row r="30" spans="1:5">
      <c r="A30">
        <v>175</v>
      </c>
      <c r="B30" s="29">
        <f>BINOMDIST(A30,$B$6,1-$B$4,0)</f>
        <v>4.9692048378686593E-5</v>
      </c>
      <c r="C30" s="29">
        <f t="shared" ref="C30:C69" si="4">BINOMDIST(A30,$B$6,1-$B$4,1)</f>
        <v>9.2553583972560338E-5</v>
      </c>
    </row>
    <row r="31" spans="1:5">
      <c r="A31">
        <v>176</v>
      </c>
      <c r="B31" s="29">
        <f t="shared" ref="B31:B70" si="5">BINOMDIST(A31,$B$6,1-$B$4,0)</f>
        <v>1.0164282622913231E-4</v>
      </c>
      <c r="C31" s="29">
        <f t="shared" si="4"/>
        <v>1.9419641020169265E-4</v>
      </c>
    </row>
    <row r="32" spans="1:5">
      <c r="A32">
        <v>177</v>
      </c>
      <c r="B32" s="29">
        <f t="shared" si="5"/>
        <v>2.0156289269166976E-4</v>
      </c>
      <c r="C32" s="29">
        <f t="shared" si="4"/>
        <v>3.9575930289336239E-4</v>
      </c>
    </row>
    <row r="33" spans="1:3">
      <c r="A33">
        <v>178</v>
      </c>
      <c r="B33" s="29">
        <f t="shared" si="5"/>
        <v>3.8727252416040136E-4</v>
      </c>
      <c r="C33" s="29">
        <f t="shared" si="4"/>
        <v>7.830318270537638E-4</v>
      </c>
    </row>
    <row r="34" spans="1:3">
      <c r="A34">
        <v>179</v>
      </c>
      <c r="B34" s="29">
        <f t="shared" si="5"/>
        <v>7.2045670695761199E-4</v>
      </c>
      <c r="C34" s="29">
        <f t="shared" si="4"/>
        <v>1.5034885340113758E-3</v>
      </c>
    </row>
    <row r="35" spans="1:3">
      <c r="A35">
        <v>180</v>
      </c>
      <c r="B35" s="29">
        <f t="shared" si="5"/>
        <v>1.2968220725237051E-3</v>
      </c>
      <c r="C35" s="29">
        <f t="shared" si="4"/>
        <v>2.8003106065350811E-3</v>
      </c>
    </row>
    <row r="36" spans="1:3">
      <c r="A36">
        <v>181</v>
      </c>
      <c r="B36" s="29">
        <f t="shared" si="5"/>
        <v>2.2569002919611584E-3</v>
      </c>
      <c r="C36" s="29">
        <f t="shared" si="4"/>
        <v>5.0572108984962396E-3</v>
      </c>
    </row>
    <row r="37" spans="1:3">
      <c r="A37">
        <v>182</v>
      </c>
      <c r="B37" s="29">
        <f t="shared" si="5"/>
        <v>3.7945686227478475E-3</v>
      </c>
      <c r="C37" s="29">
        <f t="shared" si="4"/>
        <v>8.8517795212440867E-3</v>
      </c>
    </row>
    <row r="38" spans="1:3">
      <c r="A38">
        <v>183</v>
      </c>
      <c r="B38" s="29">
        <f t="shared" si="5"/>
        <v>6.1583982565907832E-3</v>
      </c>
      <c r="C38" s="29">
        <f t="shared" si="4"/>
        <v>1.5010177777834869E-2</v>
      </c>
    </row>
    <row r="39" spans="1:3">
      <c r="A39">
        <v>184</v>
      </c>
      <c r="B39" s="29">
        <f t="shared" si="5"/>
        <v>9.6392320537943364E-3</v>
      </c>
      <c r="C39" s="29">
        <f t="shared" si="4"/>
        <v>2.4649409831629207E-2</v>
      </c>
    </row>
    <row r="40" spans="1:3">
      <c r="A40">
        <v>185</v>
      </c>
      <c r="B40" s="29">
        <f t="shared" si="5"/>
        <v>1.453700401626268E-2</v>
      </c>
      <c r="C40" s="29">
        <f t="shared" si="4"/>
        <v>3.9186413847891885E-2</v>
      </c>
    </row>
    <row r="41" spans="1:3">
      <c r="A41">
        <v>186</v>
      </c>
      <c r="B41" s="29">
        <f t="shared" si="5"/>
        <v>2.1102102604252326E-2</v>
      </c>
      <c r="C41" s="29">
        <f t="shared" si="4"/>
        <v>6.0288516452144211E-2</v>
      </c>
    </row>
    <row r="42" spans="1:3">
      <c r="A42">
        <v>187</v>
      </c>
      <c r="B42" s="29">
        <f t="shared" si="5"/>
        <v>2.94526672711759E-2</v>
      </c>
      <c r="C42" s="29">
        <f t="shared" si="4"/>
        <v>8.9741183723320114E-2</v>
      </c>
    </row>
    <row r="43" spans="1:3">
      <c r="A43">
        <v>188</v>
      </c>
      <c r="B43" s="29">
        <f t="shared" si="5"/>
        <v>3.9479107193278143E-2</v>
      </c>
      <c r="C43" s="29">
        <f t="shared" si="4"/>
        <v>0.12922029091659826</v>
      </c>
    </row>
    <row r="44" spans="1:3">
      <c r="A44">
        <v>189</v>
      </c>
      <c r="B44" s="29">
        <f t="shared" si="5"/>
        <v>5.0758852105643286E-2</v>
      </c>
      <c r="C44" s="29">
        <f t="shared" si="4"/>
        <v>0.17997914302224155</v>
      </c>
    </row>
    <row r="45" spans="1:3">
      <c r="A45">
        <v>190</v>
      </c>
      <c r="B45" s="29">
        <f t="shared" si="5"/>
        <v>6.2513533645897859E-2</v>
      </c>
      <c r="C45" s="29">
        <f t="shared" si="4"/>
        <v>0.2424926766681394</v>
      </c>
    </row>
    <row r="46" spans="1:3">
      <c r="A46">
        <v>191</v>
      </c>
      <c r="B46" s="29">
        <f t="shared" si="5"/>
        <v>7.3641597226842673E-2</v>
      </c>
      <c r="C46" s="29">
        <f t="shared" si="4"/>
        <v>0.31613427389498205</v>
      </c>
    </row>
    <row r="47" spans="1:3">
      <c r="A47">
        <v>192</v>
      </c>
      <c r="B47" s="29">
        <f t="shared" si="5"/>
        <v>8.2846796880197943E-2</v>
      </c>
      <c r="C47" s="29">
        <f t="shared" si="4"/>
        <v>0.39898107077517997</v>
      </c>
    </row>
    <row r="48" spans="1:3">
      <c r="A48">
        <v>193</v>
      </c>
      <c r="B48" s="29">
        <f t="shared" si="5"/>
        <v>8.8856409089124719E-2</v>
      </c>
      <c r="C48" s="29">
        <f t="shared" si="4"/>
        <v>0.4878374798643047</v>
      </c>
    </row>
    <row r="49" spans="1:3">
      <c r="A49">
        <v>194</v>
      </c>
      <c r="B49" s="29">
        <f t="shared" si="5"/>
        <v>9.0688499998178379E-2</v>
      </c>
      <c r="C49" s="29">
        <f t="shared" si="4"/>
        <v>0.57852597986248311</v>
      </c>
    </row>
    <row r="50" spans="1:3">
      <c r="A50">
        <v>195</v>
      </c>
      <c r="B50" s="29">
        <f t="shared" si="5"/>
        <v>8.7898084613619004E-2</v>
      </c>
      <c r="C50" s="29">
        <f t="shared" si="4"/>
        <v>0.66642406447610214</v>
      </c>
    </row>
    <row r="51" spans="1:3">
      <c r="A51">
        <v>196</v>
      </c>
      <c r="B51" s="29">
        <f t="shared" si="5"/>
        <v>8.0722730767609746E-2</v>
      </c>
      <c r="C51" s="29">
        <f t="shared" si="4"/>
        <v>0.74714679524371186</v>
      </c>
    </row>
    <row r="52" spans="1:3">
      <c r="A52">
        <v>197</v>
      </c>
      <c r="B52" s="29">
        <f t="shared" si="5"/>
        <v>7.0068969346503515E-2</v>
      </c>
      <c r="C52" s="29">
        <f t="shared" si="4"/>
        <v>0.81721576459021539</v>
      </c>
    </row>
    <row r="53" spans="1:3">
      <c r="A53">
        <v>198</v>
      </c>
      <c r="B53" s="29">
        <f t="shared" si="5"/>
        <v>5.7329156738048732E-2</v>
      </c>
      <c r="C53" s="29">
        <f t="shared" si="4"/>
        <v>0.87454492132826411</v>
      </c>
    </row>
    <row r="54" spans="1:3">
      <c r="A54">
        <v>199</v>
      </c>
      <c r="B54" s="29">
        <f t="shared" si="5"/>
        <v>4.4077190858901556E-2</v>
      </c>
      <c r="C54" s="29">
        <f t="shared" si="4"/>
        <v>0.91862211218716572</v>
      </c>
    </row>
    <row r="55" spans="1:3">
      <c r="A55">
        <v>200</v>
      </c>
      <c r="B55" s="29">
        <f t="shared" si="5"/>
        <v>3.1735577418409079E-2</v>
      </c>
      <c r="C55" s="29">
        <f t="shared" si="4"/>
        <v>0.95035768960557476</v>
      </c>
    </row>
    <row r="56" spans="1:3">
      <c r="A56">
        <v>201</v>
      </c>
      <c r="B56" s="29">
        <f t="shared" si="5"/>
        <v>2.1314940057140568E-2</v>
      </c>
      <c r="C56" s="29">
        <f t="shared" si="4"/>
        <v>0.97167262966271528</v>
      </c>
    </row>
    <row r="57" spans="1:3">
      <c r="A57">
        <v>202</v>
      </c>
      <c r="B57" s="29">
        <f t="shared" si="5"/>
        <v>1.3295457659404446E-2</v>
      </c>
      <c r="C57" s="29">
        <f t="shared" si="4"/>
        <v>0.98496808732211971</v>
      </c>
    </row>
    <row r="58" spans="1:3">
      <c r="A58">
        <v>203</v>
      </c>
      <c r="B58" s="29">
        <f t="shared" si="5"/>
        <v>7.662899242119818E-3</v>
      </c>
      <c r="C58" s="29">
        <f t="shared" si="4"/>
        <v>0.99263098656423954</v>
      </c>
    </row>
    <row r="59" spans="1:3">
      <c r="A59">
        <v>204</v>
      </c>
      <c r="B59" s="29">
        <f t="shared" si="5"/>
        <v>4.0568290105340342E-3</v>
      </c>
      <c r="C59" s="29">
        <f t="shared" si="4"/>
        <v>0.99668781557477359</v>
      </c>
    </row>
    <row r="60" spans="1:3">
      <c r="A60">
        <v>205</v>
      </c>
      <c r="B60" s="29">
        <f t="shared" si="5"/>
        <v>1.9591515709408164E-3</v>
      </c>
      <c r="C60" s="29">
        <f t="shared" si="4"/>
        <v>0.99864696714571444</v>
      </c>
    </row>
    <row r="61" spans="1:3">
      <c r="A61">
        <v>206</v>
      </c>
      <c r="B61" s="29">
        <f t="shared" si="5"/>
        <v>8.5594000672171782E-4</v>
      </c>
      <c r="C61" s="29">
        <f t="shared" si="4"/>
        <v>0.99950290715243617</v>
      </c>
    </row>
    <row r="62" spans="1:3">
      <c r="A62">
        <v>207</v>
      </c>
      <c r="B62" s="29">
        <f t="shared" si="5"/>
        <v>3.3493304610849922E-4</v>
      </c>
      <c r="C62" s="29">
        <f t="shared" si="4"/>
        <v>0.99983784019854471</v>
      </c>
    </row>
    <row r="63" spans="1:3">
      <c r="A63">
        <v>208</v>
      </c>
      <c r="B63" s="29">
        <f t="shared" si="5"/>
        <v>1.1593836211448036E-4</v>
      </c>
      <c r="C63" s="29">
        <f t="shared" si="4"/>
        <v>0.99995377856065915</v>
      </c>
    </row>
    <row r="64" spans="1:3">
      <c r="A64">
        <v>209</v>
      </c>
      <c r="B64" s="29">
        <f t="shared" si="5"/>
        <v>3.4947927335943857E-5</v>
      </c>
      <c r="C64" s="29">
        <f t="shared" si="4"/>
        <v>0.99998872648799508</v>
      </c>
    </row>
    <row r="65" spans="1:3">
      <c r="A65">
        <v>210</v>
      </c>
      <c r="B65" s="29">
        <f t="shared" si="5"/>
        <v>8.9866098863855704E-6</v>
      </c>
      <c r="C65" s="29">
        <f t="shared" si="4"/>
        <v>0.99999771309788144</v>
      </c>
    </row>
    <row r="66" spans="1:3">
      <c r="A66">
        <v>211</v>
      </c>
      <c r="B66" s="29">
        <f t="shared" si="5"/>
        <v>1.9165755681864937E-6</v>
      </c>
      <c r="C66" s="29">
        <f t="shared" si="4"/>
        <v>0.99999962967344957</v>
      </c>
    </row>
    <row r="67" spans="1:3">
      <c r="A67">
        <v>212</v>
      </c>
      <c r="B67" s="29">
        <f t="shared" si="5"/>
        <v>3.2545622855997103E-7</v>
      </c>
      <c r="C67" s="29">
        <f t="shared" si="4"/>
        <v>0.9999999551296781</v>
      </c>
    </row>
    <row r="68" spans="1:3">
      <c r="A68">
        <v>213</v>
      </c>
      <c r="B68" s="29">
        <f t="shared" si="5"/>
        <v>4.1255014887883578E-8</v>
      </c>
      <c r="C68" s="29">
        <f t="shared" si="4"/>
        <v>0.99999999638469295</v>
      </c>
    </row>
    <row r="69" spans="1:3">
      <c r="A69">
        <v>214</v>
      </c>
      <c r="B69" s="29">
        <f t="shared" si="5"/>
        <v>3.4700479812238577E-9</v>
      </c>
      <c r="C69" s="29">
        <f t="shared" si="4"/>
        <v>0.99999999985474097</v>
      </c>
    </row>
    <row r="70" spans="1:3">
      <c r="A70">
        <v>215</v>
      </c>
      <c r="B70" s="29">
        <f t="shared" si="5"/>
        <v>1.4525782246983613E-10</v>
      </c>
      <c r="C70" s="29">
        <f>BINOMDIST(A70,$B$6,1-$B$4,1)</f>
        <v>0.99999999999999878</v>
      </c>
    </row>
  </sheetData>
  <mergeCells count="1">
    <mergeCell ref="B28:C28"/>
  </mergeCells>
  <phoneticPr fontId="11" type="noConversion"/>
  <pageMargins left="0.78740157499999996" right="0.78740157499999996" top="0.984251969" bottom="0.984251969" header="0.4921259845" footer="0.4921259845"/>
  <headerFooter alignWithMargins="0"/>
  <drawing r:id="rId1"/>
</worksheet>
</file>

<file path=xl/worksheets/sheet21.xml><?xml version="1.0" encoding="utf-8"?>
<worksheet xmlns="http://schemas.openxmlformats.org/spreadsheetml/2006/main" xmlns:r="http://schemas.openxmlformats.org/officeDocument/2006/relationships">
  <dimension ref="A1:L20"/>
  <sheetViews>
    <sheetView workbookViewId="0"/>
  </sheetViews>
  <sheetFormatPr defaultColWidth="11.42578125" defaultRowHeight="12.75"/>
  <cols>
    <col min="1" max="1" width="11.42578125" style="61" customWidth="1"/>
    <col min="2" max="2" width="5.7109375" style="61" customWidth="1"/>
    <col min="3" max="3" width="4.85546875" style="61" customWidth="1"/>
    <col min="4" max="4" width="6.5703125" style="61" customWidth="1"/>
    <col min="5" max="5" width="5.7109375" style="61" customWidth="1"/>
    <col min="6" max="6" width="10.140625" style="61" customWidth="1"/>
    <col min="7" max="7" width="4.7109375" style="61" customWidth="1"/>
    <col min="8" max="8" width="6.5703125" style="61" customWidth="1"/>
    <col min="9" max="9" width="5.7109375" style="61" customWidth="1"/>
    <col min="10" max="10" width="10.28515625" style="61" customWidth="1"/>
    <col min="11" max="11" width="4.85546875" style="61" customWidth="1"/>
    <col min="12" max="12" width="6.5703125" style="61" customWidth="1"/>
  </cols>
  <sheetData>
    <row r="1" spans="1:12">
      <c r="A1" s="61" t="s">
        <v>462</v>
      </c>
      <c r="B1" s="61">
        <v>0.6</v>
      </c>
    </row>
    <row r="2" spans="1:12">
      <c r="G2" s="171"/>
    </row>
    <row r="3" spans="1:12">
      <c r="C3" s="61" t="s">
        <v>388</v>
      </c>
      <c r="G3" s="61" t="s">
        <v>388</v>
      </c>
      <c r="K3" s="61" t="s">
        <v>388</v>
      </c>
    </row>
    <row r="4" spans="1:12">
      <c r="C4" s="61">
        <v>1</v>
      </c>
      <c r="G4" s="61">
        <v>2</v>
      </c>
      <c r="K4" s="61">
        <v>3</v>
      </c>
    </row>
    <row r="5" spans="1:12">
      <c r="A5" s="61" t="s">
        <v>463</v>
      </c>
      <c r="B5" s="61" t="s">
        <v>464</v>
      </c>
      <c r="C5" s="61" t="s">
        <v>408</v>
      </c>
      <c r="D5" s="61" t="s">
        <v>465</v>
      </c>
      <c r="E5" s="61" t="s">
        <v>466</v>
      </c>
      <c r="F5" s="61" t="s">
        <v>467</v>
      </c>
      <c r="G5" s="61" t="s">
        <v>408</v>
      </c>
      <c r="H5" s="61" t="s">
        <v>465</v>
      </c>
      <c r="I5" s="61" t="s">
        <v>468</v>
      </c>
      <c r="J5" s="61" t="s">
        <v>467</v>
      </c>
      <c r="K5" s="61" t="s">
        <v>408</v>
      </c>
      <c r="L5" s="61" t="s">
        <v>465</v>
      </c>
    </row>
    <row r="6" spans="1:12">
      <c r="I6" s="61" t="s">
        <v>469</v>
      </c>
      <c r="J6" s="61" t="s">
        <v>470</v>
      </c>
      <c r="K6" s="61">
        <v>3</v>
      </c>
      <c r="L6" s="61">
        <f>BINOMDIST(K6,K$4,$B$1,0)</f>
        <v>0.21599999999999997</v>
      </c>
    </row>
    <row r="7" spans="1:12">
      <c r="E7" s="61" t="s">
        <v>469</v>
      </c>
      <c r="F7" s="61" t="s">
        <v>471</v>
      </c>
      <c r="G7" s="61">
        <v>2</v>
      </c>
      <c r="H7" s="61">
        <f>BINOMDIST(G7,G$4,$B$1,0)</f>
        <v>0.36</v>
      </c>
    </row>
    <row r="8" spans="1:12">
      <c r="I8" s="61" t="s">
        <v>472</v>
      </c>
      <c r="J8" s="61" t="s">
        <v>473</v>
      </c>
      <c r="K8" s="61">
        <v>2</v>
      </c>
      <c r="L8" s="61">
        <f>BINOMDIST(K8,K$4,$B$1,0)</f>
        <v>0.43200000000000005</v>
      </c>
    </row>
    <row r="9" spans="1:12">
      <c r="B9" s="61" t="s">
        <v>469</v>
      </c>
      <c r="C9" s="61">
        <v>1</v>
      </c>
      <c r="D9" s="61">
        <f>BINOMDIST(C9,C$4,$B$1,0)</f>
        <v>0.6</v>
      </c>
    </row>
    <row r="10" spans="1:12">
      <c r="I10" s="61" t="s">
        <v>469</v>
      </c>
      <c r="J10" s="61" t="s">
        <v>474</v>
      </c>
      <c r="K10" s="61">
        <v>2</v>
      </c>
      <c r="L10" s="61">
        <f>BINOMDIST(K10,K$4,$B$1,0)</f>
        <v>0.43200000000000005</v>
      </c>
    </row>
    <row r="11" spans="1:12">
      <c r="E11" s="61" t="s">
        <v>472</v>
      </c>
      <c r="F11" s="61" t="s">
        <v>475</v>
      </c>
      <c r="G11" s="61">
        <v>1</v>
      </c>
      <c r="H11" s="61">
        <f>BINOMDIST(G11,G$4,$B$1,0)</f>
        <v>0.48</v>
      </c>
    </row>
    <row r="12" spans="1:12">
      <c r="I12" s="61" t="s">
        <v>472</v>
      </c>
      <c r="J12" s="61" t="s">
        <v>476</v>
      </c>
      <c r="K12" s="61">
        <v>1</v>
      </c>
      <c r="L12" s="61">
        <f>BINOMDIST(K12,K$4,$B$1,0)</f>
        <v>0.28800000000000003</v>
      </c>
    </row>
    <row r="14" spans="1:12">
      <c r="I14" s="61" t="s">
        <v>469</v>
      </c>
      <c r="J14" s="61" t="s">
        <v>477</v>
      </c>
      <c r="K14" s="61">
        <v>2</v>
      </c>
      <c r="L14" s="61">
        <f>BINOMDIST(K14,K$4,$B$1,0)</f>
        <v>0.43200000000000005</v>
      </c>
    </row>
    <row r="15" spans="1:12">
      <c r="E15" s="61" t="s">
        <v>469</v>
      </c>
      <c r="F15" s="61" t="s">
        <v>478</v>
      </c>
      <c r="G15" s="61">
        <v>1</v>
      </c>
      <c r="H15" s="61">
        <f>BINOMDIST(G15,G$4,$B$1,0)</f>
        <v>0.48</v>
      </c>
    </row>
    <row r="16" spans="1:12">
      <c r="I16" s="61" t="s">
        <v>472</v>
      </c>
      <c r="J16" s="61" t="s">
        <v>479</v>
      </c>
      <c r="K16" s="61">
        <v>1</v>
      </c>
      <c r="L16" s="61">
        <f>BINOMDIST(K16,K$4,$B$1,0)</f>
        <v>0.28800000000000003</v>
      </c>
    </row>
    <row r="17" spans="2:12">
      <c r="B17" s="61" t="s">
        <v>472</v>
      </c>
      <c r="C17" s="61">
        <v>0</v>
      </c>
      <c r="D17" s="61">
        <f>BINOMDIST(C17,C$4,$B$1,0)</f>
        <v>0.4</v>
      </c>
    </row>
    <row r="18" spans="2:12">
      <c r="I18" s="61" t="s">
        <v>469</v>
      </c>
      <c r="J18" s="61" t="s">
        <v>480</v>
      </c>
      <c r="K18" s="61">
        <v>1</v>
      </c>
      <c r="L18" s="61">
        <f>BINOMDIST(K18,K$4,$B$1,0)</f>
        <v>0.28800000000000003</v>
      </c>
    </row>
    <row r="19" spans="2:12">
      <c r="E19" s="61" t="s">
        <v>472</v>
      </c>
      <c r="F19" s="61" t="s">
        <v>481</v>
      </c>
      <c r="G19" s="61">
        <v>0</v>
      </c>
      <c r="H19" s="61">
        <f>BINOMDIST(G19,G$4,$B$1,0)</f>
        <v>0.16000000000000003</v>
      </c>
    </row>
    <row r="20" spans="2:12">
      <c r="I20" s="61" t="s">
        <v>472</v>
      </c>
      <c r="J20" s="61" t="s">
        <v>482</v>
      </c>
      <c r="K20" s="61">
        <v>0</v>
      </c>
      <c r="L20" s="61">
        <f>BINOMDIST(K20,K$4,$B$1,0)</f>
        <v>6.4000000000000015E-2</v>
      </c>
    </row>
  </sheetData>
  <phoneticPr fontId="11" type="noConversion"/>
  <pageMargins left="0.78740157499999996" right="0.78740157499999996" top="0.984251969" bottom="0.984251969" header="0.4921259845" footer="0.4921259845"/>
  <headerFooter alignWithMargins="0"/>
</worksheet>
</file>

<file path=xl/worksheets/sheet22.xml><?xml version="1.0" encoding="utf-8"?>
<worksheet xmlns="http://schemas.openxmlformats.org/spreadsheetml/2006/main" xmlns:r="http://schemas.openxmlformats.org/officeDocument/2006/relationships">
  <dimension ref="A1:O100"/>
  <sheetViews>
    <sheetView workbookViewId="0"/>
  </sheetViews>
  <sheetFormatPr defaultColWidth="11.42578125" defaultRowHeight="12.75"/>
  <cols>
    <col min="1" max="1" width="11.42578125" customWidth="1"/>
    <col min="2" max="3" width="7" customWidth="1"/>
    <col min="4" max="4" width="8.28515625" customWidth="1"/>
    <col min="5" max="5" width="7.7109375" customWidth="1"/>
    <col min="6" max="6" width="7" style="49" customWidth="1"/>
    <col min="7" max="7" width="8.42578125" customWidth="1"/>
    <col min="8" max="8" width="9.7109375" customWidth="1"/>
    <col min="9" max="9" width="8.140625" style="64" customWidth="1"/>
    <col min="10" max="10" width="7.7109375" customWidth="1"/>
    <col min="11" max="11" width="6.28515625" customWidth="1"/>
  </cols>
  <sheetData>
    <row r="1" spans="1:11">
      <c r="A1" s="1" t="s">
        <v>369</v>
      </c>
    </row>
    <row r="2" spans="1:11">
      <c r="A2" t="s">
        <v>28</v>
      </c>
      <c r="E2" s="20">
        <v>52263.333333333336</v>
      </c>
    </row>
    <row r="3" spans="1:11">
      <c r="A3" t="s">
        <v>33</v>
      </c>
      <c r="E3" s="20">
        <v>11492.650825136294</v>
      </c>
    </row>
    <row r="4" spans="1:11">
      <c r="A4" t="s">
        <v>370</v>
      </c>
      <c r="E4">
        <v>30</v>
      </c>
    </row>
    <row r="5" spans="1:11">
      <c r="D5" s="3"/>
      <c r="E5" s="3"/>
      <c r="G5" s="3"/>
    </row>
    <row r="6" spans="1:11">
      <c r="A6" t="s">
        <v>371</v>
      </c>
      <c r="D6" s="3"/>
      <c r="E6" s="20">
        <f>E3/SQRT(E4)</f>
        <v>2098.2613674858362</v>
      </c>
    </row>
    <row r="7" spans="1:11">
      <c r="C7" s="65"/>
      <c r="D7" s="3"/>
      <c r="E7" s="3"/>
    </row>
    <row r="8" spans="1:11">
      <c r="A8" s="1" t="s">
        <v>432</v>
      </c>
      <c r="C8" s="65"/>
      <c r="D8" s="3"/>
      <c r="E8" s="3"/>
    </row>
    <row r="9" spans="1:11" ht="25.5">
      <c r="B9" s="33" t="s">
        <v>30</v>
      </c>
      <c r="C9" s="3" t="s">
        <v>116</v>
      </c>
      <c r="D9" s="13" t="s">
        <v>372</v>
      </c>
      <c r="E9" s="13" t="s">
        <v>373</v>
      </c>
    </row>
    <row r="10" spans="1:11">
      <c r="B10">
        <v>0.05</v>
      </c>
      <c r="C10" s="14">
        <f>ABS(NORMSINV(B10/2))</f>
        <v>1.9599639845400545</v>
      </c>
      <c r="D10" s="20">
        <f>$E$2-C10*$E$6</f>
        <v>48150.816622909333</v>
      </c>
      <c r="E10" s="20">
        <f>$E$2+C10*$E$6</f>
        <v>56375.850043757338</v>
      </c>
    </row>
    <row r="11" spans="1:11">
      <c r="G11" s="66" t="s">
        <v>374</v>
      </c>
      <c r="H11" s="67"/>
    </row>
    <row r="12" spans="1:11">
      <c r="A12" s="1" t="s">
        <v>375</v>
      </c>
      <c r="D12" s="66" t="s">
        <v>376</v>
      </c>
      <c r="E12" s="66" t="s">
        <v>377</v>
      </c>
      <c r="G12" s="66" t="s">
        <v>378</v>
      </c>
      <c r="H12" s="66" t="s">
        <v>379</v>
      </c>
    </row>
    <row r="13" spans="1:11">
      <c r="B13" s="3" t="s">
        <v>380</v>
      </c>
      <c r="C13" s="33" t="s">
        <v>30</v>
      </c>
      <c r="D13" s="66" t="s">
        <v>381</v>
      </c>
      <c r="E13" s="66" t="s">
        <v>381</v>
      </c>
      <c r="F13" s="68"/>
      <c r="G13" s="66" t="s">
        <v>382</v>
      </c>
      <c r="H13" s="66" t="s">
        <v>117</v>
      </c>
      <c r="J13" s="66" t="s">
        <v>383</v>
      </c>
    </row>
    <row r="14" spans="1:11">
      <c r="A14" t="s">
        <v>384</v>
      </c>
      <c r="B14" s="20">
        <v>47500</v>
      </c>
      <c r="C14">
        <v>0.05</v>
      </c>
      <c r="D14" s="159">
        <f>$E$2+NORMSINV($C14/2)*$E$6</f>
        <v>48150.816622909333</v>
      </c>
      <c r="E14" s="159">
        <f>$E$2-NORMSINV($C14/2)*$E$6</f>
        <v>56375.850043757338</v>
      </c>
      <c r="F14" s="49" t="str">
        <f>IF(OR($B14&lt;$D14,$B14&gt;$E14),"reject","accept")</f>
        <v>reject</v>
      </c>
      <c r="G14" s="160">
        <f>($E$2-B14)/$E$6</f>
        <v>2.2701334577020895</v>
      </c>
      <c r="H14" s="160">
        <f>ABS(NORMSINV(C14/2))</f>
        <v>1.9599639845400545</v>
      </c>
      <c r="I14" s="64" t="str">
        <f>IF(ABS($G14)&gt;$H14,"reject","accept")</f>
        <v>reject</v>
      </c>
      <c r="J14" s="160">
        <f>IF(B14&lt;E2,NORMDIST(B14,E2,E6,1)*2,(1-NORMDIST(B14,E2,E6,1))*2)</f>
        <v>2.3199486868522357E-2</v>
      </c>
      <c r="K14" s="49" t="str">
        <f>IF(J14&lt;=$C14,"reject","accept")</f>
        <v>reject</v>
      </c>
    </row>
    <row r="15" spans="1:11">
      <c r="B15" s="20">
        <v>47500</v>
      </c>
      <c r="C15">
        <v>0.01</v>
      </c>
      <c r="D15" s="159">
        <f>$E$2+NORMSINV($C15/2)*$E$6</f>
        <v>46858.570216458698</v>
      </c>
      <c r="E15" s="159">
        <f>$E$2-NORMSINV($C15/2)*$E$6</f>
        <v>57668.096450207973</v>
      </c>
      <c r="F15" s="49" t="str">
        <f>IF(OR($B15&lt;$D15,$B15&gt;$E15),"reject","accept")</f>
        <v>accept</v>
      </c>
      <c r="G15" s="160">
        <f>($E$2-B15)/$E$6</f>
        <v>2.2701334577020895</v>
      </c>
      <c r="H15" s="160">
        <f>ABS(NORMSINV(C15/2))</f>
        <v>2.5758293035489155</v>
      </c>
      <c r="I15" s="64" t="str">
        <f>IF(ABS($G15)&gt;$H15,"reject","accept")</f>
        <v>accept</v>
      </c>
      <c r="J15" s="160">
        <f>IF(B15&lt;E2,NORMDIST(B15,E2,E6,1)*2,(1-NORMDIST(B15,E2,E6,1))*2)</f>
        <v>2.3199486868522357E-2</v>
      </c>
      <c r="K15" s="49" t="str">
        <f>IF(J15&lt;=$C15,"reject","accept")</f>
        <v>accept</v>
      </c>
    </row>
    <row r="18" spans="1:15">
      <c r="A18" s="1" t="s">
        <v>385</v>
      </c>
    </row>
    <row r="20" spans="1:15">
      <c r="B20" s="3" t="s">
        <v>386</v>
      </c>
      <c r="C20" s="3" t="s">
        <v>387</v>
      </c>
    </row>
    <row r="21" spans="1:15">
      <c r="A21" t="s">
        <v>28</v>
      </c>
      <c r="B21">
        <v>55083.333333333336</v>
      </c>
      <c r="C21">
        <v>48033.333333333336</v>
      </c>
    </row>
    <row r="22" spans="1:15">
      <c r="A22" t="s">
        <v>108</v>
      </c>
      <c r="B22">
        <v>11971.74369333154</v>
      </c>
      <c r="C22">
        <v>12182.090679901105</v>
      </c>
    </row>
    <row r="23" spans="1:15">
      <c r="A23" t="s">
        <v>388</v>
      </c>
      <c r="B23">
        <v>18</v>
      </c>
      <c r="C23">
        <v>12</v>
      </c>
    </row>
    <row r="24" spans="1:15">
      <c r="A24" t="s">
        <v>207</v>
      </c>
      <c r="B24" s="20">
        <f>B22/SQRT(B23)</f>
        <v>2821.7670493940054</v>
      </c>
      <c r="C24" s="20">
        <f>C22/SQRT(C23)</f>
        <v>3516.666666666667</v>
      </c>
    </row>
    <row r="26" spans="1:15">
      <c r="A26" t="s">
        <v>389</v>
      </c>
      <c r="B26">
        <f>(B21-C21)/SQRT(B22^2/B23+C22^2/C23)</f>
        <v>1.5636075470806057</v>
      </c>
    </row>
    <row r="27" spans="1:15">
      <c r="A27" t="s">
        <v>383</v>
      </c>
      <c r="B27">
        <f>2*(1-NORMSDIST(ABS(B26)))</f>
        <v>0.11790976141095033</v>
      </c>
    </row>
    <row r="30" spans="1:15">
      <c r="M30">
        <v>-3.5</v>
      </c>
      <c r="N30" s="20">
        <f t="shared" ref="N30:N61" si="0">$E$2+M30*$E$6</f>
        <v>44919.418547132911</v>
      </c>
      <c r="O30">
        <f>NORMDIST(N30,$E$2,$E$6,1)</f>
        <v>2.3262907903598418E-4</v>
      </c>
    </row>
    <row r="31" spans="1:15">
      <c r="M31">
        <v>-3.4</v>
      </c>
      <c r="N31" s="20">
        <f t="shared" si="0"/>
        <v>45129.244683881494</v>
      </c>
      <c r="O31">
        <f>NORMDIST(N31,$E$2,$E$6,1)-SUM($O$30:O30)</f>
        <v>1.0430018663987184E-4</v>
      </c>
    </row>
    <row r="32" spans="1:15">
      <c r="M32">
        <v>-3.3</v>
      </c>
      <c r="N32" s="20">
        <f t="shared" si="0"/>
        <v>45339.070820630077</v>
      </c>
      <c r="O32">
        <f>NORMDIST(N32,$E$2,$E$6,1)-SUM($O$30:O31)</f>
        <v>1.4649487670836958E-4</v>
      </c>
    </row>
    <row r="33" spans="13:15">
      <c r="M33">
        <v>-3.2</v>
      </c>
      <c r="N33" s="20">
        <f t="shared" si="0"/>
        <v>45548.89695737866</v>
      </c>
      <c r="O33">
        <f>NORMDIST(N33,$E$2,$E$6,1)-SUM($O$30:O32)</f>
        <v>2.0371379553163482E-4</v>
      </c>
    </row>
    <row r="34" spans="13:15">
      <c r="M34">
        <v>-3.1</v>
      </c>
      <c r="N34" s="20">
        <f t="shared" si="0"/>
        <v>45758.723094127243</v>
      </c>
      <c r="O34">
        <f>NORMDIST(N34,$E$2,$E$6,1)-SUM($O$30:O33)</f>
        <v>2.8046527530256604E-4</v>
      </c>
    </row>
    <row r="35" spans="13:15">
      <c r="M35">
        <v>-3</v>
      </c>
      <c r="N35" s="20">
        <f t="shared" si="0"/>
        <v>45968.549230875826</v>
      </c>
      <c r="O35">
        <f>NORMDIST(N35,$E$2,$E$6,1)-SUM($O$30:O34)</f>
        <v>3.8229481841156598E-4</v>
      </c>
    </row>
    <row r="36" spans="13:15">
      <c r="M36">
        <v>-2.9</v>
      </c>
      <c r="N36" s="20">
        <f t="shared" si="0"/>
        <v>46178.375367624409</v>
      </c>
      <c r="O36">
        <f>NORMDIST(N36,$E$2,$E$6,1)-SUM($O$30:O35)</f>
        <v>5.1591526875416349E-4</v>
      </c>
    </row>
    <row r="37" spans="13:15">
      <c r="M37">
        <v>-2.8</v>
      </c>
      <c r="N37" s="20">
        <f t="shared" si="0"/>
        <v>46388.201504372992</v>
      </c>
      <c r="O37">
        <f>NORMDIST(N37,$E$2,$E$6,1)-SUM($O$30:O36)</f>
        <v>6.8931703004371236E-4</v>
      </c>
    </row>
    <row r="38" spans="13:15">
      <c r="M38">
        <v>-2.7</v>
      </c>
      <c r="N38" s="20">
        <f t="shared" si="0"/>
        <v>46598.027641121575</v>
      </c>
      <c r="O38">
        <f>NORMDIST(N38,$E$2,$E$6,1)-SUM($O$30:O37)</f>
        <v>9.1184347261275001E-4</v>
      </c>
    </row>
    <row r="39" spans="13:15">
      <c r="M39">
        <v>-2.6</v>
      </c>
      <c r="N39" s="20">
        <f t="shared" si="0"/>
        <v>46807.853777870158</v>
      </c>
      <c r="O39">
        <f>NORMDIST(N39,$E$2,$E$6,1)-SUM($O$30:O38)</f>
        <v>1.1942142206780026E-3</v>
      </c>
    </row>
    <row r="40" spans="13:15">
      <c r="M40">
        <v>-2.5</v>
      </c>
      <c r="N40" s="20">
        <f t="shared" si="0"/>
        <v>47017.679914618748</v>
      </c>
      <c r="O40">
        <f>NORMDIST(N40,$E$2,$E$6,1)-SUM($O$30:O39)</f>
        <v>1.5484773020575382E-3</v>
      </c>
    </row>
    <row r="41" spans="13:15">
      <c r="M41">
        <v>-2.4</v>
      </c>
      <c r="N41" s="20">
        <f t="shared" si="0"/>
        <v>47227.506051367331</v>
      </c>
      <c r="O41">
        <f>NORMDIST(N41,$E$2,$E$6,1)-SUM($O$30:O40)</f>
        <v>1.9878705988198853E-3</v>
      </c>
    </row>
    <row r="42" spans="13:15">
      <c r="M42">
        <v>-2.2999999999999998</v>
      </c>
      <c r="N42" s="20">
        <f t="shared" si="0"/>
        <v>47437.332188115914</v>
      </c>
      <c r="O42">
        <f>NORMDIST(N42,$E$2,$E$6,1)-SUM($O$30:O41)</f>
        <v>2.5265740970799033E-3</v>
      </c>
    </row>
    <row r="43" spans="13:15">
      <c r="M43">
        <v>-2.2000000000000002</v>
      </c>
      <c r="N43" s="20">
        <f t="shared" si="0"/>
        <v>47647.158324864497</v>
      </c>
      <c r="O43">
        <f>NORMDIST(N43,$E$2,$E$6,1)-SUM($O$30:O42)</f>
        <v>3.1793374918225314E-3</v>
      </c>
    </row>
    <row r="44" spans="13:15">
      <c r="M44">
        <v>-2.1</v>
      </c>
      <c r="N44" s="20">
        <f t="shared" si="0"/>
        <v>47856.984461613079</v>
      </c>
      <c r="O44">
        <f>NORMDIST(N44,$E$2,$E$6,1)-SUM($O$30:O43)</f>
        <v>3.9609730493179729E-3</v>
      </c>
    </row>
    <row r="45" spans="13:15">
      <c r="M45">
        <v>-2</v>
      </c>
      <c r="N45" s="20">
        <f t="shared" si="0"/>
        <v>48066.810598361662</v>
      </c>
      <c r="O45">
        <f>NORMDIST(N45,$E$2,$E$6,1)-SUM($O$30:O44)</f>
        <v>4.8857113853628675E-3</v>
      </c>
    </row>
    <row r="46" spans="13:15">
      <c r="M46">
        <v>-1.9</v>
      </c>
      <c r="N46" s="20">
        <f t="shared" si="0"/>
        <v>48276.636735110245</v>
      </c>
      <c r="O46">
        <f>NORMDIST(N46,$E$2,$E$6,1)-SUM($O$30:O45)</f>
        <v>5.9664278678226434E-3</v>
      </c>
    </row>
    <row r="47" spans="13:15">
      <c r="M47">
        <v>-1.8</v>
      </c>
      <c r="N47" s="20">
        <f t="shared" si="0"/>
        <v>48486.462871858828</v>
      </c>
      <c r="O47">
        <f>NORMDIST(N47,$E$2,$E$6,1)-SUM($O$30:O46)</f>
        <v>7.2137592969239162E-3</v>
      </c>
    </row>
    <row r="48" spans="13:15">
      <c r="M48">
        <v>-1.7</v>
      </c>
      <c r="N48" s="20">
        <f t="shared" si="0"/>
        <v>48696.289008607411</v>
      </c>
      <c r="O48">
        <f>NORMDIST(N48,$E$2,$E$6,1)-SUM($O$30:O47)</f>
        <v>8.6351436456170161E-3</v>
      </c>
    </row>
    <row r="49" spans="13:15">
      <c r="M49">
        <v>-1.6</v>
      </c>
      <c r="N49" s="20">
        <f t="shared" si="0"/>
        <v>48906.115145356001</v>
      </c>
      <c r="O49">
        <f>NORMDIST(N49,$E$2,$E$6,1)-SUM($O$30:O48)</f>
        <v>1.0233828941015211E-2</v>
      </c>
    </row>
    <row r="50" spans="13:15">
      <c r="M50">
        <v>-1.5</v>
      </c>
      <c r="N50" s="20">
        <f t="shared" si="0"/>
        <v>49115.941282104584</v>
      </c>
      <c r="O50">
        <f>NORMDIST(N50,$E$2,$E$6,1)-SUM($O$30:O49)</f>
        <v>1.2007909569300201E-2</v>
      </c>
    </row>
    <row r="51" spans="13:15">
      <c r="M51">
        <v>-1.4</v>
      </c>
      <c r="N51" s="20">
        <f t="shared" si="0"/>
        <v>49325.767418853167</v>
      </c>
      <c r="O51">
        <f>NORMDIST(N51,$E$2,$E$6,1)-SUM($O$30:O50)</f>
        <v>1.394945796491287E-2</v>
      </c>
    </row>
    <row r="52" spans="13:15">
      <c r="M52">
        <v>-1.3</v>
      </c>
      <c r="N52" s="20">
        <f t="shared" si="0"/>
        <v>49535.59355560175</v>
      </c>
      <c r="O52">
        <f>NORMDIST(N52,$E$2,$E$6,1)-SUM($O$30:O51)</f>
        <v>1.6043825351839347E-2</v>
      </c>
    </row>
    <row r="53" spans="13:15">
      <c r="M53">
        <v>-1.2</v>
      </c>
      <c r="N53" s="20">
        <f t="shared" si="0"/>
        <v>49745.419692350333</v>
      </c>
      <c r="O53">
        <f>NORMDIST(N53,$E$2,$E$6,1)-SUM($O$30:O52)</f>
        <v>1.8269185636097807E-2</v>
      </c>
    </row>
    <row r="54" spans="13:15">
      <c r="M54">
        <v>-1.1000000000000001</v>
      </c>
      <c r="N54" s="20">
        <f t="shared" si="0"/>
        <v>49955.245829098916</v>
      </c>
      <c r="O54">
        <f>NORMDIST(N54,$E$2,$E$6,1)-SUM($O$30:O53)</f>
        <v>2.0596390724674341E-2</v>
      </c>
    </row>
    <row r="55" spans="13:15">
      <c r="M55">
        <v>-1</v>
      </c>
      <c r="N55" s="20">
        <f t="shared" si="0"/>
        <v>50165.071965847499</v>
      </c>
      <c r="O55">
        <f>NORMDIST(N55,$E$2,$E$6,1)-SUM($O$30:O54)</f>
        <v>2.2989192985074292E-2</v>
      </c>
    </row>
    <row r="56" spans="13:15">
      <c r="M56">
        <v>-0.9</v>
      </c>
      <c r="N56" s="20">
        <f t="shared" si="0"/>
        <v>50374.898102596082</v>
      </c>
      <c r="O56">
        <f>NORMDIST(N56,$E$2,$E$6,1)-SUM($O$30:O55)</f>
        <v>2.5404871415302455E-2</v>
      </c>
    </row>
    <row r="57" spans="13:15">
      <c r="M57">
        <v>-0.8</v>
      </c>
      <c r="N57" s="20">
        <f t="shared" si="0"/>
        <v>50584.724239344665</v>
      </c>
      <c r="O57">
        <f>NORMDIST(N57,$E$2,$E$6,1)-SUM($O$30:O56)</f>
        <v>2.7795273236636997E-2</v>
      </c>
    </row>
    <row r="58" spans="13:15">
      <c r="M58">
        <v>-0.7</v>
      </c>
      <c r="N58" s="20">
        <f t="shared" si="0"/>
        <v>50794.550376093248</v>
      </c>
      <c r="O58">
        <f>NORMDIST(N58,$E$2,$E$6,1)-SUM($O$30:O57)</f>
        <v>3.0108253639676175E-2</v>
      </c>
    </row>
    <row r="59" spans="13:15">
      <c r="M59">
        <v>-0.6</v>
      </c>
      <c r="N59" s="20">
        <f t="shared" si="0"/>
        <v>51004.376512841831</v>
      </c>
      <c r="O59">
        <f>NORMDIST(N59,$E$2,$E$6,1)-SUM($O$30:O58)</f>
        <v>3.2289465527000516E-2</v>
      </c>
    </row>
    <row r="60" spans="13:15">
      <c r="M60">
        <v>-0.5</v>
      </c>
      <c r="N60" s="20">
        <f t="shared" si="0"/>
        <v>51214.202649590421</v>
      </c>
      <c r="O60">
        <f>NORMDIST(N60,$E$2,$E$6,1)-SUM($O$30:O59)</f>
        <v>3.4284420975914331E-2</v>
      </c>
    </row>
    <row r="61" spans="13:15">
      <c r="M61">
        <v>-0.4</v>
      </c>
      <c r="N61" s="20">
        <f t="shared" si="0"/>
        <v>51424.028786339004</v>
      </c>
      <c r="O61">
        <f>NORMDIST(N61,$E$2,$E$6,1)-SUM($O$30:O60)</f>
        <v>3.6040719663688825E-2</v>
      </c>
    </row>
    <row r="62" spans="13:15">
      <c r="M62">
        <v>-0.3</v>
      </c>
      <c r="N62" s="20">
        <f t="shared" ref="N62:N93" si="1">$E$2+M62*$E$6</f>
        <v>51633.854923087587</v>
      </c>
      <c r="O62">
        <f>NORMDIST(N62,$E$2,$E$6,1)-SUM($O$30:O61)</f>
        <v>3.7510319421371507E-2</v>
      </c>
    </row>
    <row r="63" spans="13:15">
      <c r="M63">
        <v>-0.2</v>
      </c>
      <c r="N63" s="20">
        <f t="shared" si="1"/>
        <v>51843.68105983617</v>
      </c>
      <c r="O63">
        <f>NORMDIST(N63,$E$2,$E$6,1)-SUM($O$30:O62)</f>
        <v>3.8651712749849465E-2</v>
      </c>
    </row>
    <row r="64" spans="13:15">
      <c r="M64">
        <v>-0.1</v>
      </c>
      <c r="N64" s="20">
        <f t="shared" si="1"/>
        <v>52053.507196584753</v>
      </c>
      <c r="O64">
        <f>NORMDIST(N64,$E$2,$E$6,1)-SUM($O$30:O63)</f>
        <v>3.9431872162073889E-2</v>
      </c>
    </row>
    <row r="65" spans="13:15">
      <c r="M65">
        <v>0</v>
      </c>
      <c r="N65" s="20">
        <f t="shared" si="1"/>
        <v>52263.333333333336</v>
      </c>
      <c r="O65">
        <f>NORMDIST(N65,$E$2,$E$6,1)-SUM($O$30:O64)</f>
        <v>3.9827837277028877E-2</v>
      </c>
    </row>
    <row r="66" spans="13:15">
      <c r="M66">
        <v>0.1</v>
      </c>
      <c r="N66" s="20">
        <f t="shared" si="1"/>
        <v>52473.159470081919</v>
      </c>
      <c r="O66">
        <f>NORMDIST(N66,$E$2,$E$6,1)-SUM($O$30:O65)</f>
        <v>3.9827837277028877E-2</v>
      </c>
    </row>
    <row r="67" spans="13:15">
      <c r="M67">
        <v>0.2</v>
      </c>
      <c r="N67" s="20">
        <f t="shared" si="1"/>
        <v>52682.985606830502</v>
      </c>
      <c r="O67">
        <f>NORMDIST(N67,$E$2,$E$6,1)-SUM($O$30:O66)</f>
        <v>3.9431872162073889E-2</v>
      </c>
    </row>
    <row r="68" spans="13:15">
      <c r="M68">
        <v>0.3</v>
      </c>
      <c r="N68" s="20">
        <f t="shared" si="1"/>
        <v>52892.811743579085</v>
      </c>
      <c r="O68">
        <f>NORMDIST(N68,$E$2,$E$6,1)-SUM($O$30:O67)</f>
        <v>3.8651712749849465E-2</v>
      </c>
    </row>
    <row r="69" spans="13:15">
      <c r="M69">
        <v>0.4</v>
      </c>
      <c r="N69" s="20">
        <f t="shared" si="1"/>
        <v>53102.637880327668</v>
      </c>
      <c r="O69">
        <f>NORMDIST(N69,$E$2,$E$6,1)-SUM($O$30:O68)</f>
        <v>3.7510319421371507E-2</v>
      </c>
    </row>
    <row r="70" spans="13:15">
      <c r="M70">
        <v>0.5</v>
      </c>
      <c r="N70" s="20">
        <f t="shared" si="1"/>
        <v>53312.46401707625</v>
      </c>
      <c r="O70">
        <f>NORMDIST(N70,$E$2,$E$6,1)-SUM($O$30:O69)</f>
        <v>3.6040719663688825E-2</v>
      </c>
    </row>
    <row r="71" spans="13:15">
      <c r="M71">
        <v>0.6</v>
      </c>
      <c r="N71" s="20">
        <f t="shared" si="1"/>
        <v>53522.290153824841</v>
      </c>
      <c r="O71">
        <f>NORMDIST(N71,$E$2,$E$6,1)-SUM($O$30:O70)</f>
        <v>3.4284420975914331E-2</v>
      </c>
    </row>
    <row r="72" spans="13:15">
      <c r="M72">
        <v>0.7</v>
      </c>
      <c r="N72" s="20">
        <f t="shared" si="1"/>
        <v>53732.116290573424</v>
      </c>
      <c r="O72">
        <f>NORMDIST(N72,$E$2,$E$6,1)-SUM($O$30:O71)</f>
        <v>3.2289465527000516E-2</v>
      </c>
    </row>
    <row r="73" spans="13:15">
      <c r="M73">
        <v>0.8</v>
      </c>
      <c r="N73" s="20">
        <f t="shared" si="1"/>
        <v>53941.942427322007</v>
      </c>
      <c r="O73">
        <f>NORMDIST(N73,$E$2,$E$6,1)-SUM($O$30:O72)</f>
        <v>3.0108253639676175E-2</v>
      </c>
    </row>
    <row r="74" spans="13:15">
      <c r="M74">
        <v>0.9</v>
      </c>
      <c r="N74" s="20">
        <f t="shared" si="1"/>
        <v>54151.768564070589</v>
      </c>
      <c r="O74">
        <f>NORMDIST(N74,$E$2,$E$6,1)-SUM($O$30:O73)</f>
        <v>2.7795273236636997E-2</v>
      </c>
    </row>
    <row r="75" spans="13:15">
      <c r="M75">
        <v>1</v>
      </c>
      <c r="N75" s="20">
        <f t="shared" si="1"/>
        <v>54361.594700819172</v>
      </c>
      <c r="O75">
        <f>NORMDIST(N75,$E$2,$E$6,1)-SUM($O$30:O74)</f>
        <v>2.5404871415302455E-2</v>
      </c>
    </row>
    <row r="76" spans="13:15">
      <c r="M76">
        <v>1.1000000000000001</v>
      </c>
      <c r="N76" s="20">
        <f t="shared" si="1"/>
        <v>54571.420837567755</v>
      </c>
      <c r="O76">
        <f>NORMDIST(N76,$E$2,$E$6,1)-SUM($O$30:O75)</f>
        <v>2.2989192985074292E-2</v>
      </c>
    </row>
    <row r="77" spans="13:15">
      <c r="M77">
        <v>1.2</v>
      </c>
      <c r="N77" s="20">
        <f t="shared" si="1"/>
        <v>54781.246974316338</v>
      </c>
      <c r="O77">
        <f>NORMDIST(N77,$E$2,$E$6,1)-SUM($O$30:O76)</f>
        <v>2.0596390724674341E-2</v>
      </c>
    </row>
    <row r="78" spans="13:15">
      <c r="M78">
        <v>1.3</v>
      </c>
      <c r="N78" s="20">
        <f t="shared" si="1"/>
        <v>54991.073111064921</v>
      </c>
      <c r="O78">
        <f>NORMDIST(N78,$E$2,$E$6,1)-SUM($O$30:O77)</f>
        <v>1.8269185636097807E-2</v>
      </c>
    </row>
    <row r="79" spans="13:15">
      <c r="M79">
        <v>1.4</v>
      </c>
      <c r="N79" s="20">
        <f t="shared" si="1"/>
        <v>55200.899247813504</v>
      </c>
      <c r="O79">
        <f>NORMDIST(N79,$E$2,$E$6,1)-SUM($O$30:O78)</f>
        <v>1.6043825351839347E-2</v>
      </c>
    </row>
    <row r="80" spans="13:15">
      <c r="M80">
        <v>1.5</v>
      </c>
      <c r="N80" s="20">
        <f t="shared" si="1"/>
        <v>55410.725384562087</v>
      </c>
      <c r="O80">
        <f>NORMDIST(N80,$E$2,$E$6,1)-SUM($O$30:O79)</f>
        <v>1.394945796491287E-2</v>
      </c>
    </row>
    <row r="81" spans="13:15">
      <c r="M81">
        <v>1.6</v>
      </c>
      <c r="N81" s="20">
        <f t="shared" si="1"/>
        <v>55620.55152131067</v>
      </c>
      <c r="O81">
        <f>NORMDIST(N81,$E$2,$E$6,1)-SUM($O$30:O80)</f>
        <v>1.2007909569300201E-2</v>
      </c>
    </row>
    <row r="82" spans="13:15">
      <c r="M82">
        <v>1.7</v>
      </c>
      <c r="N82" s="20">
        <f t="shared" si="1"/>
        <v>55830.37765805926</v>
      </c>
      <c r="O82">
        <f>NORMDIST(N82,$E$2,$E$6,1)-SUM($O$30:O81)</f>
        <v>1.0233828941015211E-2</v>
      </c>
    </row>
    <row r="83" spans="13:15">
      <c r="M83">
        <v>1.8</v>
      </c>
      <c r="N83" s="20">
        <f t="shared" si="1"/>
        <v>56040.203794807843</v>
      </c>
      <c r="O83">
        <f>NORMDIST(N83,$E$2,$E$6,1)-SUM($O$30:O82)</f>
        <v>8.6351436456170161E-3</v>
      </c>
    </row>
    <row r="84" spans="13:15">
      <c r="M84">
        <v>1.9</v>
      </c>
      <c r="N84" s="20">
        <f t="shared" si="1"/>
        <v>56250.029931556426</v>
      </c>
      <c r="O84">
        <f>NORMDIST(N84,$E$2,$E$6,1)-SUM($O$30:O83)</f>
        <v>7.2137592969239162E-3</v>
      </c>
    </row>
    <row r="85" spans="13:15">
      <c r="M85">
        <v>2.0000000000000102</v>
      </c>
      <c r="N85" s="20">
        <f t="shared" si="1"/>
        <v>56459.856068305031</v>
      </c>
      <c r="O85">
        <f>NORMDIST(N85,$E$2,$E$6,1)-SUM($O$30:O84)</f>
        <v>5.9664278678233096E-3</v>
      </c>
    </row>
    <row r="86" spans="13:15">
      <c r="M86">
        <v>2.1</v>
      </c>
      <c r="N86" s="20">
        <f t="shared" si="1"/>
        <v>56669.682205053592</v>
      </c>
      <c r="O86">
        <f>NORMDIST(N86,$E$2,$E$6,1)-SUM($O$30:O85)</f>
        <v>4.8857113853622014E-3</v>
      </c>
    </row>
    <row r="87" spans="13:15">
      <c r="M87">
        <v>2.2000000000000002</v>
      </c>
      <c r="N87" s="20">
        <f t="shared" si="1"/>
        <v>56879.508341802175</v>
      </c>
      <c r="O87">
        <f>NORMDIST(N87,$E$2,$E$6,1)-SUM($O$30:O86)</f>
        <v>3.9609730493179729E-3</v>
      </c>
    </row>
    <row r="88" spans="13:15">
      <c r="M88">
        <v>2.30000000000001</v>
      </c>
      <c r="N88" s="20">
        <f t="shared" si="1"/>
        <v>57089.33447855078</v>
      </c>
      <c r="O88">
        <f>NORMDIST(N88,$E$2,$E$6,1)-SUM($O$30:O87)</f>
        <v>3.1793374918227535E-3</v>
      </c>
    </row>
    <row r="89" spans="13:15">
      <c r="M89">
        <v>2.4000000000000101</v>
      </c>
      <c r="N89" s="20">
        <f t="shared" si="1"/>
        <v>57299.160615299363</v>
      </c>
      <c r="O89">
        <f>NORMDIST(N89,$E$2,$E$6,1)-SUM($O$30:O88)</f>
        <v>2.5265740970797923E-3</v>
      </c>
    </row>
    <row r="90" spans="13:15">
      <c r="M90">
        <v>2.5000000000000102</v>
      </c>
      <c r="N90" s="20">
        <f t="shared" si="1"/>
        <v>57508.986752047946</v>
      </c>
      <c r="O90">
        <f>NORMDIST(N90,$E$2,$E$6,1)-SUM($O$30:O89)</f>
        <v>1.9878705988199963E-3</v>
      </c>
    </row>
    <row r="91" spans="13:15">
      <c r="M91">
        <v>2.6</v>
      </c>
      <c r="N91" s="20">
        <f t="shared" si="1"/>
        <v>57718.812888796514</v>
      </c>
      <c r="O91">
        <f>NORMDIST(N91,$E$2,$E$6,1)-SUM($O$30:O90)</f>
        <v>1.5484773020573162E-3</v>
      </c>
    </row>
    <row r="92" spans="13:15">
      <c r="M92">
        <v>2.7000000000000099</v>
      </c>
      <c r="N92" s="20">
        <f t="shared" si="1"/>
        <v>57928.639025545112</v>
      </c>
      <c r="O92">
        <f>NORMDIST(N92,$E$2,$E$6,1)-SUM($O$30:O91)</f>
        <v>1.1942142206777806E-3</v>
      </c>
    </row>
    <row r="93" spans="13:15">
      <c r="M93">
        <v>2.80000000000001</v>
      </c>
      <c r="N93" s="20">
        <f t="shared" si="1"/>
        <v>58138.465162293694</v>
      </c>
      <c r="O93">
        <f>NORMDIST(N93,$E$2,$E$6,1)-SUM($O$30:O92)</f>
        <v>9.1184347261297205E-4</v>
      </c>
    </row>
    <row r="94" spans="13:15">
      <c r="M94">
        <v>2.9000000000000101</v>
      </c>
      <c r="N94" s="20">
        <f t="shared" ref="N94:N100" si="2">$E$2+M94*$E$6</f>
        <v>58348.291299042285</v>
      </c>
      <c r="O94">
        <f>NORMDIST(N94,$E$2,$E$6,1)-SUM($O$30:O93)</f>
        <v>6.8931703004426748E-4</v>
      </c>
    </row>
    <row r="95" spans="13:15">
      <c r="M95">
        <v>3.0000000000000102</v>
      </c>
      <c r="N95" s="20">
        <f t="shared" si="2"/>
        <v>58558.117435790868</v>
      </c>
      <c r="O95">
        <f>NORMDIST(N95,$E$2,$E$6,1)-SUM($O$30:O94)</f>
        <v>5.1591526875338634E-4</v>
      </c>
    </row>
    <row r="96" spans="13:15">
      <c r="M96">
        <v>3.1000000000000099</v>
      </c>
      <c r="N96" s="20">
        <f t="shared" si="2"/>
        <v>58767.943572539451</v>
      </c>
      <c r="O96">
        <f>NORMDIST(N96,$E$2,$E$6,1)-SUM($O$30:O95)</f>
        <v>3.8229481841145496E-4</v>
      </c>
    </row>
    <row r="97" spans="13:15">
      <c r="M97">
        <v>3.2000000000000099</v>
      </c>
      <c r="N97" s="20">
        <f t="shared" si="2"/>
        <v>58977.769709288033</v>
      </c>
      <c r="O97">
        <f>NORMDIST(N97,$E$2,$E$6,1)-SUM($O$30:O96)</f>
        <v>2.8046527530223297E-4</v>
      </c>
    </row>
    <row r="98" spans="13:15">
      <c r="M98">
        <v>3.30000000000001</v>
      </c>
      <c r="N98" s="20">
        <f t="shared" si="2"/>
        <v>59187.595846036616</v>
      </c>
      <c r="O98">
        <f>NORMDIST(N98,$E$2,$E$6,1)-SUM($O$30:O97)</f>
        <v>2.0371379553263402E-4</v>
      </c>
    </row>
    <row r="99" spans="13:15">
      <c r="M99">
        <v>3.4000000000000101</v>
      </c>
      <c r="N99" s="20">
        <f t="shared" si="2"/>
        <v>59397.421982785199</v>
      </c>
      <c r="O99">
        <f>NORMDIST(N99,$E$2,$E$6,1)-SUM($O$30:O98)</f>
        <v>1.4649487670781447E-4</v>
      </c>
    </row>
    <row r="100" spans="13:15">
      <c r="M100">
        <v>3.5000000000000102</v>
      </c>
      <c r="N100" s="20">
        <f t="shared" si="2"/>
        <v>59607.248119533782</v>
      </c>
      <c r="O100">
        <f>NORMDIST(N100,$E$2,$E$6,1)-SUM($O$30:O99)</f>
        <v>1.0430018664076002E-4</v>
      </c>
    </row>
  </sheetData>
  <phoneticPr fontId="17" type="noConversion"/>
  <printOptions gridLines="1" gridLinesSet="0"/>
  <pageMargins left="0.78740157480314965" right="0.78740157480314965" top="0.98425196850393704" bottom="0.98425196850393704" header="0.51181102362204722" footer="0.51181102362204722"/>
  <pageSetup paperSize="9" orientation="landscape"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dimension ref="A1:F503"/>
  <sheetViews>
    <sheetView workbookViewId="0"/>
  </sheetViews>
  <sheetFormatPr defaultColWidth="11.42578125" defaultRowHeight="12.75"/>
  <cols>
    <col min="1" max="2" width="11.42578125" style="185" customWidth="1"/>
    <col min="3" max="3" width="13.28515625" style="185" customWidth="1"/>
    <col min="4" max="16384" width="11.42578125" style="185"/>
  </cols>
  <sheetData>
    <row r="1" spans="1:6">
      <c r="A1" s="184" t="s">
        <v>200</v>
      </c>
    </row>
    <row r="2" spans="1:6">
      <c r="A2" s="184"/>
      <c r="C2" s="186" t="s">
        <v>453</v>
      </c>
      <c r="D2" s="187">
        <f>COUNT(A4:A503)</f>
        <v>500</v>
      </c>
    </row>
    <row r="3" spans="1:6">
      <c r="A3" s="186" t="s">
        <v>203</v>
      </c>
      <c r="B3" s="186" t="s">
        <v>204</v>
      </c>
      <c r="C3" s="187" t="s">
        <v>205</v>
      </c>
      <c r="D3" s="187">
        <v>30</v>
      </c>
      <c r="E3" s="185" t="s">
        <v>498</v>
      </c>
      <c r="F3" s="188">
        <f>AVERAGE(A4:A503)</f>
        <v>116</v>
      </c>
    </row>
    <row r="4" spans="1:6">
      <c r="A4" s="185">
        <v>133</v>
      </c>
      <c r="B4" s="185">
        <f t="shared" ref="B4:B67" ca="1" si="0">RAND()</f>
        <v>2.5404831791504989E-2</v>
      </c>
      <c r="C4">
        <f ca="1">IF(B4&lt;=PERCENTILE($B$4:$B$503,$D$3/$D$2),A4,"")</f>
        <v>133</v>
      </c>
      <c r="E4" s="185" t="s">
        <v>28</v>
      </c>
      <c r="F4" s="189">
        <f ca="1">AVERAGE(C4:C503)</f>
        <v>118.16666666666667</v>
      </c>
    </row>
    <row r="5" spans="1:6">
      <c r="A5" s="185">
        <v>111</v>
      </c>
      <c r="B5" s="185">
        <f t="shared" ca="1" si="0"/>
        <v>0.97284624511349715</v>
      </c>
      <c r="C5" t="str">
        <f t="shared" ref="C5:C68" ca="1" si="1">IF(B5&lt;=PERCENTILE($B$4:$B$503,$D$3/$D$2),A5,"")</f>
        <v/>
      </c>
      <c r="E5" s="185" t="s">
        <v>206</v>
      </c>
      <c r="F5" s="188">
        <f ca="1">VAR(C4:C503)</f>
        <v>538.41954022988568</v>
      </c>
    </row>
    <row r="6" spans="1:6">
      <c r="A6" s="185">
        <v>121</v>
      </c>
      <c r="B6" s="185">
        <f t="shared" ca="1" si="0"/>
        <v>0.78230597625187515</v>
      </c>
      <c r="C6" t="str">
        <f t="shared" ca="1" si="1"/>
        <v/>
      </c>
      <c r="E6" s="185" t="s">
        <v>108</v>
      </c>
      <c r="F6" s="188">
        <f ca="1">STDEV(C4:C503)</f>
        <v>23.203869078881773</v>
      </c>
    </row>
    <row r="7" spans="1:6">
      <c r="A7" s="185">
        <v>108</v>
      </c>
      <c r="B7" s="185">
        <f t="shared" ca="1" si="0"/>
        <v>0.96668202988208418</v>
      </c>
      <c r="C7" t="str">
        <f t="shared" ca="1" si="1"/>
        <v/>
      </c>
      <c r="E7" s="185" t="s">
        <v>211</v>
      </c>
      <c r="F7" s="185">
        <f ca="1">COUNT(C4:C503)</f>
        <v>30</v>
      </c>
    </row>
    <row r="8" spans="1:6">
      <c r="A8" s="185">
        <v>120</v>
      </c>
      <c r="B8" s="185">
        <f t="shared" ca="1" si="0"/>
        <v>0.89283137541514801</v>
      </c>
      <c r="C8" t="str">
        <f t="shared" ca="1" si="1"/>
        <v/>
      </c>
      <c r="E8" s="185" t="s">
        <v>207</v>
      </c>
      <c r="F8" s="189">
        <f ca="1">F6/SQRT(F7)*SQRT((D2-D3)/(D2-1))</f>
        <v>4.1114823971661973</v>
      </c>
    </row>
    <row r="9" spans="1:6">
      <c r="A9" s="185">
        <v>83</v>
      </c>
      <c r="B9" s="185">
        <f t="shared" ca="1" si="0"/>
        <v>0.40787444489994051</v>
      </c>
      <c r="C9" t="str">
        <f t="shared" ca="1" si="1"/>
        <v/>
      </c>
    </row>
    <row r="10" spans="1:6">
      <c r="A10" s="185">
        <v>169</v>
      </c>
      <c r="B10" s="185">
        <f t="shared" ca="1" si="0"/>
        <v>4.6059526653213112E-2</v>
      </c>
      <c r="C10">
        <f t="shared" ca="1" si="1"/>
        <v>169</v>
      </c>
      <c r="E10" s="190">
        <v>0.95</v>
      </c>
      <c r="F10" s="185" t="s">
        <v>525</v>
      </c>
    </row>
    <row r="11" spans="1:6">
      <c r="A11" s="185">
        <v>120</v>
      </c>
      <c r="B11" s="185">
        <f t="shared" ca="1" si="0"/>
        <v>0.5796691898611952</v>
      </c>
      <c r="C11" t="str">
        <f t="shared" ca="1" si="1"/>
        <v/>
      </c>
      <c r="E11" s="186" t="s">
        <v>51</v>
      </c>
      <c r="F11" s="189">
        <f ca="1">F$4+NORMSINV((1-E10)/2)*F$8</f>
        <v>110.10830924515052</v>
      </c>
    </row>
    <row r="12" spans="1:6">
      <c r="A12" s="185">
        <v>131</v>
      </c>
      <c r="B12" s="185">
        <f t="shared" ca="1" si="0"/>
        <v>0.32828284079287307</v>
      </c>
      <c r="C12" t="str">
        <f t="shared" ca="1" si="1"/>
        <v/>
      </c>
      <c r="E12" s="186" t="s">
        <v>52</v>
      </c>
      <c r="F12" s="189">
        <f ca="1">F$4-NORMSINV((1-E10)/2)*F$8</f>
        <v>126.22502408818282</v>
      </c>
    </row>
    <row r="13" spans="1:6">
      <c r="A13" s="185">
        <v>101</v>
      </c>
      <c r="B13" s="185">
        <f t="shared" ca="1" si="0"/>
        <v>0.22674417115790391</v>
      </c>
      <c r="C13" t="str">
        <f t="shared" ca="1" si="1"/>
        <v/>
      </c>
    </row>
    <row r="14" spans="1:6">
      <c r="A14" s="185">
        <v>87</v>
      </c>
      <c r="B14" s="185">
        <f t="shared" ca="1" si="0"/>
        <v>0.27876715440001343</v>
      </c>
      <c r="C14" t="str">
        <f t="shared" ca="1" si="1"/>
        <v/>
      </c>
    </row>
    <row r="15" spans="1:6">
      <c r="A15" s="185">
        <v>96</v>
      </c>
      <c r="B15" s="185">
        <f t="shared" ca="1" si="0"/>
        <v>0.33391249492223185</v>
      </c>
      <c r="C15" t="str">
        <f t="shared" ca="1" si="1"/>
        <v/>
      </c>
    </row>
    <row r="16" spans="1:6">
      <c r="A16" s="185">
        <v>98</v>
      </c>
      <c r="B16" s="185">
        <f t="shared" ca="1" si="0"/>
        <v>0.59640081094238573</v>
      </c>
      <c r="C16" t="str">
        <f t="shared" ca="1" si="1"/>
        <v/>
      </c>
    </row>
    <row r="17" spans="1:3">
      <c r="A17" s="185">
        <v>138</v>
      </c>
      <c r="B17" s="185">
        <f t="shared" ca="1" si="0"/>
        <v>0.85329488153059252</v>
      </c>
      <c r="C17" t="str">
        <f t="shared" ca="1" si="1"/>
        <v/>
      </c>
    </row>
    <row r="18" spans="1:3">
      <c r="A18" s="185">
        <v>118</v>
      </c>
      <c r="B18" s="185">
        <f t="shared" ca="1" si="0"/>
        <v>0.27216023986136451</v>
      </c>
      <c r="C18" t="str">
        <f t="shared" ca="1" si="1"/>
        <v/>
      </c>
    </row>
    <row r="19" spans="1:3">
      <c r="A19" s="185">
        <v>130</v>
      </c>
      <c r="B19" s="185">
        <f t="shared" ca="1" si="0"/>
        <v>0.86586364914252467</v>
      </c>
      <c r="C19" t="str">
        <f t="shared" ca="1" si="1"/>
        <v/>
      </c>
    </row>
    <row r="20" spans="1:3">
      <c r="A20" s="185">
        <v>134</v>
      </c>
      <c r="B20" s="185">
        <f t="shared" ca="1" si="0"/>
        <v>0.23480584207932353</v>
      </c>
      <c r="C20" t="str">
        <f t="shared" ca="1" si="1"/>
        <v/>
      </c>
    </row>
    <row r="21" spans="1:3">
      <c r="A21" s="185">
        <v>92</v>
      </c>
      <c r="B21" s="185">
        <f t="shared" ca="1" si="0"/>
        <v>0.6618402915835695</v>
      </c>
      <c r="C21" t="str">
        <f t="shared" ca="1" si="1"/>
        <v/>
      </c>
    </row>
    <row r="22" spans="1:3">
      <c r="A22" s="185">
        <v>105</v>
      </c>
      <c r="B22" s="185">
        <f t="shared" ca="1" si="0"/>
        <v>0.22130310934175323</v>
      </c>
      <c r="C22" t="str">
        <f t="shared" ca="1" si="1"/>
        <v/>
      </c>
    </row>
    <row r="23" spans="1:3">
      <c r="A23" s="185">
        <v>136</v>
      </c>
      <c r="B23" s="185">
        <f t="shared" ca="1" si="0"/>
        <v>0.16050460486620199</v>
      </c>
      <c r="C23" t="str">
        <f t="shared" ca="1" si="1"/>
        <v/>
      </c>
    </row>
    <row r="24" spans="1:3">
      <c r="A24" s="185">
        <v>107</v>
      </c>
      <c r="B24" s="185">
        <f t="shared" ca="1" si="0"/>
        <v>0.33941015471332392</v>
      </c>
      <c r="C24" t="str">
        <f t="shared" ca="1" si="1"/>
        <v/>
      </c>
    </row>
    <row r="25" spans="1:3">
      <c r="A25" s="185">
        <v>79</v>
      </c>
      <c r="B25" s="185">
        <f t="shared" ca="1" si="0"/>
        <v>0.60312307237328078</v>
      </c>
      <c r="C25" t="str">
        <f t="shared" ca="1" si="1"/>
        <v/>
      </c>
    </row>
    <row r="26" spans="1:3">
      <c r="A26" s="185">
        <v>105</v>
      </c>
      <c r="B26" s="185">
        <f t="shared" ca="1" si="0"/>
        <v>0.84975521155549161</v>
      </c>
      <c r="C26" t="str">
        <f t="shared" ca="1" si="1"/>
        <v/>
      </c>
    </row>
    <row r="27" spans="1:3">
      <c r="A27" s="185">
        <v>89</v>
      </c>
      <c r="B27" s="185">
        <f t="shared" ca="1" si="0"/>
        <v>0.33988242535368607</v>
      </c>
      <c r="C27" t="str">
        <f t="shared" ca="1" si="1"/>
        <v/>
      </c>
    </row>
    <row r="28" spans="1:3">
      <c r="A28" s="185">
        <v>88</v>
      </c>
      <c r="B28" s="185">
        <f t="shared" ca="1" si="0"/>
        <v>0.73275910255325538</v>
      </c>
      <c r="C28" t="str">
        <f t="shared" ca="1" si="1"/>
        <v/>
      </c>
    </row>
    <row r="29" spans="1:3">
      <c r="A29" s="185">
        <v>132</v>
      </c>
      <c r="B29" s="185">
        <f t="shared" ca="1" si="0"/>
        <v>8.2808644840732804E-2</v>
      </c>
      <c r="C29" t="str">
        <f t="shared" ca="1" si="1"/>
        <v/>
      </c>
    </row>
    <row r="30" spans="1:3">
      <c r="A30" s="185">
        <v>108</v>
      </c>
      <c r="B30" s="185">
        <f t="shared" ca="1" si="0"/>
        <v>0.67381566162392659</v>
      </c>
      <c r="C30" t="str">
        <f t="shared" ca="1" si="1"/>
        <v/>
      </c>
    </row>
    <row r="31" spans="1:3">
      <c r="A31" s="185">
        <v>78</v>
      </c>
      <c r="B31" s="185">
        <f t="shared" ca="1" si="0"/>
        <v>0.48004626078168933</v>
      </c>
      <c r="C31" t="str">
        <f t="shared" ca="1" si="1"/>
        <v/>
      </c>
    </row>
    <row r="32" spans="1:3">
      <c r="A32" s="185">
        <v>134</v>
      </c>
      <c r="B32" s="185">
        <f t="shared" ca="1" si="0"/>
        <v>1.0615686724812612E-2</v>
      </c>
      <c r="C32">
        <f t="shared" ca="1" si="1"/>
        <v>134</v>
      </c>
    </row>
    <row r="33" spans="1:3">
      <c r="A33" s="185">
        <v>120</v>
      </c>
      <c r="B33" s="185">
        <f t="shared" ca="1" si="0"/>
        <v>0.20244137092711068</v>
      </c>
      <c r="C33" t="str">
        <f t="shared" ca="1" si="1"/>
        <v/>
      </c>
    </row>
    <row r="34" spans="1:3">
      <c r="A34" s="185">
        <v>134</v>
      </c>
      <c r="B34" s="185">
        <f t="shared" ca="1" si="0"/>
        <v>0.87907444609116747</v>
      </c>
      <c r="C34" t="str">
        <f t="shared" ca="1" si="1"/>
        <v/>
      </c>
    </row>
    <row r="35" spans="1:3">
      <c r="A35" s="185">
        <v>108</v>
      </c>
      <c r="B35" s="185">
        <f t="shared" ca="1" si="0"/>
        <v>0.7613355485638813</v>
      </c>
      <c r="C35" t="str">
        <f t="shared" ca="1" si="1"/>
        <v/>
      </c>
    </row>
    <row r="36" spans="1:3">
      <c r="A36" s="185">
        <v>85</v>
      </c>
      <c r="B36" s="185">
        <f t="shared" ca="1" si="0"/>
        <v>0.10527640160321639</v>
      </c>
      <c r="C36" t="str">
        <f t="shared" ca="1" si="1"/>
        <v/>
      </c>
    </row>
    <row r="37" spans="1:3">
      <c r="A37" s="185">
        <v>139</v>
      </c>
      <c r="B37" s="185">
        <f t="shared" ca="1" si="0"/>
        <v>0.83754875871038781</v>
      </c>
      <c r="C37" t="str">
        <f t="shared" ca="1" si="1"/>
        <v/>
      </c>
    </row>
    <row r="38" spans="1:3">
      <c r="A38" s="185">
        <v>80</v>
      </c>
      <c r="B38" s="185">
        <f t="shared" ca="1" si="0"/>
        <v>0.67873320871515563</v>
      </c>
      <c r="C38" t="str">
        <f t="shared" ca="1" si="1"/>
        <v/>
      </c>
    </row>
    <row r="39" spans="1:3">
      <c r="A39" s="185">
        <v>132</v>
      </c>
      <c r="B39" s="185">
        <f t="shared" ca="1" si="0"/>
        <v>0.76432011980854209</v>
      </c>
      <c r="C39" t="str">
        <f t="shared" ca="1" si="1"/>
        <v/>
      </c>
    </row>
    <row r="40" spans="1:3">
      <c r="A40" s="185">
        <v>87</v>
      </c>
      <c r="B40" s="185">
        <f t="shared" ca="1" si="0"/>
        <v>0.80400819575869953</v>
      </c>
      <c r="C40" t="str">
        <f t="shared" ca="1" si="1"/>
        <v/>
      </c>
    </row>
    <row r="41" spans="1:3">
      <c r="A41" s="185">
        <v>106</v>
      </c>
      <c r="B41" s="185">
        <f t="shared" ca="1" si="0"/>
        <v>0.93079315144311914</v>
      </c>
      <c r="C41" t="str">
        <f t="shared" ca="1" si="1"/>
        <v/>
      </c>
    </row>
    <row r="42" spans="1:3">
      <c r="A42" s="185">
        <v>92</v>
      </c>
      <c r="B42" s="185">
        <f t="shared" ca="1" si="0"/>
        <v>0.90243939119023531</v>
      </c>
      <c r="C42" t="str">
        <f t="shared" ca="1" si="1"/>
        <v/>
      </c>
    </row>
    <row r="43" spans="1:3">
      <c r="A43" s="185">
        <v>130</v>
      </c>
      <c r="B43" s="185">
        <f t="shared" ca="1" si="0"/>
        <v>0.61240637503302597</v>
      </c>
      <c r="C43" t="str">
        <f t="shared" ca="1" si="1"/>
        <v/>
      </c>
    </row>
    <row r="44" spans="1:3">
      <c r="A44" s="185">
        <v>139</v>
      </c>
      <c r="B44" s="185">
        <f t="shared" ca="1" si="0"/>
        <v>0.66866388104824015</v>
      </c>
      <c r="C44" t="str">
        <f t="shared" ca="1" si="1"/>
        <v/>
      </c>
    </row>
    <row r="45" spans="1:3">
      <c r="A45" s="185">
        <v>112</v>
      </c>
      <c r="B45" s="185">
        <f t="shared" ca="1" si="0"/>
        <v>0.53605102500625712</v>
      </c>
      <c r="C45" t="str">
        <f t="shared" ca="1" si="1"/>
        <v/>
      </c>
    </row>
    <row r="46" spans="1:3">
      <c r="A46" s="185">
        <v>151</v>
      </c>
      <c r="B46" s="185">
        <f t="shared" ca="1" si="0"/>
        <v>0.32112415791212179</v>
      </c>
      <c r="C46" t="str">
        <f t="shared" ca="1" si="1"/>
        <v/>
      </c>
    </row>
    <row r="47" spans="1:3">
      <c r="A47" s="185">
        <v>103</v>
      </c>
      <c r="B47" s="185">
        <f t="shared" ca="1" si="0"/>
        <v>0.95538380393904898</v>
      </c>
      <c r="C47" t="str">
        <f t="shared" ca="1" si="1"/>
        <v/>
      </c>
    </row>
    <row r="48" spans="1:3">
      <c r="A48" s="185">
        <v>135</v>
      </c>
      <c r="B48" s="185">
        <f t="shared" ca="1" si="0"/>
        <v>0.54906640672016405</v>
      </c>
      <c r="C48" t="str">
        <f t="shared" ca="1" si="1"/>
        <v/>
      </c>
    </row>
    <row r="49" spans="1:3">
      <c r="A49" s="185">
        <v>110</v>
      </c>
      <c r="B49" s="185">
        <f t="shared" ca="1" si="0"/>
        <v>0.53472533721898796</v>
      </c>
      <c r="C49" t="str">
        <f t="shared" ca="1" si="1"/>
        <v/>
      </c>
    </row>
    <row r="50" spans="1:3">
      <c r="A50" s="185">
        <v>107</v>
      </c>
      <c r="B50" s="185">
        <f t="shared" ca="1" si="0"/>
        <v>0.56068824292845321</v>
      </c>
      <c r="C50" t="str">
        <f t="shared" ca="1" si="1"/>
        <v/>
      </c>
    </row>
    <row r="51" spans="1:3">
      <c r="A51" s="185">
        <v>120</v>
      </c>
      <c r="B51" s="185">
        <f t="shared" ca="1" si="0"/>
        <v>0.94126887360133615</v>
      </c>
      <c r="C51" t="str">
        <f t="shared" ca="1" si="1"/>
        <v/>
      </c>
    </row>
    <row r="52" spans="1:3">
      <c r="A52" s="185">
        <v>99</v>
      </c>
      <c r="B52" s="185">
        <f t="shared" ca="1" si="0"/>
        <v>2.4045369169731323E-2</v>
      </c>
      <c r="C52">
        <f t="shared" ca="1" si="1"/>
        <v>99</v>
      </c>
    </row>
    <row r="53" spans="1:3">
      <c r="A53" s="185">
        <v>127</v>
      </c>
      <c r="B53" s="185">
        <f t="shared" ca="1" si="0"/>
        <v>0.56691362505857423</v>
      </c>
      <c r="C53" t="str">
        <f t="shared" ca="1" si="1"/>
        <v/>
      </c>
    </row>
    <row r="54" spans="1:3">
      <c r="A54" s="185">
        <v>115</v>
      </c>
      <c r="B54" s="185">
        <f t="shared" ca="1" si="0"/>
        <v>0.70865467401113769</v>
      </c>
      <c r="C54" t="str">
        <f t="shared" ca="1" si="1"/>
        <v/>
      </c>
    </row>
    <row r="55" spans="1:3">
      <c r="A55" s="185">
        <v>115</v>
      </c>
      <c r="B55" s="185">
        <f t="shared" ca="1" si="0"/>
        <v>0.99643219255072735</v>
      </c>
      <c r="C55" t="str">
        <f t="shared" ca="1" si="1"/>
        <v/>
      </c>
    </row>
    <row r="56" spans="1:3">
      <c r="A56" s="185">
        <v>103</v>
      </c>
      <c r="B56" s="185">
        <f t="shared" ca="1" si="0"/>
        <v>0.97957443634023433</v>
      </c>
      <c r="C56" t="str">
        <f t="shared" ca="1" si="1"/>
        <v/>
      </c>
    </row>
    <row r="57" spans="1:3">
      <c r="A57" s="185">
        <v>149</v>
      </c>
      <c r="B57" s="185">
        <f t="shared" ca="1" si="0"/>
        <v>0.37618203237310266</v>
      </c>
      <c r="C57" t="str">
        <f t="shared" ca="1" si="1"/>
        <v/>
      </c>
    </row>
    <row r="58" spans="1:3">
      <c r="A58" s="185">
        <v>112</v>
      </c>
      <c r="B58" s="185">
        <f t="shared" ca="1" si="0"/>
        <v>0.86824354699425443</v>
      </c>
      <c r="C58" t="str">
        <f t="shared" ca="1" si="1"/>
        <v/>
      </c>
    </row>
    <row r="59" spans="1:3">
      <c r="A59" s="185">
        <v>114</v>
      </c>
      <c r="B59" s="185">
        <f t="shared" ca="1" si="0"/>
        <v>0.40741115743843004</v>
      </c>
      <c r="C59" t="str">
        <f t="shared" ca="1" si="1"/>
        <v/>
      </c>
    </row>
    <row r="60" spans="1:3">
      <c r="A60" s="185">
        <v>115</v>
      </c>
      <c r="B60" s="185">
        <f t="shared" ca="1" si="0"/>
        <v>0.33147127922740283</v>
      </c>
      <c r="C60" t="str">
        <f t="shared" ca="1" si="1"/>
        <v/>
      </c>
    </row>
    <row r="61" spans="1:3">
      <c r="A61" s="185">
        <v>138</v>
      </c>
      <c r="B61" s="185">
        <f t="shared" ca="1" si="0"/>
        <v>0.68546671144408489</v>
      </c>
      <c r="C61" t="str">
        <f t="shared" ca="1" si="1"/>
        <v/>
      </c>
    </row>
    <row r="62" spans="1:3">
      <c r="A62" s="185">
        <v>95</v>
      </c>
      <c r="B62" s="185">
        <f t="shared" ca="1" si="0"/>
        <v>0.46303993661990273</v>
      </c>
      <c r="C62" t="str">
        <f t="shared" ca="1" si="1"/>
        <v/>
      </c>
    </row>
    <row r="63" spans="1:3">
      <c r="A63" s="185">
        <v>122</v>
      </c>
      <c r="B63" s="185">
        <f t="shared" ca="1" si="0"/>
        <v>0.46067977405023552</v>
      </c>
      <c r="C63" t="str">
        <f t="shared" ca="1" si="1"/>
        <v/>
      </c>
    </row>
    <row r="64" spans="1:3">
      <c r="A64" s="185">
        <v>111</v>
      </c>
      <c r="B64" s="185">
        <f t="shared" ca="1" si="0"/>
        <v>0.31373368951995184</v>
      </c>
      <c r="C64" t="str">
        <f t="shared" ca="1" si="1"/>
        <v/>
      </c>
    </row>
    <row r="65" spans="1:3">
      <c r="A65" s="185">
        <v>121</v>
      </c>
      <c r="B65" s="185">
        <f t="shared" ca="1" si="0"/>
        <v>0.46170780652956545</v>
      </c>
      <c r="C65" t="str">
        <f t="shared" ca="1" si="1"/>
        <v/>
      </c>
    </row>
    <row r="66" spans="1:3">
      <c r="A66" s="185">
        <v>109</v>
      </c>
      <c r="B66" s="185">
        <f t="shared" ca="1" si="0"/>
        <v>0.83001182498872117</v>
      </c>
      <c r="C66" t="str">
        <f t="shared" ca="1" si="1"/>
        <v/>
      </c>
    </row>
    <row r="67" spans="1:3">
      <c r="A67" s="185">
        <v>87</v>
      </c>
      <c r="B67" s="185">
        <f t="shared" ca="1" si="0"/>
        <v>0.16654038488141421</v>
      </c>
      <c r="C67" t="str">
        <f t="shared" ca="1" si="1"/>
        <v/>
      </c>
    </row>
    <row r="68" spans="1:3">
      <c r="A68" s="185">
        <v>102</v>
      </c>
      <c r="B68" s="185">
        <f t="shared" ref="B68:B131" ca="1" si="2">RAND()</f>
        <v>0.59749848728518562</v>
      </c>
      <c r="C68" t="str">
        <f t="shared" ca="1" si="1"/>
        <v/>
      </c>
    </row>
    <row r="69" spans="1:3">
      <c r="A69" s="185">
        <v>133</v>
      </c>
      <c r="B69" s="185">
        <f t="shared" ca="1" si="2"/>
        <v>0.18435802576436444</v>
      </c>
      <c r="C69" t="str">
        <f t="shared" ref="C69:C132" ca="1" si="3">IF(B69&lt;=PERCENTILE($B$4:$B$503,$D$3/$D$2),A69,"")</f>
        <v/>
      </c>
    </row>
    <row r="70" spans="1:3">
      <c r="A70" s="185">
        <v>102</v>
      </c>
      <c r="B70" s="185">
        <f t="shared" ca="1" si="2"/>
        <v>0.14853124721799205</v>
      </c>
      <c r="C70" t="str">
        <f t="shared" ca="1" si="3"/>
        <v/>
      </c>
    </row>
    <row r="71" spans="1:3">
      <c r="A71" s="185">
        <v>69</v>
      </c>
      <c r="B71" s="185">
        <f t="shared" ca="1" si="2"/>
        <v>0.51565363761028227</v>
      </c>
      <c r="C71" t="str">
        <f t="shared" ca="1" si="3"/>
        <v/>
      </c>
    </row>
    <row r="72" spans="1:3">
      <c r="A72" s="185">
        <v>107</v>
      </c>
      <c r="B72" s="185">
        <f t="shared" ca="1" si="2"/>
        <v>0.22261277269697843</v>
      </c>
      <c r="C72" t="str">
        <f t="shared" ca="1" si="3"/>
        <v/>
      </c>
    </row>
    <row r="73" spans="1:3">
      <c r="A73" s="185">
        <v>80</v>
      </c>
      <c r="B73" s="185">
        <f t="shared" ca="1" si="2"/>
        <v>7.8200256983101735E-2</v>
      </c>
      <c r="C73" t="str">
        <f t="shared" ca="1" si="3"/>
        <v/>
      </c>
    </row>
    <row r="74" spans="1:3">
      <c r="A74" s="185">
        <v>115</v>
      </c>
      <c r="B74" s="185">
        <f t="shared" ca="1" si="2"/>
        <v>0.46777494960050614</v>
      </c>
      <c r="C74" t="str">
        <f t="shared" ca="1" si="3"/>
        <v/>
      </c>
    </row>
    <row r="75" spans="1:3">
      <c r="A75" s="185">
        <v>86</v>
      </c>
      <c r="B75" s="185">
        <f t="shared" ca="1" si="2"/>
        <v>0.8801497671130829</v>
      </c>
      <c r="C75" t="str">
        <f t="shared" ca="1" si="3"/>
        <v/>
      </c>
    </row>
    <row r="76" spans="1:3">
      <c r="A76" s="185">
        <v>101</v>
      </c>
      <c r="B76" s="185">
        <f t="shared" ca="1" si="2"/>
        <v>0.40236397659825451</v>
      </c>
      <c r="C76" t="str">
        <f t="shared" ca="1" si="3"/>
        <v/>
      </c>
    </row>
    <row r="77" spans="1:3">
      <c r="A77" s="185">
        <v>123</v>
      </c>
      <c r="B77" s="185">
        <f t="shared" ca="1" si="2"/>
        <v>0.5945332428612371</v>
      </c>
      <c r="C77" t="str">
        <f t="shared" ca="1" si="3"/>
        <v/>
      </c>
    </row>
    <row r="78" spans="1:3">
      <c r="A78" s="185">
        <v>106</v>
      </c>
      <c r="B78" s="185">
        <f t="shared" ca="1" si="2"/>
        <v>0.69085138157597492</v>
      </c>
      <c r="C78" t="str">
        <f t="shared" ca="1" si="3"/>
        <v/>
      </c>
    </row>
    <row r="79" spans="1:3">
      <c r="A79" s="185">
        <v>124</v>
      </c>
      <c r="B79" s="185">
        <f t="shared" ca="1" si="2"/>
        <v>0.56713205713049475</v>
      </c>
      <c r="C79" t="str">
        <f t="shared" ca="1" si="3"/>
        <v/>
      </c>
    </row>
    <row r="80" spans="1:3">
      <c r="A80" s="185">
        <v>91</v>
      </c>
      <c r="B80" s="185">
        <f t="shared" ca="1" si="2"/>
        <v>0.62290557265425495</v>
      </c>
      <c r="C80" t="str">
        <f t="shared" ca="1" si="3"/>
        <v/>
      </c>
    </row>
    <row r="81" spans="1:3">
      <c r="A81" s="185">
        <v>117</v>
      </c>
      <c r="B81" s="185">
        <f t="shared" ca="1" si="2"/>
        <v>0.91382802229051774</v>
      </c>
      <c r="C81" t="str">
        <f t="shared" ca="1" si="3"/>
        <v/>
      </c>
    </row>
    <row r="82" spans="1:3">
      <c r="A82" s="185">
        <v>119</v>
      </c>
      <c r="B82" s="185">
        <f t="shared" ca="1" si="2"/>
        <v>0.578253924282917</v>
      </c>
      <c r="C82" t="str">
        <f t="shared" ca="1" si="3"/>
        <v/>
      </c>
    </row>
    <row r="83" spans="1:3">
      <c r="A83" s="185">
        <v>105</v>
      </c>
      <c r="B83" s="185">
        <f t="shared" ca="1" si="2"/>
        <v>0.13548912132913493</v>
      </c>
      <c r="C83" t="str">
        <f t="shared" ca="1" si="3"/>
        <v/>
      </c>
    </row>
    <row r="84" spans="1:3">
      <c r="A84" s="185">
        <v>118</v>
      </c>
      <c r="B84" s="185">
        <f t="shared" ca="1" si="2"/>
        <v>0.42444671792130517</v>
      </c>
      <c r="C84" t="str">
        <f t="shared" ca="1" si="3"/>
        <v/>
      </c>
    </row>
    <row r="85" spans="1:3">
      <c r="A85" s="185">
        <v>105</v>
      </c>
      <c r="B85" s="185">
        <f t="shared" ca="1" si="2"/>
        <v>8.7299827824423026E-2</v>
      </c>
      <c r="C85" t="str">
        <f t="shared" ca="1" si="3"/>
        <v/>
      </c>
    </row>
    <row r="86" spans="1:3">
      <c r="A86" s="185">
        <v>117</v>
      </c>
      <c r="B86" s="185">
        <f t="shared" ca="1" si="2"/>
        <v>0.65144541803512723</v>
      </c>
      <c r="C86" t="str">
        <f t="shared" ca="1" si="3"/>
        <v/>
      </c>
    </row>
    <row r="87" spans="1:3">
      <c r="A87" s="185">
        <v>127</v>
      </c>
      <c r="B87" s="185">
        <f t="shared" ca="1" si="2"/>
        <v>0.13315648978057371</v>
      </c>
      <c r="C87" t="str">
        <f t="shared" ca="1" si="3"/>
        <v/>
      </c>
    </row>
    <row r="88" spans="1:3">
      <c r="A88" s="185">
        <v>141</v>
      </c>
      <c r="B88" s="185">
        <f t="shared" ca="1" si="2"/>
        <v>0.25732957719764205</v>
      </c>
      <c r="C88" t="str">
        <f t="shared" ca="1" si="3"/>
        <v/>
      </c>
    </row>
    <row r="89" spans="1:3">
      <c r="A89" s="185">
        <v>145</v>
      </c>
      <c r="B89" s="185">
        <f t="shared" ca="1" si="2"/>
        <v>0.53044637309368303</v>
      </c>
      <c r="C89" t="str">
        <f t="shared" ca="1" si="3"/>
        <v/>
      </c>
    </row>
    <row r="90" spans="1:3">
      <c r="A90" s="185">
        <v>119</v>
      </c>
      <c r="B90" s="185">
        <f t="shared" ca="1" si="2"/>
        <v>0.48473699168409645</v>
      </c>
      <c r="C90" t="str">
        <f t="shared" ca="1" si="3"/>
        <v/>
      </c>
    </row>
    <row r="91" spans="1:3">
      <c r="A91" s="185">
        <v>114</v>
      </c>
      <c r="B91" s="185">
        <f t="shared" ca="1" si="2"/>
        <v>0.97462032816007427</v>
      </c>
      <c r="C91" t="str">
        <f t="shared" ca="1" si="3"/>
        <v/>
      </c>
    </row>
    <row r="92" spans="1:3">
      <c r="A92" s="185">
        <v>107</v>
      </c>
      <c r="B92" s="185">
        <f t="shared" ca="1" si="2"/>
        <v>0.12391868973602982</v>
      </c>
      <c r="C92" t="str">
        <f t="shared" ca="1" si="3"/>
        <v/>
      </c>
    </row>
    <row r="93" spans="1:3">
      <c r="A93" s="185">
        <v>119</v>
      </c>
      <c r="B93" s="185">
        <f t="shared" ca="1" si="2"/>
        <v>0.77278506070953767</v>
      </c>
      <c r="C93" t="str">
        <f t="shared" ca="1" si="3"/>
        <v/>
      </c>
    </row>
    <row r="94" spans="1:3">
      <c r="A94" s="185">
        <v>125</v>
      </c>
      <c r="B94" s="185">
        <f t="shared" ca="1" si="2"/>
        <v>0.32464380140287208</v>
      </c>
      <c r="C94" t="str">
        <f t="shared" ca="1" si="3"/>
        <v/>
      </c>
    </row>
    <row r="95" spans="1:3">
      <c r="A95" s="185">
        <v>97</v>
      </c>
      <c r="B95" s="185">
        <f t="shared" ca="1" si="2"/>
        <v>7.5179338837004117E-2</v>
      </c>
      <c r="C95" t="str">
        <f t="shared" ca="1" si="3"/>
        <v/>
      </c>
    </row>
    <row r="96" spans="1:3">
      <c r="A96" s="185">
        <v>85</v>
      </c>
      <c r="B96" s="185">
        <f t="shared" ca="1" si="2"/>
        <v>0.51993542470494525</v>
      </c>
      <c r="C96" t="str">
        <f t="shared" ca="1" si="3"/>
        <v/>
      </c>
    </row>
    <row r="97" spans="1:3">
      <c r="A97" s="185">
        <v>111</v>
      </c>
      <c r="B97" s="185">
        <f t="shared" ca="1" si="2"/>
        <v>0.33500317762654963</v>
      </c>
      <c r="C97" t="str">
        <f t="shared" ca="1" si="3"/>
        <v/>
      </c>
    </row>
    <row r="98" spans="1:3">
      <c r="A98" s="185">
        <v>126</v>
      </c>
      <c r="B98" s="185">
        <f t="shared" ca="1" si="2"/>
        <v>0.44075496769670419</v>
      </c>
      <c r="C98" t="str">
        <f t="shared" ca="1" si="3"/>
        <v/>
      </c>
    </row>
    <row r="99" spans="1:3">
      <c r="A99" s="185">
        <v>124</v>
      </c>
      <c r="B99" s="185">
        <f t="shared" ca="1" si="2"/>
        <v>0.30134972004080396</v>
      </c>
      <c r="C99" t="str">
        <f t="shared" ca="1" si="3"/>
        <v/>
      </c>
    </row>
    <row r="100" spans="1:3">
      <c r="A100" s="185">
        <v>102</v>
      </c>
      <c r="B100" s="185">
        <f t="shared" ca="1" si="2"/>
        <v>9.859497264099204E-2</v>
      </c>
      <c r="C100" t="str">
        <f t="shared" ca="1" si="3"/>
        <v/>
      </c>
    </row>
    <row r="101" spans="1:3">
      <c r="A101" s="185">
        <v>121</v>
      </c>
      <c r="B101" s="185">
        <f t="shared" ca="1" si="2"/>
        <v>0.66537246134224493</v>
      </c>
      <c r="C101" t="str">
        <f t="shared" ca="1" si="3"/>
        <v/>
      </c>
    </row>
    <row r="102" spans="1:3">
      <c r="A102" s="185">
        <v>103</v>
      </c>
      <c r="B102" s="185">
        <f t="shared" ca="1" si="2"/>
        <v>0.98385152039670687</v>
      </c>
      <c r="C102" t="str">
        <f t="shared" ca="1" si="3"/>
        <v/>
      </c>
    </row>
    <row r="103" spans="1:3">
      <c r="A103" s="185">
        <v>128</v>
      </c>
      <c r="B103" s="185">
        <f t="shared" ca="1" si="2"/>
        <v>0.93024889324907711</v>
      </c>
      <c r="C103" t="str">
        <f t="shared" ca="1" si="3"/>
        <v/>
      </c>
    </row>
    <row r="104" spans="1:3">
      <c r="A104" s="185">
        <v>119</v>
      </c>
      <c r="B104" s="185">
        <f t="shared" ca="1" si="2"/>
        <v>3.7489637426619815E-2</v>
      </c>
      <c r="C104">
        <f t="shared" ca="1" si="3"/>
        <v>119</v>
      </c>
    </row>
    <row r="105" spans="1:3">
      <c r="A105" s="185">
        <v>115</v>
      </c>
      <c r="B105" s="185">
        <f t="shared" ca="1" si="2"/>
        <v>0.55666269536544544</v>
      </c>
      <c r="C105" t="str">
        <f t="shared" ca="1" si="3"/>
        <v/>
      </c>
    </row>
    <row r="106" spans="1:3">
      <c r="A106" s="185">
        <v>96</v>
      </c>
      <c r="B106" s="185">
        <f t="shared" ca="1" si="2"/>
        <v>9.514199005677515E-3</v>
      </c>
      <c r="C106">
        <f t="shared" ca="1" si="3"/>
        <v>96</v>
      </c>
    </row>
    <row r="107" spans="1:3">
      <c r="A107" s="185">
        <v>124</v>
      </c>
      <c r="B107" s="185">
        <f t="shared" ca="1" si="2"/>
        <v>0.33357032218318849</v>
      </c>
      <c r="C107" t="str">
        <f t="shared" ca="1" si="3"/>
        <v/>
      </c>
    </row>
    <row r="108" spans="1:3">
      <c r="A108" s="185">
        <v>127</v>
      </c>
      <c r="B108" s="185">
        <f t="shared" ca="1" si="2"/>
        <v>0.7685874447916794</v>
      </c>
      <c r="C108" t="str">
        <f t="shared" ca="1" si="3"/>
        <v/>
      </c>
    </row>
    <row r="109" spans="1:3">
      <c r="A109" s="185">
        <v>114</v>
      </c>
      <c r="B109" s="185">
        <f t="shared" ca="1" si="2"/>
        <v>0.99635036786198783</v>
      </c>
      <c r="C109" t="str">
        <f t="shared" ca="1" si="3"/>
        <v/>
      </c>
    </row>
    <row r="110" spans="1:3">
      <c r="A110" s="185">
        <v>78</v>
      </c>
      <c r="B110" s="185">
        <f t="shared" ca="1" si="2"/>
        <v>0.4531630661328121</v>
      </c>
      <c r="C110" t="str">
        <f t="shared" ca="1" si="3"/>
        <v/>
      </c>
    </row>
    <row r="111" spans="1:3">
      <c r="A111" s="185">
        <v>110</v>
      </c>
      <c r="B111" s="185">
        <f t="shared" ca="1" si="2"/>
        <v>0.98237657356644359</v>
      </c>
      <c r="C111" t="str">
        <f t="shared" ca="1" si="3"/>
        <v/>
      </c>
    </row>
    <row r="112" spans="1:3">
      <c r="A112" s="185">
        <v>113</v>
      </c>
      <c r="B112" s="185">
        <f t="shared" ca="1" si="2"/>
        <v>0.33611661314811414</v>
      </c>
      <c r="C112" t="str">
        <f t="shared" ca="1" si="3"/>
        <v/>
      </c>
    </row>
    <row r="113" spans="1:3">
      <c r="A113" s="185">
        <v>102</v>
      </c>
      <c r="B113" s="185">
        <f t="shared" ca="1" si="2"/>
        <v>0.29980206588484748</v>
      </c>
      <c r="C113" t="str">
        <f t="shared" ca="1" si="3"/>
        <v/>
      </c>
    </row>
    <row r="114" spans="1:3">
      <c r="A114" s="185">
        <v>106</v>
      </c>
      <c r="B114" s="185">
        <f t="shared" ca="1" si="2"/>
        <v>0.65317303314642272</v>
      </c>
      <c r="C114" t="str">
        <f t="shared" ca="1" si="3"/>
        <v/>
      </c>
    </row>
    <row r="115" spans="1:3">
      <c r="A115" s="185">
        <v>111</v>
      </c>
      <c r="B115" s="185">
        <f t="shared" ca="1" si="2"/>
        <v>0.61204365046295184</v>
      </c>
      <c r="C115" t="str">
        <f t="shared" ca="1" si="3"/>
        <v/>
      </c>
    </row>
    <row r="116" spans="1:3">
      <c r="A116" s="185">
        <v>129</v>
      </c>
      <c r="B116" s="185">
        <f t="shared" ca="1" si="2"/>
        <v>3.6576456775193167E-2</v>
      </c>
      <c r="C116">
        <f t="shared" ca="1" si="3"/>
        <v>129</v>
      </c>
    </row>
    <row r="117" spans="1:3">
      <c r="A117" s="185">
        <v>117</v>
      </c>
      <c r="B117" s="185">
        <f t="shared" ca="1" si="2"/>
        <v>0.26586302565816844</v>
      </c>
      <c r="C117" t="str">
        <f t="shared" ca="1" si="3"/>
        <v/>
      </c>
    </row>
    <row r="118" spans="1:3">
      <c r="A118" s="185">
        <v>128</v>
      </c>
      <c r="B118" s="185">
        <f t="shared" ca="1" si="2"/>
        <v>0.43971882737634971</v>
      </c>
      <c r="C118" t="str">
        <f t="shared" ca="1" si="3"/>
        <v/>
      </c>
    </row>
    <row r="119" spans="1:3">
      <c r="A119" s="185">
        <v>115</v>
      </c>
      <c r="B119" s="185">
        <f t="shared" ca="1" si="2"/>
        <v>0.74497007706685192</v>
      </c>
      <c r="C119" t="str">
        <f t="shared" ca="1" si="3"/>
        <v/>
      </c>
    </row>
    <row r="120" spans="1:3">
      <c r="A120" s="185">
        <v>92</v>
      </c>
      <c r="B120" s="185">
        <f t="shared" ca="1" si="2"/>
        <v>0.70354877212504108</v>
      </c>
      <c r="C120" t="str">
        <f t="shared" ca="1" si="3"/>
        <v/>
      </c>
    </row>
    <row r="121" spans="1:3">
      <c r="A121" s="185">
        <v>135</v>
      </c>
      <c r="B121" s="185">
        <f t="shared" ca="1" si="2"/>
        <v>1.6328808683305773E-2</v>
      </c>
      <c r="C121">
        <f t="shared" ca="1" si="3"/>
        <v>135</v>
      </c>
    </row>
    <row r="122" spans="1:3">
      <c r="A122" s="185">
        <v>123</v>
      </c>
      <c r="B122" s="185">
        <f t="shared" ca="1" si="2"/>
        <v>0.48856893497995468</v>
      </c>
      <c r="C122" t="str">
        <f t="shared" ca="1" si="3"/>
        <v/>
      </c>
    </row>
    <row r="123" spans="1:3">
      <c r="A123" s="185">
        <v>138</v>
      </c>
      <c r="B123" s="185">
        <f t="shared" ca="1" si="2"/>
        <v>0.61460587804407218</v>
      </c>
      <c r="C123" t="str">
        <f t="shared" ca="1" si="3"/>
        <v/>
      </c>
    </row>
    <row r="124" spans="1:3">
      <c r="A124" s="185">
        <v>131</v>
      </c>
      <c r="B124" s="185">
        <f t="shared" ca="1" si="2"/>
        <v>0.21953184724283403</v>
      </c>
      <c r="C124" t="str">
        <f t="shared" ca="1" si="3"/>
        <v/>
      </c>
    </row>
    <row r="125" spans="1:3">
      <c r="A125" s="185">
        <v>168</v>
      </c>
      <c r="B125" s="185">
        <f t="shared" ca="1" si="2"/>
        <v>0.84363159357727735</v>
      </c>
      <c r="C125" t="str">
        <f t="shared" ca="1" si="3"/>
        <v/>
      </c>
    </row>
    <row r="126" spans="1:3">
      <c r="A126" s="185">
        <v>108</v>
      </c>
      <c r="B126" s="185">
        <f t="shared" ca="1" si="2"/>
        <v>0.78791778045857175</v>
      </c>
      <c r="C126" t="str">
        <f t="shared" ca="1" si="3"/>
        <v/>
      </c>
    </row>
    <row r="127" spans="1:3">
      <c r="A127" s="185">
        <v>97</v>
      </c>
      <c r="B127" s="185">
        <f t="shared" ca="1" si="2"/>
        <v>0.41677305330782488</v>
      </c>
      <c r="C127" t="str">
        <f t="shared" ca="1" si="3"/>
        <v/>
      </c>
    </row>
    <row r="128" spans="1:3">
      <c r="A128" s="185">
        <v>113</v>
      </c>
      <c r="B128" s="185">
        <f t="shared" ca="1" si="2"/>
        <v>0.89335419414417139</v>
      </c>
      <c r="C128" t="str">
        <f t="shared" ca="1" si="3"/>
        <v/>
      </c>
    </row>
    <row r="129" spans="1:3">
      <c r="A129" s="185">
        <v>142</v>
      </c>
      <c r="B129" s="185">
        <f t="shared" ca="1" si="2"/>
        <v>6.3347662626542567E-2</v>
      </c>
      <c r="C129" t="str">
        <f t="shared" ca="1" si="3"/>
        <v/>
      </c>
    </row>
    <row r="130" spans="1:3">
      <c r="A130" s="185">
        <v>133</v>
      </c>
      <c r="B130" s="185">
        <f t="shared" ca="1" si="2"/>
        <v>9.6400094880649156E-2</v>
      </c>
      <c r="C130" t="str">
        <f t="shared" ca="1" si="3"/>
        <v/>
      </c>
    </row>
    <row r="131" spans="1:3">
      <c r="A131" s="185">
        <v>90</v>
      </c>
      <c r="B131" s="185">
        <f t="shared" ca="1" si="2"/>
        <v>0.8192097114959116</v>
      </c>
      <c r="C131" t="str">
        <f t="shared" ca="1" si="3"/>
        <v/>
      </c>
    </row>
    <row r="132" spans="1:3">
      <c r="A132" s="185">
        <v>107</v>
      </c>
      <c r="B132" s="185">
        <f t="shared" ref="B132:B195" ca="1" si="4">RAND()</f>
        <v>0.30298900468689172</v>
      </c>
      <c r="C132" t="str">
        <f t="shared" ca="1" si="3"/>
        <v/>
      </c>
    </row>
    <row r="133" spans="1:3">
      <c r="A133" s="185">
        <v>122</v>
      </c>
      <c r="B133" s="185">
        <f t="shared" ca="1" si="4"/>
        <v>0.38290963089130736</v>
      </c>
      <c r="C133" t="str">
        <f t="shared" ref="C133:C196" ca="1" si="5">IF(B133&lt;=PERCENTILE($B$4:$B$503,$D$3/$D$2),A133,"")</f>
        <v/>
      </c>
    </row>
    <row r="134" spans="1:3">
      <c r="A134" s="185">
        <v>114</v>
      </c>
      <c r="B134" s="185">
        <f t="shared" ca="1" si="4"/>
        <v>0.48276607769621327</v>
      </c>
      <c r="C134" t="str">
        <f t="shared" ca="1" si="5"/>
        <v/>
      </c>
    </row>
    <row r="135" spans="1:3">
      <c r="A135" s="185">
        <v>90</v>
      </c>
      <c r="B135" s="185">
        <f t="shared" ca="1" si="4"/>
        <v>0.13730132201006762</v>
      </c>
      <c r="C135" t="str">
        <f t="shared" ca="1" si="5"/>
        <v/>
      </c>
    </row>
    <row r="136" spans="1:3">
      <c r="A136" s="185">
        <v>124</v>
      </c>
      <c r="B136" s="185">
        <f t="shared" ca="1" si="4"/>
        <v>0.80882064103131812</v>
      </c>
      <c r="C136" t="str">
        <f t="shared" ca="1" si="5"/>
        <v/>
      </c>
    </row>
    <row r="137" spans="1:3">
      <c r="A137" s="185">
        <v>113</v>
      </c>
      <c r="B137" s="185">
        <f t="shared" ca="1" si="4"/>
        <v>0.43221805769713573</v>
      </c>
      <c r="C137" t="str">
        <f t="shared" ca="1" si="5"/>
        <v/>
      </c>
    </row>
    <row r="138" spans="1:3">
      <c r="A138" s="185">
        <v>82</v>
      </c>
      <c r="B138" s="185">
        <f t="shared" ca="1" si="4"/>
        <v>0.24590545371910211</v>
      </c>
      <c r="C138" t="str">
        <f t="shared" ca="1" si="5"/>
        <v/>
      </c>
    </row>
    <row r="139" spans="1:3">
      <c r="A139" s="185">
        <v>129</v>
      </c>
      <c r="B139" s="185">
        <f t="shared" ca="1" si="4"/>
        <v>0.39858957409863227</v>
      </c>
      <c r="C139" t="str">
        <f t="shared" ca="1" si="5"/>
        <v/>
      </c>
    </row>
    <row r="140" spans="1:3">
      <c r="A140" s="185">
        <v>96</v>
      </c>
      <c r="B140" s="185">
        <f t="shared" ca="1" si="4"/>
        <v>0.78945287229831873</v>
      </c>
      <c r="C140" t="str">
        <f t="shared" ca="1" si="5"/>
        <v/>
      </c>
    </row>
    <row r="141" spans="1:3">
      <c r="A141" s="185">
        <v>119</v>
      </c>
      <c r="B141" s="185">
        <f t="shared" ca="1" si="4"/>
        <v>0.73254930067940194</v>
      </c>
      <c r="C141" t="str">
        <f t="shared" ca="1" si="5"/>
        <v/>
      </c>
    </row>
    <row r="142" spans="1:3">
      <c r="A142" s="185">
        <v>125</v>
      </c>
      <c r="B142" s="185">
        <f t="shared" ca="1" si="4"/>
        <v>0.10922622253784553</v>
      </c>
      <c r="C142" t="str">
        <f t="shared" ca="1" si="5"/>
        <v/>
      </c>
    </row>
    <row r="143" spans="1:3">
      <c r="A143" s="185">
        <v>118</v>
      </c>
      <c r="B143" s="185">
        <f t="shared" ca="1" si="4"/>
        <v>0.14664598973897913</v>
      </c>
      <c r="C143" t="str">
        <f t="shared" ca="1" si="5"/>
        <v/>
      </c>
    </row>
    <row r="144" spans="1:3">
      <c r="A144" s="185">
        <v>112</v>
      </c>
      <c r="B144" s="185">
        <f t="shared" ca="1" si="4"/>
        <v>0.73403842985698464</v>
      </c>
      <c r="C144" t="str">
        <f t="shared" ca="1" si="5"/>
        <v/>
      </c>
    </row>
    <row r="145" spans="1:3">
      <c r="A145" s="185">
        <v>102</v>
      </c>
      <c r="B145" s="185">
        <f t="shared" ca="1" si="4"/>
        <v>0.79190762811056037</v>
      </c>
      <c r="C145" t="str">
        <f t="shared" ca="1" si="5"/>
        <v/>
      </c>
    </row>
    <row r="146" spans="1:3">
      <c r="A146" s="185">
        <v>108</v>
      </c>
      <c r="B146" s="185">
        <f t="shared" ca="1" si="4"/>
        <v>8.5162816960487886E-2</v>
      </c>
      <c r="C146" t="str">
        <f t="shared" ca="1" si="5"/>
        <v/>
      </c>
    </row>
    <row r="147" spans="1:3">
      <c r="A147" s="185">
        <v>94</v>
      </c>
      <c r="B147" s="185">
        <f t="shared" ca="1" si="4"/>
        <v>0.60825176477774079</v>
      </c>
      <c r="C147" t="str">
        <f t="shared" ca="1" si="5"/>
        <v/>
      </c>
    </row>
    <row r="148" spans="1:3">
      <c r="A148" s="185">
        <v>133</v>
      </c>
      <c r="B148" s="185">
        <f t="shared" ca="1" si="4"/>
        <v>0.43053183633681824</v>
      </c>
      <c r="C148" t="str">
        <f t="shared" ca="1" si="5"/>
        <v/>
      </c>
    </row>
    <row r="149" spans="1:3">
      <c r="A149" s="185">
        <v>130</v>
      </c>
      <c r="B149" s="185">
        <f t="shared" ca="1" si="4"/>
        <v>0.50689651886052278</v>
      </c>
      <c r="C149" t="str">
        <f t="shared" ca="1" si="5"/>
        <v/>
      </c>
    </row>
    <row r="150" spans="1:3">
      <c r="A150" s="185">
        <v>125</v>
      </c>
      <c r="B150" s="185">
        <f t="shared" ca="1" si="4"/>
        <v>0.91478013823520254</v>
      </c>
      <c r="C150" t="str">
        <f t="shared" ca="1" si="5"/>
        <v/>
      </c>
    </row>
    <row r="151" spans="1:3">
      <c r="A151" s="185">
        <v>158</v>
      </c>
      <c r="B151" s="185">
        <f t="shared" ca="1" si="4"/>
        <v>0.26206936355121302</v>
      </c>
      <c r="C151" t="str">
        <f t="shared" ca="1" si="5"/>
        <v/>
      </c>
    </row>
    <row r="152" spans="1:3">
      <c r="A152" s="185">
        <v>98</v>
      </c>
      <c r="B152" s="185">
        <f t="shared" ca="1" si="4"/>
        <v>0.24587154293899083</v>
      </c>
      <c r="C152" t="str">
        <f t="shared" ca="1" si="5"/>
        <v/>
      </c>
    </row>
    <row r="153" spans="1:3">
      <c r="A153" s="185">
        <v>116</v>
      </c>
      <c r="B153" s="185">
        <f t="shared" ca="1" si="4"/>
        <v>0.94367712539851167</v>
      </c>
      <c r="C153" t="str">
        <f t="shared" ca="1" si="5"/>
        <v/>
      </c>
    </row>
    <row r="154" spans="1:3">
      <c r="A154" s="185">
        <v>120</v>
      </c>
      <c r="B154" s="185">
        <f t="shared" ca="1" si="4"/>
        <v>3.7596717986700945E-2</v>
      </c>
      <c r="C154">
        <f t="shared" ca="1" si="5"/>
        <v>120</v>
      </c>
    </row>
    <row r="155" spans="1:3">
      <c r="A155" s="185">
        <v>109</v>
      </c>
      <c r="B155" s="185">
        <f t="shared" ca="1" si="4"/>
        <v>0.41325955755951083</v>
      </c>
      <c r="C155" t="str">
        <f t="shared" ca="1" si="5"/>
        <v/>
      </c>
    </row>
    <row r="156" spans="1:3">
      <c r="A156" s="185">
        <v>102</v>
      </c>
      <c r="B156" s="185">
        <f t="shared" ca="1" si="4"/>
        <v>0.82812508097111603</v>
      </c>
      <c r="C156" t="str">
        <f t="shared" ca="1" si="5"/>
        <v/>
      </c>
    </row>
    <row r="157" spans="1:3">
      <c r="A157" s="185">
        <v>128</v>
      </c>
      <c r="B157" s="185">
        <f t="shared" ca="1" si="4"/>
        <v>0.44944210754646186</v>
      </c>
      <c r="C157" t="str">
        <f t="shared" ca="1" si="5"/>
        <v/>
      </c>
    </row>
    <row r="158" spans="1:3">
      <c r="A158" s="185">
        <v>127</v>
      </c>
      <c r="B158" s="185">
        <f t="shared" ca="1" si="4"/>
        <v>0.5371879259629937</v>
      </c>
      <c r="C158" t="str">
        <f t="shared" ca="1" si="5"/>
        <v/>
      </c>
    </row>
    <row r="159" spans="1:3">
      <c r="A159" s="185">
        <v>108</v>
      </c>
      <c r="B159" s="185">
        <f t="shared" ca="1" si="4"/>
        <v>0.11952818651784991</v>
      </c>
      <c r="C159" t="str">
        <f t="shared" ca="1" si="5"/>
        <v/>
      </c>
    </row>
    <row r="160" spans="1:3">
      <c r="A160" s="185">
        <v>132</v>
      </c>
      <c r="B160" s="185">
        <f t="shared" ca="1" si="4"/>
        <v>0.66402160117017606</v>
      </c>
      <c r="C160" t="str">
        <f t="shared" ca="1" si="5"/>
        <v/>
      </c>
    </row>
    <row r="161" spans="1:3">
      <c r="A161" s="185">
        <v>130</v>
      </c>
      <c r="B161" s="185">
        <f t="shared" ca="1" si="4"/>
        <v>1.8597666050759187E-2</v>
      </c>
      <c r="C161">
        <f t="shared" ca="1" si="5"/>
        <v>130</v>
      </c>
    </row>
    <row r="162" spans="1:3">
      <c r="A162" s="185">
        <v>114</v>
      </c>
      <c r="B162" s="185">
        <f t="shared" ca="1" si="4"/>
        <v>0.62993905296361774</v>
      </c>
      <c r="C162" t="str">
        <f t="shared" ca="1" si="5"/>
        <v/>
      </c>
    </row>
    <row r="163" spans="1:3">
      <c r="A163" s="185">
        <v>125</v>
      </c>
      <c r="B163" s="185">
        <f t="shared" ca="1" si="4"/>
        <v>0.10343561507338794</v>
      </c>
      <c r="C163" t="str">
        <f t="shared" ca="1" si="5"/>
        <v/>
      </c>
    </row>
    <row r="164" spans="1:3">
      <c r="A164" s="185">
        <v>118</v>
      </c>
      <c r="B164" s="185">
        <f t="shared" ca="1" si="4"/>
        <v>0.76320424358881156</v>
      </c>
      <c r="C164" t="str">
        <f t="shared" ca="1" si="5"/>
        <v/>
      </c>
    </row>
    <row r="165" spans="1:3">
      <c r="A165" s="185">
        <v>135</v>
      </c>
      <c r="B165" s="185">
        <f t="shared" ca="1" si="4"/>
        <v>0.38658990040978658</v>
      </c>
      <c r="C165" t="str">
        <f t="shared" ca="1" si="5"/>
        <v/>
      </c>
    </row>
    <row r="166" spans="1:3">
      <c r="A166" s="185">
        <v>117</v>
      </c>
      <c r="B166" s="185">
        <f t="shared" ca="1" si="4"/>
        <v>0.37214331217635088</v>
      </c>
      <c r="C166" t="str">
        <f t="shared" ca="1" si="5"/>
        <v/>
      </c>
    </row>
    <row r="167" spans="1:3">
      <c r="A167" s="185">
        <v>128</v>
      </c>
      <c r="B167" s="185">
        <f t="shared" ca="1" si="4"/>
        <v>8.3712930055520607E-2</v>
      </c>
      <c r="C167" t="str">
        <f t="shared" ca="1" si="5"/>
        <v/>
      </c>
    </row>
    <row r="168" spans="1:3">
      <c r="A168" s="185">
        <v>124</v>
      </c>
      <c r="B168" s="185">
        <f t="shared" ca="1" si="4"/>
        <v>0.72839605334264701</v>
      </c>
      <c r="C168" t="str">
        <f t="shared" ca="1" si="5"/>
        <v/>
      </c>
    </row>
    <row r="169" spans="1:3">
      <c r="A169" s="185">
        <v>127</v>
      </c>
      <c r="B169" s="185">
        <f t="shared" ca="1" si="4"/>
        <v>0.45077220960484365</v>
      </c>
      <c r="C169" t="str">
        <f t="shared" ca="1" si="5"/>
        <v/>
      </c>
    </row>
    <row r="170" spans="1:3">
      <c r="A170" s="185">
        <v>110</v>
      </c>
      <c r="B170" s="185">
        <f t="shared" ca="1" si="4"/>
        <v>0.13193034235513501</v>
      </c>
      <c r="C170" t="str">
        <f t="shared" ca="1" si="5"/>
        <v/>
      </c>
    </row>
    <row r="171" spans="1:3">
      <c r="A171" s="185">
        <v>127</v>
      </c>
      <c r="B171" s="185">
        <f t="shared" ca="1" si="4"/>
        <v>6.2133980530614252E-3</v>
      </c>
      <c r="C171">
        <f t="shared" ca="1" si="5"/>
        <v>127</v>
      </c>
    </row>
    <row r="172" spans="1:3">
      <c r="A172" s="185">
        <v>114</v>
      </c>
      <c r="B172" s="185">
        <f t="shared" ca="1" si="4"/>
        <v>0.61138116571816692</v>
      </c>
      <c r="C172" t="str">
        <f t="shared" ca="1" si="5"/>
        <v/>
      </c>
    </row>
    <row r="173" spans="1:3">
      <c r="A173" s="185">
        <v>95</v>
      </c>
      <c r="B173" s="185">
        <f t="shared" ca="1" si="4"/>
        <v>0.62511454012832868</v>
      </c>
      <c r="C173" t="str">
        <f t="shared" ca="1" si="5"/>
        <v/>
      </c>
    </row>
    <row r="174" spans="1:3">
      <c r="A174" s="185">
        <v>123</v>
      </c>
      <c r="B174" s="185">
        <f t="shared" ca="1" si="4"/>
        <v>0.86352991170588678</v>
      </c>
      <c r="C174" t="str">
        <f t="shared" ca="1" si="5"/>
        <v/>
      </c>
    </row>
    <row r="175" spans="1:3">
      <c r="A175" s="185">
        <v>145</v>
      </c>
      <c r="B175" s="185">
        <f t="shared" ca="1" si="4"/>
        <v>0.95518669273286716</v>
      </c>
      <c r="C175" t="str">
        <f t="shared" ca="1" si="5"/>
        <v/>
      </c>
    </row>
    <row r="176" spans="1:3">
      <c r="A176" s="185">
        <v>95</v>
      </c>
      <c r="B176" s="185">
        <f t="shared" ca="1" si="4"/>
        <v>0.58803618443303129</v>
      </c>
      <c r="C176" t="str">
        <f t="shared" ca="1" si="5"/>
        <v/>
      </c>
    </row>
    <row r="177" spans="1:3">
      <c r="A177" s="185">
        <v>163</v>
      </c>
      <c r="B177" s="185">
        <f t="shared" ca="1" si="4"/>
        <v>0.94297959611743032</v>
      </c>
      <c r="C177" t="str">
        <f t="shared" ca="1" si="5"/>
        <v/>
      </c>
    </row>
    <row r="178" spans="1:3">
      <c r="A178" s="185">
        <v>115</v>
      </c>
      <c r="B178" s="185">
        <f t="shared" ca="1" si="4"/>
        <v>0.54693248363860203</v>
      </c>
      <c r="C178" t="str">
        <f t="shared" ca="1" si="5"/>
        <v/>
      </c>
    </row>
    <row r="179" spans="1:3">
      <c r="A179" s="185">
        <v>148</v>
      </c>
      <c r="B179" s="185">
        <f t="shared" ca="1" si="4"/>
        <v>0.67537977703501806</v>
      </c>
      <c r="C179" t="str">
        <f t="shared" ca="1" si="5"/>
        <v/>
      </c>
    </row>
    <row r="180" spans="1:3">
      <c r="A180" s="185">
        <v>104</v>
      </c>
      <c r="B180" s="185">
        <f t="shared" ca="1" si="4"/>
        <v>0.26345671960328065</v>
      </c>
      <c r="C180" t="str">
        <f t="shared" ca="1" si="5"/>
        <v/>
      </c>
    </row>
    <row r="181" spans="1:3">
      <c r="A181" s="185">
        <v>122</v>
      </c>
      <c r="B181" s="185">
        <f t="shared" ca="1" si="4"/>
        <v>0.99196194108007418</v>
      </c>
      <c r="C181" t="str">
        <f t="shared" ca="1" si="5"/>
        <v/>
      </c>
    </row>
    <row r="182" spans="1:3">
      <c r="A182" s="185">
        <v>131</v>
      </c>
      <c r="B182" s="185">
        <f t="shared" ca="1" si="4"/>
        <v>0.80337138342783199</v>
      </c>
      <c r="C182" t="str">
        <f t="shared" ca="1" si="5"/>
        <v/>
      </c>
    </row>
    <row r="183" spans="1:3">
      <c r="A183" s="185">
        <v>119</v>
      </c>
      <c r="B183" s="185">
        <f t="shared" ca="1" si="4"/>
        <v>0.78402137327428267</v>
      </c>
      <c r="C183" t="str">
        <f t="shared" ca="1" si="5"/>
        <v/>
      </c>
    </row>
    <row r="184" spans="1:3">
      <c r="A184" s="185">
        <v>150</v>
      </c>
      <c r="B184" s="185">
        <f t="shared" ca="1" si="4"/>
        <v>0.3624532372108531</v>
      </c>
      <c r="C184" t="str">
        <f t="shared" ca="1" si="5"/>
        <v/>
      </c>
    </row>
    <row r="185" spans="1:3">
      <c r="A185" s="185">
        <v>135</v>
      </c>
      <c r="B185" s="185">
        <f t="shared" ca="1" si="4"/>
        <v>0.12893778840069037</v>
      </c>
      <c r="C185" t="str">
        <f t="shared" ca="1" si="5"/>
        <v/>
      </c>
    </row>
    <row r="186" spans="1:3">
      <c r="A186" s="185">
        <v>114</v>
      </c>
      <c r="B186" s="185">
        <f t="shared" ca="1" si="4"/>
        <v>0.25026986078497515</v>
      </c>
      <c r="C186" t="str">
        <f t="shared" ca="1" si="5"/>
        <v/>
      </c>
    </row>
    <row r="187" spans="1:3">
      <c r="A187" s="185">
        <v>128</v>
      </c>
      <c r="B187" s="185">
        <f t="shared" ca="1" si="4"/>
        <v>0.17998726062625892</v>
      </c>
      <c r="C187" t="str">
        <f t="shared" ca="1" si="5"/>
        <v/>
      </c>
    </row>
    <row r="188" spans="1:3">
      <c r="A188" s="185">
        <v>74</v>
      </c>
      <c r="B188" s="185">
        <f t="shared" ca="1" si="4"/>
        <v>0.17055975599602013</v>
      </c>
      <c r="C188" t="str">
        <f t="shared" ca="1" si="5"/>
        <v/>
      </c>
    </row>
    <row r="189" spans="1:3">
      <c r="A189" s="185">
        <v>114</v>
      </c>
      <c r="B189" s="185">
        <f t="shared" ca="1" si="4"/>
        <v>0.5137065187002412</v>
      </c>
      <c r="C189" t="str">
        <f t="shared" ca="1" si="5"/>
        <v/>
      </c>
    </row>
    <row r="190" spans="1:3">
      <c r="A190" s="185">
        <v>111</v>
      </c>
      <c r="B190" s="185">
        <f t="shared" ca="1" si="4"/>
        <v>0.52924574531299418</v>
      </c>
      <c r="C190" t="str">
        <f t="shared" ca="1" si="5"/>
        <v/>
      </c>
    </row>
    <row r="191" spans="1:3">
      <c r="A191" s="185">
        <v>104</v>
      </c>
      <c r="B191" s="185">
        <f t="shared" ca="1" si="4"/>
        <v>9.5255575621211896E-2</v>
      </c>
      <c r="C191" t="str">
        <f t="shared" ca="1" si="5"/>
        <v/>
      </c>
    </row>
    <row r="192" spans="1:3">
      <c r="A192" s="185">
        <v>116</v>
      </c>
      <c r="B192" s="185">
        <f t="shared" ca="1" si="4"/>
        <v>0.45914529935950554</v>
      </c>
      <c r="C192" t="str">
        <f t="shared" ca="1" si="5"/>
        <v/>
      </c>
    </row>
    <row r="193" spans="1:3">
      <c r="A193" s="185">
        <v>138</v>
      </c>
      <c r="B193" s="185">
        <f t="shared" ca="1" si="4"/>
        <v>0.69981799898141617</v>
      </c>
      <c r="C193" t="str">
        <f t="shared" ca="1" si="5"/>
        <v/>
      </c>
    </row>
    <row r="194" spans="1:3">
      <c r="A194" s="185">
        <v>90</v>
      </c>
      <c r="B194" s="185">
        <f t="shared" ca="1" si="4"/>
        <v>0.28727842008224602</v>
      </c>
      <c r="C194" t="str">
        <f t="shared" ca="1" si="5"/>
        <v/>
      </c>
    </row>
    <row r="195" spans="1:3">
      <c r="A195" s="185">
        <v>89</v>
      </c>
      <c r="B195" s="185">
        <f t="shared" ca="1" si="4"/>
        <v>0.86092202271329743</v>
      </c>
      <c r="C195" t="str">
        <f t="shared" ca="1" si="5"/>
        <v/>
      </c>
    </row>
    <row r="196" spans="1:3">
      <c r="A196" s="185">
        <v>121</v>
      </c>
      <c r="B196" s="185">
        <f t="shared" ref="B196:B259" ca="1" si="6">RAND()</f>
        <v>0.77652406373197458</v>
      </c>
      <c r="C196" t="str">
        <f t="shared" ca="1" si="5"/>
        <v/>
      </c>
    </row>
    <row r="197" spans="1:3">
      <c r="A197" s="185">
        <v>84</v>
      </c>
      <c r="B197" s="185">
        <f t="shared" ca="1" si="6"/>
        <v>0.96454486847626986</v>
      </c>
      <c r="C197" t="str">
        <f t="shared" ref="C197:C260" ca="1" si="7">IF(B197&lt;=PERCENTILE($B$4:$B$503,$D$3/$D$2),A197,"")</f>
        <v/>
      </c>
    </row>
    <row r="198" spans="1:3">
      <c r="A198" s="185">
        <v>103</v>
      </c>
      <c r="B198" s="185">
        <f t="shared" ca="1" si="6"/>
        <v>0.37984976040274798</v>
      </c>
      <c r="C198" t="str">
        <f t="shared" ca="1" si="7"/>
        <v/>
      </c>
    </row>
    <row r="199" spans="1:3">
      <c r="A199" s="185">
        <v>144</v>
      </c>
      <c r="B199" s="185">
        <f t="shared" ca="1" si="6"/>
        <v>0.27472926555725508</v>
      </c>
      <c r="C199" t="str">
        <f t="shared" ca="1" si="7"/>
        <v/>
      </c>
    </row>
    <row r="200" spans="1:3">
      <c r="A200" s="185">
        <v>118</v>
      </c>
      <c r="B200" s="185">
        <f t="shared" ca="1" si="6"/>
        <v>0.33000106946289165</v>
      </c>
      <c r="C200" t="str">
        <f t="shared" ca="1" si="7"/>
        <v/>
      </c>
    </row>
    <row r="201" spans="1:3">
      <c r="A201" s="185">
        <v>124</v>
      </c>
      <c r="B201" s="185">
        <f t="shared" ca="1" si="6"/>
        <v>0.75289906944489204</v>
      </c>
      <c r="C201" t="str">
        <f t="shared" ca="1" si="7"/>
        <v/>
      </c>
    </row>
    <row r="202" spans="1:3">
      <c r="A202" s="185">
        <v>94</v>
      </c>
      <c r="B202" s="185">
        <f t="shared" ca="1" si="6"/>
        <v>0.14407962254162232</v>
      </c>
      <c r="C202" t="str">
        <f t="shared" ca="1" si="7"/>
        <v/>
      </c>
    </row>
    <row r="203" spans="1:3">
      <c r="A203" s="185">
        <v>122</v>
      </c>
      <c r="B203" s="185">
        <f t="shared" ca="1" si="6"/>
        <v>0.65341921832753425</v>
      </c>
      <c r="C203" t="str">
        <f t="shared" ca="1" si="7"/>
        <v/>
      </c>
    </row>
    <row r="204" spans="1:3">
      <c r="A204" s="185">
        <v>127</v>
      </c>
      <c r="B204" s="185">
        <f t="shared" ca="1" si="6"/>
        <v>0.6082107035264972</v>
      </c>
      <c r="C204" t="str">
        <f t="shared" ca="1" si="7"/>
        <v/>
      </c>
    </row>
    <row r="205" spans="1:3">
      <c r="A205" s="185">
        <v>152</v>
      </c>
      <c r="B205" s="185">
        <f t="shared" ca="1" si="6"/>
        <v>7.3004064660825208E-2</v>
      </c>
      <c r="C205" t="str">
        <f t="shared" ca="1" si="7"/>
        <v/>
      </c>
    </row>
    <row r="206" spans="1:3">
      <c r="A206" s="185">
        <v>113</v>
      </c>
      <c r="B206" s="185">
        <f t="shared" ca="1" si="6"/>
        <v>0.56283914267471147</v>
      </c>
      <c r="C206" t="str">
        <f t="shared" ca="1" si="7"/>
        <v/>
      </c>
    </row>
    <row r="207" spans="1:3">
      <c r="A207" s="185">
        <v>147</v>
      </c>
      <c r="B207" s="185">
        <f t="shared" ca="1" si="6"/>
        <v>0.96212647454406852</v>
      </c>
      <c r="C207" t="str">
        <f t="shared" ca="1" si="7"/>
        <v/>
      </c>
    </row>
    <row r="208" spans="1:3">
      <c r="A208" s="185">
        <v>103</v>
      </c>
      <c r="B208" s="185">
        <f t="shared" ca="1" si="6"/>
        <v>0.95732199120282591</v>
      </c>
      <c r="C208" t="str">
        <f t="shared" ca="1" si="7"/>
        <v/>
      </c>
    </row>
    <row r="209" spans="1:3">
      <c r="A209" s="185">
        <v>150</v>
      </c>
      <c r="B209" s="185">
        <f t="shared" ca="1" si="6"/>
        <v>0.64120527102617508</v>
      </c>
      <c r="C209" t="str">
        <f t="shared" ca="1" si="7"/>
        <v/>
      </c>
    </row>
    <row r="210" spans="1:3">
      <c r="A210" s="185">
        <v>133</v>
      </c>
      <c r="B210" s="185">
        <f t="shared" ca="1" si="6"/>
        <v>0.95216648870447607</v>
      </c>
      <c r="C210" t="str">
        <f t="shared" ca="1" si="7"/>
        <v/>
      </c>
    </row>
    <row r="211" spans="1:3">
      <c r="A211" s="185">
        <v>132</v>
      </c>
      <c r="B211" s="185">
        <f t="shared" ca="1" si="6"/>
        <v>0.76839445979180976</v>
      </c>
      <c r="C211" t="str">
        <f t="shared" ca="1" si="7"/>
        <v/>
      </c>
    </row>
    <row r="212" spans="1:3">
      <c r="A212" s="185">
        <v>112</v>
      </c>
      <c r="B212" s="185">
        <f t="shared" ca="1" si="6"/>
        <v>0.5023009049421665</v>
      </c>
      <c r="C212" t="str">
        <f t="shared" ca="1" si="7"/>
        <v/>
      </c>
    </row>
    <row r="213" spans="1:3">
      <c r="A213" s="185">
        <v>86</v>
      </c>
      <c r="B213" s="185">
        <f t="shared" ca="1" si="6"/>
        <v>0.87603769377885499</v>
      </c>
      <c r="C213" t="str">
        <f t="shared" ca="1" si="7"/>
        <v/>
      </c>
    </row>
    <row r="214" spans="1:3">
      <c r="A214" s="185">
        <v>119</v>
      </c>
      <c r="B214" s="185">
        <f t="shared" ca="1" si="6"/>
        <v>0.71079722300573067</v>
      </c>
      <c r="C214" t="str">
        <f t="shared" ca="1" si="7"/>
        <v/>
      </c>
    </row>
    <row r="215" spans="1:3">
      <c r="A215" s="185">
        <v>142</v>
      </c>
      <c r="B215" s="185">
        <f t="shared" ca="1" si="6"/>
        <v>7.6329435921648647E-2</v>
      </c>
      <c r="C215" t="str">
        <f t="shared" ca="1" si="7"/>
        <v/>
      </c>
    </row>
    <row r="216" spans="1:3">
      <c r="A216" s="185">
        <v>120</v>
      </c>
      <c r="B216" s="185">
        <f t="shared" ca="1" si="6"/>
        <v>0.60969750423291647</v>
      </c>
      <c r="C216" t="str">
        <f t="shared" ca="1" si="7"/>
        <v/>
      </c>
    </row>
    <row r="217" spans="1:3">
      <c r="A217" s="185">
        <v>121</v>
      </c>
      <c r="B217" s="185">
        <f t="shared" ca="1" si="6"/>
        <v>0.22054493162787647</v>
      </c>
      <c r="C217" t="str">
        <f t="shared" ca="1" si="7"/>
        <v/>
      </c>
    </row>
    <row r="218" spans="1:3">
      <c r="A218" s="185">
        <v>137</v>
      </c>
      <c r="B218" s="185">
        <f t="shared" ca="1" si="6"/>
        <v>0.9807287750746756</v>
      </c>
      <c r="C218" t="str">
        <f t="shared" ca="1" si="7"/>
        <v/>
      </c>
    </row>
    <row r="219" spans="1:3">
      <c r="A219" s="185">
        <v>103</v>
      </c>
      <c r="B219" s="185">
        <f t="shared" ca="1" si="6"/>
        <v>0.56849256205353615</v>
      </c>
      <c r="C219" t="str">
        <f t="shared" ca="1" si="7"/>
        <v/>
      </c>
    </row>
    <row r="220" spans="1:3">
      <c r="A220" s="185">
        <v>93</v>
      </c>
      <c r="B220" s="185">
        <f t="shared" ca="1" si="6"/>
        <v>0.56240383499904589</v>
      </c>
      <c r="C220" t="str">
        <f t="shared" ca="1" si="7"/>
        <v/>
      </c>
    </row>
    <row r="221" spans="1:3">
      <c r="A221" s="185">
        <v>112</v>
      </c>
      <c r="B221" s="185">
        <f t="shared" ca="1" si="6"/>
        <v>0.5718023808402446</v>
      </c>
      <c r="C221" t="str">
        <f t="shared" ca="1" si="7"/>
        <v/>
      </c>
    </row>
    <row r="222" spans="1:3">
      <c r="A222" s="185">
        <v>100</v>
      </c>
      <c r="B222" s="185">
        <f t="shared" ca="1" si="6"/>
        <v>0.69720335732088845</v>
      </c>
      <c r="C222" t="str">
        <f t="shared" ca="1" si="7"/>
        <v/>
      </c>
    </row>
    <row r="223" spans="1:3">
      <c r="A223" s="185">
        <v>76</v>
      </c>
      <c r="B223" s="185">
        <f t="shared" ca="1" si="6"/>
        <v>0.3512477102461693</v>
      </c>
      <c r="C223" t="str">
        <f t="shared" ca="1" si="7"/>
        <v/>
      </c>
    </row>
    <row r="224" spans="1:3">
      <c r="A224" s="185">
        <v>82</v>
      </c>
      <c r="B224" s="185">
        <f t="shared" ca="1" si="6"/>
        <v>0.15441248621730419</v>
      </c>
      <c r="C224" t="str">
        <f t="shared" ca="1" si="7"/>
        <v/>
      </c>
    </row>
    <row r="225" spans="1:3">
      <c r="A225" s="185">
        <v>141</v>
      </c>
      <c r="B225" s="185">
        <f t="shared" ca="1" si="6"/>
        <v>8.5065840394474179E-2</v>
      </c>
      <c r="C225" t="str">
        <f t="shared" ca="1" si="7"/>
        <v/>
      </c>
    </row>
    <row r="226" spans="1:3">
      <c r="A226" s="185">
        <v>124</v>
      </c>
      <c r="B226" s="185">
        <f t="shared" ca="1" si="6"/>
        <v>0.81051249142497594</v>
      </c>
      <c r="C226" t="str">
        <f t="shared" ca="1" si="7"/>
        <v/>
      </c>
    </row>
    <row r="227" spans="1:3">
      <c r="A227" s="185">
        <v>136</v>
      </c>
      <c r="B227" s="185">
        <f t="shared" ca="1" si="6"/>
        <v>0.42138050775606906</v>
      </c>
      <c r="C227" t="str">
        <f t="shared" ca="1" si="7"/>
        <v/>
      </c>
    </row>
    <row r="228" spans="1:3">
      <c r="A228" s="185">
        <v>72</v>
      </c>
      <c r="B228" s="185">
        <f t="shared" ca="1" si="6"/>
        <v>0.90357596852214539</v>
      </c>
      <c r="C228" t="str">
        <f t="shared" ca="1" si="7"/>
        <v/>
      </c>
    </row>
    <row r="229" spans="1:3">
      <c r="A229" s="185">
        <v>99</v>
      </c>
      <c r="B229" s="185">
        <f t="shared" ca="1" si="6"/>
        <v>0.34299594594995786</v>
      </c>
      <c r="C229" t="str">
        <f t="shared" ca="1" si="7"/>
        <v/>
      </c>
    </row>
    <row r="230" spans="1:3">
      <c r="A230" s="185">
        <v>125</v>
      </c>
      <c r="B230" s="185">
        <f t="shared" ca="1" si="6"/>
        <v>0.29178663207908251</v>
      </c>
      <c r="C230" t="str">
        <f t="shared" ca="1" si="7"/>
        <v/>
      </c>
    </row>
    <row r="231" spans="1:3">
      <c r="A231" s="185">
        <v>139</v>
      </c>
      <c r="B231" s="185">
        <f t="shared" ca="1" si="6"/>
        <v>0.93936216414579476</v>
      </c>
      <c r="C231" t="str">
        <f t="shared" ca="1" si="7"/>
        <v/>
      </c>
    </row>
    <row r="232" spans="1:3">
      <c r="A232" s="185">
        <v>152</v>
      </c>
      <c r="B232" s="185">
        <f t="shared" ca="1" si="6"/>
        <v>0.17222369619745859</v>
      </c>
      <c r="C232" t="str">
        <f t="shared" ca="1" si="7"/>
        <v/>
      </c>
    </row>
    <row r="233" spans="1:3">
      <c r="A233" s="185">
        <v>106</v>
      </c>
      <c r="B233" s="185">
        <f t="shared" ca="1" si="6"/>
        <v>2.6450861236559042E-2</v>
      </c>
      <c r="C233">
        <f t="shared" ca="1" si="7"/>
        <v>106</v>
      </c>
    </row>
    <row r="234" spans="1:3">
      <c r="A234" s="185">
        <v>98</v>
      </c>
      <c r="B234" s="185">
        <f t="shared" ca="1" si="6"/>
        <v>0.96256843326658736</v>
      </c>
      <c r="C234" t="str">
        <f t="shared" ca="1" si="7"/>
        <v/>
      </c>
    </row>
    <row r="235" spans="1:3">
      <c r="A235" s="185">
        <v>115</v>
      </c>
      <c r="B235" s="185">
        <f t="shared" ca="1" si="6"/>
        <v>7.3427595141759117E-2</v>
      </c>
      <c r="C235" t="str">
        <f t="shared" ca="1" si="7"/>
        <v/>
      </c>
    </row>
    <row r="236" spans="1:3">
      <c r="A236" s="185">
        <v>138</v>
      </c>
      <c r="B236" s="185">
        <f t="shared" ca="1" si="6"/>
        <v>0.49171831060321369</v>
      </c>
      <c r="C236" t="str">
        <f t="shared" ca="1" si="7"/>
        <v/>
      </c>
    </row>
    <row r="237" spans="1:3">
      <c r="A237" s="185">
        <v>118</v>
      </c>
      <c r="B237" s="185">
        <f t="shared" ca="1" si="6"/>
        <v>0.42459964569303937</v>
      </c>
      <c r="C237" t="str">
        <f t="shared" ca="1" si="7"/>
        <v/>
      </c>
    </row>
    <row r="238" spans="1:3">
      <c r="A238" s="185">
        <v>89</v>
      </c>
      <c r="B238" s="185">
        <f t="shared" ca="1" si="6"/>
        <v>8.0899169083577416E-2</v>
      </c>
      <c r="C238" t="str">
        <f t="shared" ca="1" si="7"/>
        <v/>
      </c>
    </row>
    <row r="239" spans="1:3">
      <c r="A239" s="185">
        <v>124</v>
      </c>
      <c r="B239" s="185">
        <f t="shared" ca="1" si="6"/>
        <v>0.97500155043323833</v>
      </c>
      <c r="C239" t="str">
        <f t="shared" ca="1" si="7"/>
        <v/>
      </c>
    </row>
    <row r="240" spans="1:3">
      <c r="A240" s="185">
        <v>125</v>
      </c>
      <c r="B240" s="185">
        <f t="shared" ca="1" si="6"/>
        <v>0.76125815402614849</v>
      </c>
      <c r="C240" t="str">
        <f t="shared" ca="1" si="7"/>
        <v/>
      </c>
    </row>
    <row r="241" spans="1:3">
      <c r="A241" s="185">
        <v>150</v>
      </c>
      <c r="B241" s="185">
        <f t="shared" ca="1" si="6"/>
        <v>0.46912443978862406</v>
      </c>
      <c r="C241" t="str">
        <f t="shared" ca="1" si="7"/>
        <v/>
      </c>
    </row>
    <row r="242" spans="1:3">
      <c r="A242" s="185">
        <v>160</v>
      </c>
      <c r="B242" s="185">
        <f t="shared" ca="1" si="6"/>
        <v>0.17771567410191325</v>
      </c>
      <c r="C242" t="str">
        <f t="shared" ca="1" si="7"/>
        <v/>
      </c>
    </row>
    <row r="243" spans="1:3">
      <c r="A243" s="185">
        <v>127</v>
      </c>
      <c r="B243" s="185">
        <f t="shared" ca="1" si="6"/>
        <v>0.80288756885535673</v>
      </c>
      <c r="C243" t="str">
        <f t="shared" ca="1" si="7"/>
        <v/>
      </c>
    </row>
    <row r="244" spans="1:3">
      <c r="A244" s="185">
        <v>81</v>
      </c>
      <c r="B244" s="185">
        <f t="shared" ca="1" si="6"/>
        <v>0.59754241565093746</v>
      </c>
      <c r="C244" t="str">
        <f t="shared" ca="1" si="7"/>
        <v/>
      </c>
    </row>
    <row r="245" spans="1:3">
      <c r="A245" s="185">
        <v>119</v>
      </c>
      <c r="B245" s="185">
        <f t="shared" ca="1" si="6"/>
        <v>0.61940346507526067</v>
      </c>
      <c r="C245" t="str">
        <f t="shared" ca="1" si="7"/>
        <v/>
      </c>
    </row>
    <row r="246" spans="1:3">
      <c r="A246" s="185">
        <v>79</v>
      </c>
      <c r="B246" s="185">
        <f t="shared" ca="1" si="6"/>
        <v>1.0277873550745831E-2</v>
      </c>
      <c r="C246">
        <f t="shared" ca="1" si="7"/>
        <v>79</v>
      </c>
    </row>
    <row r="247" spans="1:3">
      <c r="A247" s="185">
        <v>150</v>
      </c>
      <c r="B247" s="185">
        <f t="shared" ca="1" si="6"/>
        <v>2.837210638121257E-2</v>
      </c>
      <c r="C247">
        <f t="shared" ca="1" si="7"/>
        <v>150</v>
      </c>
    </row>
    <row r="248" spans="1:3">
      <c r="A248" s="185">
        <v>98</v>
      </c>
      <c r="B248" s="185">
        <f t="shared" ca="1" si="6"/>
        <v>0.37868599893073696</v>
      </c>
      <c r="C248" t="str">
        <f t="shared" ca="1" si="7"/>
        <v/>
      </c>
    </row>
    <row r="249" spans="1:3">
      <c r="A249" s="185">
        <v>54</v>
      </c>
      <c r="B249" s="185">
        <f t="shared" ca="1" si="6"/>
        <v>0.91304509701299796</v>
      </c>
      <c r="C249" t="str">
        <f t="shared" ca="1" si="7"/>
        <v/>
      </c>
    </row>
    <row r="250" spans="1:3">
      <c r="A250" s="185">
        <v>139</v>
      </c>
      <c r="B250" s="185">
        <f t="shared" ca="1" si="6"/>
        <v>0.53363607395111989</v>
      </c>
      <c r="C250" t="str">
        <f t="shared" ca="1" si="7"/>
        <v/>
      </c>
    </row>
    <row r="251" spans="1:3">
      <c r="A251" s="185">
        <v>111</v>
      </c>
      <c r="B251" s="185">
        <f t="shared" ca="1" si="6"/>
        <v>6.5852520265113235E-2</v>
      </c>
      <c r="C251" t="str">
        <f t="shared" ca="1" si="7"/>
        <v/>
      </c>
    </row>
    <row r="252" spans="1:3">
      <c r="A252" s="185">
        <v>138</v>
      </c>
      <c r="B252" s="185">
        <f t="shared" ca="1" si="6"/>
        <v>0.35255713016903845</v>
      </c>
      <c r="C252" t="str">
        <f t="shared" ca="1" si="7"/>
        <v/>
      </c>
    </row>
    <row r="253" spans="1:3">
      <c r="A253" s="185">
        <v>107</v>
      </c>
      <c r="B253" s="185">
        <f t="shared" ca="1" si="6"/>
        <v>0.51625681420490821</v>
      </c>
      <c r="C253" t="str">
        <f t="shared" ca="1" si="7"/>
        <v/>
      </c>
    </row>
    <row r="254" spans="1:3">
      <c r="A254" s="185">
        <v>118</v>
      </c>
      <c r="B254" s="185">
        <f t="shared" ca="1" si="6"/>
        <v>0.74710214810426478</v>
      </c>
      <c r="C254" t="str">
        <f t="shared" ca="1" si="7"/>
        <v/>
      </c>
    </row>
    <row r="255" spans="1:3">
      <c r="A255" s="185">
        <v>74</v>
      </c>
      <c r="B255" s="185">
        <f t="shared" ca="1" si="6"/>
        <v>0.69868665876017944</v>
      </c>
      <c r="C255" t="str">
        <f t="shared" ca="1" si="7"/>
        <v/>
      </c>
    </row>
    <row r="256" spans="1:3">
      <c r="A256" s="185">
        <v>150</v>
      </c>
      <c r="B256" s="185">
        <f t="shared" ca="1" si="6"/>
        <v>0.59079777090389474</v>
      </c>
      <c r="C256" t="str">
        <f t="shared" ca="1" si="7"/>
        <v/>
      </c>
    </row>
    <row r="257" spans="1:3">
      <c r="A257" s="185">
        <v>91</v>
      </c>
      <c r="B257" s="185">
        <f t="shared" ca="1" si="6"/>
        <v>0.30694288113693968</v>
      </c>
      <c r="C257" t="str">
        <f t="shared" ca="1" si="7"/>
        <v/>
      </c>
    </row>
    <row r="258" spans="1:3">
      <c r="A258" s="185">
        <v>102</v>
      </c>
      <c r="B258" s="185">
        <f t="shared" ca="1" si="6"/>
        <v>0.95689580386328954</v>
      </c>
      <c r="C258" t="str">
        <f t="shared" ca="1" si="7"/>
        <v/>
      </c>
    </row>
    <row r="259" spans="1:3">
      <c r="A259" s="185">
        <v>103</v>
      </c>
      <c r="B259" s="185">
        <f t="shared" ca="1" si="6"/>
        <v>0.82425525576650571</v>
      </c>
      <c r="C259" t="str">
        <f t="shared" ca="1" si="7"/>
        <v/>
      </c>
    </row>
    <row r="260" spans="1:3">
      <c r="A260" s="185">
        <v>61</v>
      </c>
      <c r="B260" s="185">
        <f t="shared" ref="B260:B323" ca="1" si="8">RAND()</f>
        <v>0.19409736144901868</v>
      </c>
      <c r="C260" t="str">
        <f t="shared" ca="1" si="7"/>
        <v/>
      </c>
    </row>
    <row r="261" spans="1:3">
      <c r="A261" s="185">
        <v>135</v>
      </c>
      <c r="B261" s="185">
        <f t="shared" ca="1" si="8"/>
        <v>0.42140173704175243</v>
      </c>
      <c r="C261" t="str">
        <f t="shared" ref="C261:C324" ca="1" si="9">IF(B261&lt;=PERCENTILE($B$4:$B$503,$D$3/$D$2),A261,"")</f>
        <v/>
      </c>
    </row>
    <row r="262" spans="1:3">
      <c r="A262" s="185">
        <v>69</v>
      </c>
      <c r="B262" s="185">
        <f t="shared" ca="1" si="8"/>
        <v>0.84978237032373549</v>
      </c>
      <c r="C262" t="str">
        <f t="shared" ca="1" si="9"/>
        <v/>
      </c>
    </row>
    <row r="263" spans="1:3">
      <c r="A263" s="185">
        <v>88</v>
      </c>
      <c r="B263" s="185">
        <f t="shared" ca="1" si="8"/>
        <v>0.87578416320013064</v>
      </c>
      <c r="C263" t="str">
        <f t="shared" ca="1" si="9"/>
        <v/>
      </c>
    </row>
    <row r="264" spans="1:3">
      <c r="A264" s="185">
        <v>130</v>
      </c>
      <c r="B264" s="185">
        <f t="shared" ca="1" si="8"/>
        <v>0.47916204057194189</v>
      </c>
      <c r="C264" t="str">
        <f t="shared" ca="1" si="9"/>
        <v/>
      </c>
    </row>
    <row r="265" spans="1:3">
      <c r="A265" s="185">
        <v>96</v>
      </c>
      <c r="B265" s="185">
        <f t="shared" ca="1" si="8"/>
        <v>0.43524057486519413</v>
      </c>
      <c r="C265" t="str">
        <f t="shared" ca="1" si="9"/>
        <v/>
      </c>
    </row>
    <row r="266" spans="1:3">
      <c r="A266" s="185">
        <v>106</v>
      </c>
      <c r="B266" s="185">
        <f t="shared" ca="1" si="8"/>
        <v>0.45457811003357196</v>
      </c>
      <c r="C266" t="str">
        <f t="shared" ca="1" si="9"/>
        <v/>
      </c>
    </row>
    <row r="267" spans="1:3">
      <c r="A267" s="185">
        <v>117</v>
      </c>
      <c r="B267" s="185">
        <f t="shared" ca="1" si="8"/>
        <v>2.3410755135590655E-2</v>
      </c>
      <c r="C267">
        <f t="shared" ca="1" si="9"/>
        <v>117</v>
      </c>
    </row>
    <row r="268" spans="1:3">
      <c r="A268" s="185">
        <v>126</v>
      </c>
      <c r="B268" s="185">
        <f t="shared" ca="1" si="8"/>
        <v>0.48236971792503303</v>
      </c>
      <c r="C268" t="str">
        <f t="shared" ca="1" si="9"/>
        <v/>
      </c>
    </row>
    <row r="269" spans="1:3">
      <c r="A269" s="185">
        <v>157</v>
      </c>
      <c r="B269" s="185">
        <f t="shared" ca="1" si="8"/>
        <v>0.37905371425551415</v>
      </c>
      <c r="C269" t="str">
        <f t="shared" ca="1" si="9"/>
        <v/>
      </c>
    </row>
    <row r="270" spans="1:3">
      <c r="A270" s="185">
        <v>130</v>
      </c>
      <c r="B270" s="185">
        <f t="shared" ca="1" si="8"/>
        <v>0.11048815050191552</v>
      </c>
      <c r="C270" t="str">
        <f t="shared" ca="1" si="9"/>
        <v/>
      </c>
    </row>
    <row r="271" spans="1:3">
      <c r="A271" s="185">
        <v>135</v>
      </c>
      <c r="B271" s="185">
        <f t="shared" ca="1" si="8"/>
        <v>0.2890251974476028</v>
      </c>
      <c r="C271" t="str">
        <f t="shared" ca="1" si="9"/>
        <v/>
      </c>
    </row>
    <row r="272" spans="1:3">
      <c r="A272" s="185">
        <v>129</v>
      </c>
      <c r="B272" s="185">
        <f t="shared" ca="1" si="8"/>
        <v>0.54142899702079128</v>
      </c>
      <c r="C272" t="str">
        <f t="shared" ca="1" si="9"/>
        <v/>
      </c>
    </row>
    <row r="273" spans="1:3">
      <c r="A273" s="185">
        <v>104</v>
      </c>
      <c r="B273" s="185">
        <f t="shared" ca="1" si="8"/>
        <v>0.55825333604161886</v>
      </c>
      <c r="C273" t="str">
        <f t="shared" ca="1" si="9"/>
        <v/>
      </c>
    </row>
    <row r="274" spans="1:3">
      <c r="A274" s="185">
        <v>132</v>
      </c>
      <c r="B274" s="185">
        <f t="shared" ca="1" si="8"/>
        <v>0.60550261301857677</v>
      </c>
      <c r="C274" t="str">
        <f t="shared" ca="1" si="9"/>
        <v/>
      </c>
    </row>
    <row r="275" spans="1:3">
      <c r="A275" s="185">
        <v>140</v>
      </c>
      <c r="B275" s="185">
        <f t="shared" ca="1" si="8"/>
        <v>0.82606493674204762</v>
      </c>
      <c r="C275" t="str">
        <f t="shared" ca="1" si="9"/>
        <v/>
      </c>
    </row>
    <row r="276" spans="1:3">
      <c r="A276" s="185">
        <v>129</v>
      </c>
      <c r="B276" s="185">
        <f t="shared" ca="1" si="8"/>
        <v>0.1985113341330651</v>
      </c>
      <c r="C276" t="str">
        <f t="shared" ca="1" si="9"/>
        <v/>
      </c>
    </row>
    <row r="277" spans="1:3">
      <c r="A277" s="185">
        <v>124</v>
      </c>
      <c r="B277" s="185">
        <f t="shared" ca="1" si="8"/>
        <v>0.62725956252405202</v>
      </c>
      <c r="C277" t="str">
        <f t="shared" ca="1" si="9"/>
        <v/>
      </c>
    </row>
    <row r="278" spans="1:3">
      <c r="A278" s="185">
        <v>158</v>
      </c>
      <c r="B278" s="185">
        <f t="shared" ca="1" si="8"/>
        <v>0.48597679070030964</v>
      </c>
      <c r="C278" t="str">
        <f t="shared" ca="1" si="9"/>
        <v/>
      </c>
    </row>
    <row r="279" spans="1:3">
      <c r="A279" s="185">
        <v>128</v>
      </c>
      <c r="B279" s="185">
        <f t="shared" ca="1" si="8"/>
        <v>0.55083657695059074</v>
      </c>
      <c r="C279" t="str">
        <f t="shared" ca="1" si="9"/>
        <v/>
      </c>
    </row>
    <row r="280" spans="1:3">
      <c r="A280" s="185">
        <v>127</v>
      </c>
      <c r="B280" s="185">
        <f t="shared" ca="1" si="8"/>
        <v>0.89553268034777234</v>
      </c>
      <c r="C280" t="str">
        <f t="shared" ca="1" si="9"/>
        <v/>
      </c>
    </row>
    <row r="281" spans="1:3">
      <c r="A281" s="185">
        <v>99</v>
      </c>
      <c r="B281" s="185">
        <f t="shared" ca="1" si="8"/>
        <v>0.47123319646746809</v>
      </c>
      <c r="C281" t="str">
        <f t="shared" ca="1" si="9"/>
        <v/>
      </c>
    </row>
    <row r="282" spans="1:3">
      <c r="A282" s="185">
        <v>101</v>
      </c>
      <c r="B282" s="185">
        <f t="shared" ca="1" si="8"/>
        <v>0.97408067815930632</v>
      </c>
      <c r="C282" t="str">
        <f t="shared" ca="1" si="9"/>
        <v/>
      </c>
    </row>
    <row r="283" spans="1:3">
      <c r="A283" s="185">
        <v>81</v>
      </c>
      <c r="B283" s="185">
        <f t="shared" ca="1" si="8"/>
        <v>0.3019996379947214</v>
      </c>
      <c r="C283" t="str">
        <f t="shared" ca="1" si="9"/>
        <v/>
      </c>
    </row>
    <row r="284" spans="1:3">
      <c r="A284" s="185">
        <v>122</v>
      </c>
      <c r="B284" s="185">
        <f t="shared" ca="1" si="8"/>
        <v>0.55477808207090362</v>
      </c>
      <c r="C284" t="str">
        <f t="shared" ca="1" si="9"/>
        <v/>
      </c>
    </row>
    <row r="285" spans="1:3">
      <c r="A285" s="185">
        <v>138</v>
      </c>
      <c r="B285" s="185">
        <f t="shared" ca="1" si="8"/>
        <v>0.66869948341113639</v>
      </c>
      <c r="C285" t="str">
        <f t="shared" ca="1" si="9"/>
        <v/>
      </c>
    </row>
    <row r="286" spans="1:3">
      <c r="A286" s="185">
        <v>93</v>
      </c>
      <c r="B286" s="185">
        <f t="shared" ca="1" si="8"/>
        <v>3.3189117575679106E-2</v>
      </c>
      <c r="C286">
        <f t="shared" ca="1" si="9"/>
        <v>93</v>
      </c>
    </row>
    <row r="287" spans="1:3">
      <c r="A287" s="185">
        <v>81</v>
      </c>
      <c r="B287" s="185">
        <f t="shared" ca="1" si="8"/>
        <v>0.56723446166722091</v>
      </c>
      <c r="C287" t="str">
        <f t="shared" ca="1" si="9"/>
        <v/>
      </c>
    </row>
    <row r="288" spans="1:3">
      <c r="A288" s="185">
        <v>155</v>
      </c>
      <c r="B288" s="185">
        <f t="shared" ca="1" si="8"/>
        <v>0.73994747534814476</v>
      </c>
      <c r="C288" t="str">
        <f t="shared" ca="1" si="9"/>
        <v/>
      </c>
    </row>
    <row r="289" spans="1:3">
      <c r="A289" s="185">
        <v>84</v>
      </c>
      <c r="B289" s="185">
        <f t="shared" ca="1" si="8"/>
        <v>2.7033914067501996E-2</v>
      </c>
      <c r="C289">
        <f t="shared" ca="1" si="9"/>
        <v>84</v>
      </c>
    </row>
    <row r="290" spans="1:3">
      <c r="A290" s="185">
        <v>97</v>
      </c>
      <c r="B290" s="185">
        <f t="shared" ca="1" si="8"/>
        <v>0.75788923081074344</v>
      </c>
      <c r="C290" t="str">
        <f t="shared" ca="1" si="9"/>
        <v/>
      </c>
    </row>
    <row r="291" spans="1:3">
      <c r="A291" s="185">
        <v>147</v>
      </c>
      <c r="B291" s="185">
        <f t="shared" ca="1" si="8"/>
        <v>0.50641004465254102</v>
      </c>
      <c r="C291" t="str">
        <f t="shared" ca="1" si="9"/>
        <v/>
      </c>
    </row>
    <row r="292" spans="1:3">
      <c r="A292" s="185">
        <v>126</v>
      </c>
      <c r="B292" s="185">
        <f t="shared" ca="1" si="8"/>
        <v>0.90874728280118178</v>
      </c>
      <c r="C292" t="str">
        <f t="shared" ca="1" si="9"/>
        <v/>
      </c>
    </row>
    <row r="293" spans="1:3">
      <c r="A293" s="185">
        <v>83</v>
      </c>
      <c r="B293" s="185">
        <f t="shared" ca="1" si="8"/>
        <v>0.46012815464380519</v>
      </c>
      <c r="C293" t="str">
        <f t="shared" ca="1" si="9"/>
        <v/>
      </c>
    </row>
    <row r="294" spans="1:3">
      <c r="A294" s="185">
        <v>129</v>
      </c>
      <c r="B294" s="185">
        <f t="shared" ca="1" si="8"/>
        <v>0.90649542181064913</v>
      </c>
      <c r="C294" t="str">
        <f t="shared" ca="1" si="9"/>
        <v/>
      </c>
    </row>
    <row r="295" spans="1:3">
      <c r="A295" s="185">
        <v>119</v>
      </c>
      <c r="B295" s="185">
        <f t="shared" ca="1" si="8"/>
        <v>2.7860934894523348E-2</v>
      </c>
      <c r="C295">
        <f t="shared" ca="1" si="9"/>
        <v>119</v>
      </c>
    </row>
    <row r="296" spans="1:3">
      <c r="A296" s="185">
        <v>122</v>
      </c>
      <c r="B296" s="185">
        <f t="shared" ca="1" si="8"/>
        <v>0.67281634202799978</v>
      </c>
      <c r="C296" t="str">
        <f t="shared" ca="1" si="9"/>
        <v/>
      </c>
    </row>
    <row r="297" spans="1:3">
      <c r="A297" s="185">
        <v>125</v>
      </c>
      <c r="B297" s="185">
        <f t="shared" ca="1" si="8"/>
        <v>0.56647718374650413</v>
      </c>
      <c r="C297" t="str">
        <f t="shared" ca="1" si="9"/>
        <v/>
      </c>
    </row>
    <row r="298" spans="1:3">
      <c r="A298" s="185">
        <v>136</v>
      </c>
      <c r="B298" s="185">
        <f t="shared" ca="1" si="8"/>
        <v>0.12977788109329058</v>
      </c>
      <c r="C298" t="str">
        <f t="shared" ca="1" si="9"/>
        <v/>
      </c>
    </row>
    <row r="299" spans="1:3">
      <c r="A299" s="185">
        <v>112</v>
      </c>
      <c r="B299" s="185">
        <f t="shared" ca="1" si="8"/>
        <v>0.26176476731260756</v>
      </c>
      <c r="C299" t="str">
        <f t="shared" ca="1" si="9"/>
        <v/>
      </c>
    </row>
    <row r="300" spans="1:3">
      <c r="A300" s="185">
        <v>126</v>
      </c>
      <c r="B300" s="185">
        <f t="shared" ca="1" si="8"/>
        <v>0.21953111976991169</v>
      </c>
      <c r="C300" t="str">
        <f t="shared" ca="1" si="9"/>
        <v/>
      </c>
    </row>
    <row r="301" spans="1:3">
      <c r="A301" s="185">
        <v>112</v>
      </c>
      <c r="B301" s="185">
        <f t="shared" ca="1" si="8"/>
        <v>0.54077567165632257</v>
      </c>
      <c r="C301" t="str">
        <f t="shared" ca="1" si="9"/>
        <v/>
      </c>
    </row>
    <row r="302" spans="1:3">
      <c r="A302" s="185">
        <v>119</v>
      </c>
      <c r="B302" s="185">
        <f t="shared" ca="1" si="8"/>
        <v>0.79526212676304753</v>
      </c>
      <c r="C302" t="str">
        <f t="shared" ca="1" si="9"/>
        <v/>
      </c>
    </row>
    <row r="303" spans="1:3">
      <c r="A303" s="185">
        <v>104</v>
      </c>
      <c r="B303" s="185">
        <f t="shared" ca="1" si="8"/>
        <v>0.47974923586268403</v>
      </c>
      <c r="C303" t="str">
        <f t="shared" ca="1" si="9"/>
        <v/>
      </c>
    </row>
    <row r="304" spans="1:3">
      <c r="A304" s="185">
        <v>149</v>
      </c>
      <c r="B304" s="185">
        <f t="shared" ca="1" si="8"/>
        <v>0.61940859648115687</v>
      </c>
      <c r="C304" t="str">
        <f t="shared" ca="1" si="9"/>
        <v/>
      </c>
    </row>
    <row r="305" spans="1:3">
      <c r="A305" s="185">
        <v>114</v>
      </c>
      <c r="B305" s="185">
        <f t="shared" ca="1" si="8"/>
        <v>0.62017841060725321</v>
      </c>
      <c r="C305" t="str">
        <f t="shared" ca="1" si="9"/>
        <v/>
      </c>
    </row>
    <row r="306" spans="1:3">
      <c r="A306" s="185">
        <v>124</v>
      </c>
      <c r="B306" s="185">
        <f t="shared" ca="1" si="8"/>
        <v>0.45963115773094287</v>
      </c>
      <c r="C306" t="str">
        <f t="shared" ca="1" si="9"/>
        <v/>
      </c>
    </row>
    <row r="307" spans="1:3">
      <c r="A307" s="185">
        <v>117</v>
      </c>
      <c r="B307" s="185">
        <f t="shared" ca="1" si="8"/>
        <v>7.943991517527671E-2</v>
      </c>
      <c r="C307" t="str">
        <f t="shared" ca="1" si="9"/>
        <v/>
      </c>
    </row>
    <row r="308" spans="1:3">
      <c r="A308" s="185">
        <v>112</v>
      </c>
      <c r="B308" s="185">
        <f t="shared" ca="1" si="8"/>
        <v>0.73872083898297536</v>
      </c>
      <c r="C308" t="str">
        <f t="shared" ca="1" si="9"/>
        <v/>
      </c>
    </row>
    <row r="309" spans="1:3">
      <c r="A309" s="185">
        <v>103</v>
      </c>
      <c r="B309" s="185">
        <f t="shared" ca="1" si="8"/>
        <v>0.97226016488583777</v>
      </c>
      <c r="C309" t="str">
        <f t="shared" ca="1" si="9"/>
        <v/>
      </c>
    </row>
    <row r="310" spans="1:3">
      <c r="A310" s="185">
        <v>150</v>
      </c>
      <c r="B310" s="185">
        <f t="shared" ca="1" si="8"/>
        <v>0.79532712512786397</v>
      </c>
      <c r="C310" t="str">
        <f t="shared" ca="1" si="9"/>
        <v/>
      </c>
    </row>
    <row r="311" spans="1:3">
      <c r="A311" s="185">
        <v>104</v>
      </c>
      <c r="B311" s="185">
        <f t="shared" ca="1" si="8"/>
        <v>0.20498693350047503</v>
      </c>
      <c r="C311" t="str">
        <f t="shared" ca="1" si="9"/>
        <v/>
      </c>
    </row>
    <row r="312" spans="1:3">
      <c r="A312" s="185">
        <v>114</v>
      </c>
      <c r="B312" s="185">
        <f t="shared" ca="1" si="8"/>
        <v>0.68045922501598266</v>
      </c>
      <c r="C312" t="str">
        <f t="shared" ca="1" si="9"/>
        <v/>
      </c>
    </row>
    <row r="313" spans="1:3">
      <c r="A313" s="185">
        <v>108</v>
      </c>
      <c r="B313" s="185">
        <f t="shared" ca="1" si="8"/>
        <v>0.22622792533887548</v>
      </c>
      <c r="C313" t="str">
        <f t="shared" ca="1" si="9"/>
        <v/>
      </c>
    </row>
    <row r="314" spans="1:3">
      <c r="A314" s="185">
        <v>114</v>
      </c>
      <c r="B314" s="185">
        <f t="shared" ca="1" si="8"/>
        <v>4.620511122584503E-2</v>
      </c>
      <c r="C314" t="str">
        <f t="shared" ca="1" si="9"/>
        <v/>
      </c>
    </row>
    <row r="315" spans="1:3">
      <c r="A315" s="185">
        <v>105</v>
      </c>
      <c r="B315" s="185">
        <f t="shared" ca="1" si="8"/>
        <v>0.36562147114492594</v>
      </c>
      <c r="C315" t="str">
        <f t="shared" ca="1" si="9"/>
        <v/>
      </c>
    </row>
    <row r="316" spans="1:3">
      <c r="A316" s="185">
        <v>125</v>
      </c>
      <c r="B316" s="185">
        <f t="shared" ca="1" si="8"/>
        <v>0.58499692209461873</v>
      </c>
      <c r="C316" t="str">
        <f t="shared" ca="1" si="9"/>
        <v/>
      </c>
    </row>
    <row r="317" spans="1:3">
      <c r="A317" s="185">
        <v>106</v>
      </c>
      <c r="B317" s="185">
        <f t="shared" ca="1" si="8"/>
        <v>0.79673067197532887</v>
      </c>
      <c r="C317" t="str">
        <f t="shared" ca="1" si="9"/>
        <v/>
      </c>
    </row>
    <row r="318" spans="1:3">
      <c r="A318" s="185">
        <v>133</v>
      </c>
      <c r="B318" s="185">
        <f t="shared" ca="1" si="8"/>
        <v>0.58635876091280714</v>
      </c>
      <c r="C318" t="str">
        <f t="shared" ca="1" si="9"/>
        <v/>
      </c>
    </row>
    <row r="319" spans="1:3">
      <c r="A319" s="185">
        <v>96</v>
      </c>
      <c r="B319" s="185">
        <f t="shared" ca="1" si="8"/>
        <v>0.44142512922866661</v>
      </c>
      <c r="C319" t="str">
        <f t="shared" ca="1" si="9"/>
        <v/>
      </c>
    </row>
    <row r="320" spans="1:3">
      <c r="A320" s="185">
        <v>114</v>
      </c>
      <c r="B320" s="185">
        <f t="shared" ca="1" si="8"/>
        <v>0.85679017345162989</v>
      </c>
      <c r="C320" t="str">
        <f t="shared" ca="1" si="9"/>
        <v/>
      </c>
    </row>
    <row r="321" spans="1:3">
      <c r="A321" s="185">
        <v>135</v>
      </c>
      <c r="B321" s="185">
        <f t="shared" ca="1" si="8"/>
        <v>0.29636584213070627</v>
      </c>
      <c r="C321" t="str">
        <f t="shared" ca="1" si="9"/>
        <v/>
      </c>
    </row>
    <row r="322" spans="1:3">
      <c r="A322" s="185">
        <v>101</v>
      </c>
      <c r="B322" s="185">
        <f t="shared" ca="1" si="8"/>
        <v>0.8121788782349324</v>
      </c>
      <c r="C322" t="str">
        <f t="shared" ca="1" si="9"/>
        <v/>
      </c>
    </row>
    <row r="323" spans="1:3">
      <c r="A323" s="185">
        <v>115</v>
      </c>
      <c r="B323" s="185">
        <f t="shared" ca="1" si="8"/>
        <v>0.3619910521410814</v>
      </c>
      <c r="C323" t="str">
        <f t="shared" ca="1" si="9"/>
        <v/>
      </c>
    </row>
    <row r="324" spans="1:3">
      <c r="A324" s="185">
        <v>120</v>
      </c>
      <c r="B324" s="185">
        <f t="shared" ref="B324:B387" ca="1" si="10">RAND()</f>
        <v>0.83033399388575013</v>
      </c>
      <c r="C324" t="str">
        <f t="shared" ca="1" si="9"/>
        <v/>
      </c>
    </row>
    <row r="325" spans="1:3">
      <c r="A325" s="185">
        <v>97</v>
      </c>
      <c r="B325" s="185">
        <f t="shared" ca="1" si="10"/>
        <v>0.26212294403134706</v>
      </c>
      <c r="C325" t="str">
        <f t="shared" ref="C325:C388" ca="1" si="11">IF(B325&lt;=PERCENTILE($B$4:$B$503,$D$3/$D$2),A325,"")</f>
        <v/>
      </c>
    </row>
    <row r="326" spans="1:3">
      <c r="A326" s="185">
        <v>123</v>
      </c>
      <c r="B326" s="185">
        <f t="shared" ca="1" si="10"/>
        <v>0.29473279785436191</v>
      </c>
      <c r="C326" t="str">
        <f t="shared" ca="1" si="11"/>
        <v/>
      </c>
    </row>
    <row r="327" spans="1:3">
      <c r="A327" s="185">
        <v>137</v>
      </c>
      <c r="B327" s="185">
        <f t="shared" ca="1" si="10"/>
        <v>0.32185512346567968</v>
      </c>
      <c r="C327" t="str">
        <f t="shared" ca="1" si="11"/>
        <v/>
      </c>
    </row>
    <row r="328" spans="1:3">
      <c r="A328" s="185">
        <v>123</v>
      </c>
      <c r="B328" s="185">
        <f t="shared" ca="1" si="10"/>
        <v>0.5253761183036092</v>
      </c>
      <c r="C328" t="str">
        <f t="shared" ca="1" si="11"/>
        <v/>
      </c>
    </row>
    <row r="329" spans="1:3">
      <c r="A329" s="185">
        <v>113</v>
      </c>
      <c r="B329" s="185">
        <f t="shared" ca="1" si="10"/>
        <v>0.71300866147426856</v>
      </c>
      <c r="C329" t="str">
        <f t="shared" ca="1" si="11"/>
        <v/>
      </c>
    </row>
    <row r="330" spans="1:3">
      <c r="A330" s="185">
        <v>134</v>
      </c>
      <c r="B330" s="185">
        <f t="shared" ca="1" si="10"/>
        <v>0.86497496091323178</v>
      </c>
      <c r="C330" t="str">
        <f t="shared" ca="1" si="11"/>
        <v/>
      </c>
    </row>
    <row r="331" spans="1:3">
      <c r="A331" s="185">
        <v>92</v>
      </c>
      <c r="B331" s="185">
        <f t="shared" ca="1" si="10"/>
        <v>0.70579247444199811</v>
      </c>
      <c r="C331" t="str">
        <f t="shared" ca="1" si="11"/>
        <v/>
      </c>
    </row>
    <row r="332" spans="1:3">
      <c r="A332" s="185">
        <v>69</v>
      </c>
      <c r="B332" s="185">
        <f t="shared" ca="1" si="10"/>
        <v>0.98408048422833638</v>
      </c>
      <c r="C332" t="str">
        <f t="shared" ca="1" si="11"/>
        <v/>
      </c>
    </row>
    <row r="333" spans="1:3">
      <c r="A333" s="185">
        <v>124</v>
      </c>
      <c r="B333" s="185">
        <f t="shared" ca="1" si="10"/>
        <v>0.25702883794652953</v>
      </c>
      <c r="C333" t="str">
        <f t="shared" ca="1" si="11"/>
        <v/>
      </c>
    </row>
    <row r="334" spans="1:3">
      <c r="A334" s="185">
        <v>130</v>
      </c>
      <c r="B334" s="185">
        <f t="shared" ca="1" si="10"/>
        <v>0.36571446234783256</v>
      </c>
      <c r="C334" t="str">
        <f t="shared" ca="1" si="11"/>
        <v/>
      </c>
    </row>
    <row r="335" spans="1:3">
      <c r="A335" s="185">
        <v>128</v>
      </c>
      <c r="B335" s="185">
        <f t="shared" ca="1" si="10"/>
        <v>0.87797113573369612</v>
      </c>
      <c r="C335" t="str">
        <f t="shared" ca="1" si="11"/>
        <v/>
      </c>
    </row>
    <row r="336" spans="1:3">
      <c r="A336" s="185">
        <v>113</v>
      </c>
      <c r="B336" s="185">
        <f t="shared" ca="1" si="10"/>
        <v>2.1943128926080746E-2</v>
      </c>
      <c r="C336">
        <f t="shared" ca="1" si="11"/>
        <v>113</v>
      </c>
    </row>
    <row r="337" spans="1:3">
      <c r="A337" s="185">
        <v>131</v>
      </c>
      <c r="B337" s="185">
        <f t="shared" ca="1" si="10"/>
        <v>0.51326434210414895</v>
      </c>
      <c r="C337" t="str">
        <f t="shared" ca="1" si="11"/>
        <v/>
      </c>
    </row>
    <row r="338" spans="1:3">
      <c r="A338" s="185">
        <v>148</v>
      </c>
      <c r="B338" s="185">
        <f t="shared" ca="1" si="10"/>
        <v>0.40357083826295459</v>
      </c>
      <c r="C338" t="str">
        <f t="shared" ca="1" si="11"/>
        <v/>
      </c>
    </row>
    <row r="339" spans="1:3">
      <c r="A339" s="185">
        <v>122</v>
      </c>
      <c r="B339" s="185">
        <f t="shared" ca="1" si="10"/>
        <v>0.99606130691453298</v>
      </c>
      <c r="C339" t="str">
        <f t="shared" ca="1" si="11"/>
        <v/>
      </c>
    </row>
    <row r="340" spans="1:3">
      <c r="A340" s="185">
        <v>117</v>
      </c>
      <c r="B340" s="185">
        <f t="shared" ca="1" si="10"/>
        <v>0.258470698606307</v>
      </c>
      <c r="C340" t="str">
        <f t="shared" ca="1" si="11"/>
        <v/>
      </c>
    </row>
    <row r="341" spans="1:3">
      <c r="A341" s="185">
        <v>119</v>
      </c>
      <c r="B341" s="185">
        <f t="shared" ca="1" si="10"/>
        <v>0.91794460083295704</v>
      </c>
      <c r="C341" t="str">
        <f t="shared" ca="1" si="11"/>
        <v/>
      </c>
    </row>
    <row r="342" spans="1:3">
      <c r="A342" s="185">
        <v>111</v>
      </c>
      <c r="B342" s="185">
        <f t="shared" ca="1" si="10"/>
        <v>0.60083842741821947</v>
      </c>
      <c r="C342" t="str">
        <f t="shared" ca="1" si="11"/>
        <v/>
      </c>
    </row>
    <row r="343" spans="1:3">
      <c r="A343" s="185">
        <v>151</v>
      </c>
      <c r="B343" s="185">
        <f t="shared" ca="1" si="10"/>
        <v>0.72772223409839842</v>
      </c>
      <c r="C343" t="str">
        <f t="shared" ca="1" si="11"/>
        <v/>
      </c>
    </row>
    <row r="344" spans="1:3">
      <c r="A344" s="185">
        <v>135</v>
      </c>
      <c r="B344" s="185">
        <f t="shared" ca="1" si="10"/>
        <v>0.30578288270311571</v>
      </c>
      <c r="C344" t="str">
        <f t="shared" ca="1" si="11"/>
        <v/>
      </c>
    </row>
    <row r="345" spans="1:3">
      <c r="A345" s="185">
        <v>103</v>
      </c>
      <c r="B345" s="185">
        <f t="shared" ca="1" si="10"/>
        <v>0.53357910363657801</v>
      </c>
      <c r="C345" t="str">
        <f t="shared" ca="1" si="11"/>
        <v/>
      </c>
    </row>
    <row r="346" spans="1:3">
      <c r="A346" s="185">
        <v>82</v>
      </c>
      <c r="B346" s="185">
        <f t="shared" ca="1" si="10"/>
        <v>0.81989175298785577</v>
      </c>
      <c r="C346" t="str">
        <f t="shared" ca="1" si="11"/>
        <v/>
      </c>
    </row>
    <row r="347" spans="1:3">
      <c r="A347" s="185">
        <v>99</v>
      </c>
      <c r="B347" s="185">
        <f t="shared" ca="1" si="10"/>
        <v>2.5897082809015259E-2</v>
      </c>
      <c r="C347">
        <f t="shared" ca="1" si="11"/>
        <v>99</v>
      </c>
    </row>
    <row r="348" spans="1:3">
      <c r="A348" s="185">
        <v>106</v>
      </c>
      <c r="B348" s="185">
        <f t="shared" ca="1" si="10"/>
        <v>0.85243991189985224</v>
      </c>
      <c r="C348" t="str">
        <f t="shared" ca="1" si="11"/>
        <v/>
      </c>
    </row>
    <row r="349" spans="1:3">
      <c r="A349" s="185">
        <v>127</v>
      </c>
      <c r="B349" s="185">
        <f t="shared" ca="1" si="10"/>
        <v>0.17200125256028231</v>
      </c>
      <c r="C349" t="str">
        <f t="shared" ca="1" si="11"/>
        <v/>
      </c>
    </row>
    <row r="350" spans="1:3">
      <c r="A350" s="185">
        <v>109</v>
      </c>
      <c r="B350" s="185">
        <f t="shared" ca="1" si="10"/>
        <v>0.28129023101892425</v>
      </c>
      <c r="C350" t="str">
        <f t="shared" ca="1" si="11"/>
        <v/>
      </c>
    </row>
    <row r="351" spans="1:3">
      <c r="A351" s="185">
        <v>133</v>
      </c>
      <c r="B351" s="185">
        <f t="shared" ca="1" si="10"/>
        <v>0.83564052095036301</v>
      </c>
      <c r="C351" t="str">
        <f t="shared" ca="1" si="11"/>
        <v/>
      </c>
    </row>
    <row r="352" spans="1:3">
      <c r="A352" s="185">
        <v>125</v>
      </c>
      <c r="B352" s="185">
        <f t="shared" ca="1" si="10"/>
        <v>0.63252401312927975</v>
      </c>
      <c r="C352" t="str">
        <f t="shared" ca="1" si="11"/>
        <v/>
      </c>
    </row>
    <row r="353" spans="1:3">
      <c r="A353" s="185">
        <v>112</v>
      </c>
      <c r="B353" s="185">
        <f t="shared" ca="1" si="10"/>
        <v>0.32376419824702762</v>
      </c>
      <c r="C353" t="str">
        <f t="shared" ca="1" si="11"/>
        <v/>
      </c>
    </row>
    <row r="354" spans="1:3">
      <c r="A354" s="185">
        <v>140</v>
      </c>
      <c r="B354" s="185">
        <f t="shared" ca="1" si="10"/>
        <v>0.63774114847042318</v>
      </c>
      <c r="C354" t="str">
        <f t="shared" ca="1" si="11"/>
        <v/>
      </c>
    </row>
    <row r="355" spans="1:3">
      <c r="A355" s="185">
        <v>91</v>
      </c>
      <c r="B355" s="185">
        <f t="shared" ca="1" si="10"/>
        <v>0.80858852363073019</v>
      </c>
      <c r="C355" t="str">
        <f t="shared" ca="1" si="11"/>
        <v/>
      </c>
    </row>
    <row r="356" spans="1:3">
      <c r="A356" s="185">
        <v>125</v>
      </c>
      <c r="B356" s="185">
        <f t="shared" ca="1" si="10"/>
        <v>0.96940160542817155</v>
      </c>
      <c r="C356" t="str">
        <f t="shared" ca="1" si="11"/>
        <v/>
      </c>
    </row>
    <row r="357" spans="1:3">
      <c r="A357" s="185">
        <v>112</v>
      </c>
      <c r="B357" s="185">
        <f t="shared" ca="1" si="10"/>
        <v>0.63250800084217129</v>
      </c>
      <c r="C357" t="str">
        <f t="shared" ca="1" si="11"/>
        <v/>
      </c>
    </row>
    <row r="358" spans="1:3">
      <c r="A358" s="185">
        <v>148</v>
      </c>
      <c r="B358" s="185">
        <f t="shared" ca="1" si="10"/>
        <v>0.68254113403008132</v>
      </c>
      <c r="C358" t="str">
        <f t="shared" ca="1" si="11"/>
        <v/>
      </c>
    </row>
    <row r="359" spans="1:3">
      <c r="A359" s="185">
        <v>125</v>
      </c>
      <c r="B359" s="185">
        <f t="shared" ca="1" si="10"/>
        <v>0.63372113842587297</v>
      </c>
      <c r="C359" t="str">
        <f t="shared" ca="1" si="11"/>
        <v/>
      </c>
    </row>
    <row r="360" spans="1:3">
      <c r="A360" s="185">
        <v>124</v>
      </c>
      <c r="B360" s="185">
        <f t="shared" ca="1" si="10"/>
        <v>0.10063037445131418</v>
      </c>
      <c r="C360" t="str">
        <f t="shared" ca="1" si="11"/>
        <v/>
      </c>
    </row>
    <row r="361" spans="1:3">
      <c r="A361" s="185">
        <v>95</v>
      </c>
      <c r="B361" s="185">
        <f t="shared" ca="1" si="10"/>
        <v>0.70311744826992317</v>
      </c>
      <c r="C361" t="str">
        <f t="shared" ca="1" si="11"/>
        <v/>
      </c>
    </row>
    <row r="362" spans="1:3">
      <c r="A362" s="185">
        <v>106</v>
      </c>
      <c r="B362" s="185">
        <f t="shared" ca="1" si="10"/>
        <v>0.28122691189746796</v>
      </c>
      <c r="C362" t="str">
        <f t="shared" ca="1" si="11"/>
        <v/>
      </c>
    </row>
    <row r="363" spans="1:3">
      <c r="A363" s="185">
        <v>109</v>
      </c>
      <c r="B363" s="185">
        <f t="shared" ca="1" si="10"/>
        <v>0.46465645620539942</v>
      </c>
      <c r="C363" t="str">
        <f t="shared" ca="1" si="11"/>
        <v/>
      </c>
    </row>
    <row r="364" spans="1:3">
      <c r="A364" s="185">
        <v>82</v>
      </c>
      <c r="B364" s="185">
        <f t="shared" ca="1" si="10"/>
        <v>2.2084312819855789E-2</v>
      </c>
      <c r="C364">
        <f t="shared" ca="1" si="11"/>
        <v>82</v>
      </c>
    </row>
    <row r="365" spans="1:3">
      <c r="A365" s="185">
        <v>91</v>
      </c>
      <c r="B365" s="185">
        <f t="shared" ca="1" si="10"/>
        <v>0.40214791921406334</v>
      </c>
      <c r="C365" t="str">
        <f t="shared" ca="1" si="11"/>
        <v/>
      </c>
    </row>
    <row r="366" spans="1:3">
      <c r="A366" s="185">
        <v>165</v>
      </c>
      <c r="B366" s="185">
        <f t="shared" ca="1" si="10"/>
        <v>0.29149324163298829</v>
      </c>
      <c r="C366" t="str">
        <f t="shared" ca="1" si="11"/>
        <v/>
      </c>
    </row>
    <row r="367" spans="1:3">
      <c r="A367" s="185">
        <v>89</v>
      </c>
      <c r="B367" s="185">
        <f t="shared" ca="1" si="10"/>
        <v>0.1315642579725651</v>
      </c>
      <c r="C367" t="str">
        <f t="shared" ca="1" si="11"/>
        <v/>
      </c>
    </row>
    <row r="368" spans="1:3">
      <c r="A368" s="185">
        <v>96</v>
      </c>
      <c r="B368" s="185">
        <f t="shared" ca="1" si="10"/>
        <v>0.88037061983876641</v>
      </c>
      <c r="C368" t="str">
        <f t="shared" ca="1" si="11"/>
        <v/>
      </c>
    </row>
    <row r="369" spans="1:3">
      <c r="A369" s="185">
        <v>109</v>
      </c>
      <c r="B369" s="185">
        <f t="shared" ca="1" si="10"/>
        <v>0.48138763435186172</v>
      </c>
      <c r="C369" t="str">
        <f t="shared" ca="1" si="11"/>
        <v/>
      </c>
    </row>
    <row r="370" spans="1:3">
      <c r="A370" s="185">
        <v>104</v>
      </c>
      <c r="B370" s="185">
        <f t="shared" ca="1" si="10"/>
        <v>0.94206466695480895</v>
      </c>
      <c r="C370" t="str">
        <f t="shared" ca="1" si="11"/>
        <v/>
      </c>
    </row>
    <row r="371" spans="1:3">
      <c r="A371" s="185">
        <v>96</v>
      </c>
      <c r="B371" s="185">
        <f t="shared" ca="1" si="10"/>
        <v>0.78402721287304278</v>
      </c>
      <c r="C371" t="str">
        <f t="shared" ca="1" si="11"/>
        <v/>
      </c>
    </row>
    <row r="372" spans="1:3">
      <c r="A372" s="185">
        <v>120</v>
      </c>
      <c r="B372" s="185">
        <f t="shared" ca="1" si="10"/>
        <v>0.57201633227302051</v>
      </c>
      <c r="C372" t="str">
        <f t="shared" ca="1" si="11"/>
        <v/>
      </c>
    </row>
    <row r="373" spans="1:3">
      <c r="A373" s="185">
        <v>102</v>
      </c>
      <c r="B373" s="185">
        <f t="shared" ca="1" si="10"/>
        <v>0.32751480846710801</v>
      </c>
      <c r="C373" t="str">
        <f t="shared" ca="1" si="11"/>
        <v/>
      </c>
    </row>
    <row r="374" spans="1:3">
      <c r="A374" s="185">
        <v>111</v>
      </c>
      <c r="B374" s="185">
        <f t="shared" ca="1" si="10"/>
        <v>0.96946657108544976</v>
      </c>
      <c r="C374" t="str">
        <f t="shared" ca="1" si="11"/>
        <v/>
      </c>
    </row>
    <row r="375" spans="1:3">
      <c r="A375" s="185">
        <v>129</v>
      </c>
      <c r="B375" s="185">
        <f t="shared" ca="1" si="10"/>
        <v>0.11324001094219605</v>
      </c>
      <c r="C375" t="str">
        <f t="shared" ca="1" si="11"/>
        <v/>
      </c>
    </row>
    <row r="376" spans="1:3">
      <c r="A376" s="185">
        <v>118</v>
      </c>
      <c r="B376" s="185">
        <f t="shared" ca="1" si="10"/>
        <v>9.8097769226408893E-2</v>
      </c>
      <c r="C376" t="str">
        <f t="shared" ca="1" si="11"/>
        <v/>
      </c>
    </row>
    <row r="377" spans="1:3">
      <c r="A377" s="185">
        <v>99</v>
      </c>
      <c r="B377" s="185">
        <f t="shared" ca="1" si="10"/>
        <v>0.74312455101973729</v>
      </c>
      <c r="C377" t="str">
        <f t="shared" ca="1" si="11"/>
        <v/>
      </c>
    </row>
    <row r="378" spans="1:3">
      <c r="A378" s="185">
        <v>107</v>
      </c>
      <c r="B378" s="185">
        <f t="shared" ca="1" si="10"/>
        <v>0.90419440294751996</v>
      </c>
      <c r="C378" t="str">
        <f t="shared" ca="1" si="11"/>
        <v/>
      </c>
    </row>
    <row r="379" spans="1:3">
      <c r="A379" s="185">
        <v>86</v>
      </c>
      <c r="B379" s="185">
        <f t="shared" ca="1" si="10"/>
        <v>0.83233709167323333</v>
      </c>
      <c r="C379" t="str">
        <f t="shared" ca="1" si="11"/>
        <v/>
      </c>
    </row>
    <row r="380" spans="1:3">
      <c r="A380" s="185">
        <v>95</v>
      </c>
      <c r="B380" s="185">
        <f t="shared" ca="1" si="10"/>
        <v>4.245707081547101E-2</v>
      </c>
      <c r="C380">
        <f t="shared" ca="1" si="11"/>
        <v>95</v>
      </c>
    </row>
    <row r="381" spans="1:3">
      <c r="A381" s="185">
        <v>136</v>
      </c>
      <c r="B381" s="185">
        <f t="shared" ca="1" si="10"/>
        <v>0.35513435174101726</v>
      </c>
      <c r="C381" t="str">
        <f t="shared" ca="1" si="11"/>
        <v/>
      </c>
    </row>
    <row r="382" spans="1:3">
      <c r="A382" s="185">
        <v>145</v>
      </c>
      <c r="B382" s="185">
        <f t="shared" ca="1" si="10"/>
        <v>0.49449655264310843</v>
      </c>
      <c r="C382" t="str">
        <f t="shared" ca="1" si="11"/>
        <v/>
      </c>
    </row>
    <row r="383" spans="1:3">
      <c r="A383" s="185">
        <v>119</v>
      </c>
      <c r="B383" s="185">
        <f t="shared" ca="1" si="10"/>
        <v>0.19646413006908858</v>
      </c>
      <c r="C383" t="str">
        <f t="shared" ca="1" si="11"/>
        <v/>
      </c>
    </row>
    <row r="384" spans="1:3">
      <c r="A384" s="185">
        <v>102</v>
      </c>
      <c r="B384" s="185">
        <f t="shared" ca="1" si="10"/>
        <v>0.22633182580365507</v>
      </c>
      <c r="C384" t="str">
        <f t="shared" ca="1" si="11"/>
        <v/>
      </c>
    </row>
    <row r="385" spans="1:3">
      <c r="A385" s="185">
        <v>103</v>
      </c>
      <c r="B385" s="185">
        <f t="shared" ca="1" si="10"/>
        <v>0.97568575129139479</v>
      </c>
      <c r="C385" t="str">
        <f t="shared" ca="1" si="11"/>
        <v/>
      </c>
    </row>
    <row r="386" spans="1:3">
      <c r="A386" s="185">
        <v>95</v>
      </c>
      <c r="B386" s="185">
        <f t="shared" ca="1" si="10"/>
        <v>0.149441817228678</v>
      </c>
      <c r="C386" t="str">
        <f t="shared" ca="1" si="11"/>
        <v/>
      </c>
    </row>
    <row r="387" spans="1:3">
      <c r="A387" s="185">
        <v>116</v>
      </c>
      <c r="B387" s="185">
        <f t="shared" ca="1" si="10"/>
        <v>0.31383147039691117</v>
      </c>
      <c r="C387" t="str">
        <f t="shared" ca="1" si="11"/>
        <v/>
      </c>
    </row>
    <row r="388" spans="1:3">
      <c r="A388" s="185">
        <v>131</v>
      </c>
      <c r="B388" s="185">
        <f t="shared" ref="B388:B451" ca="1" si="12">RAND()</f>
        <v>0.26307879015641866</v>
      </c>
      <c r="C388" t="str">
        <f t="shared" ca="1" si="11"/>
        <v/>
      </c>
    </row>
    <row r="389" spans="1:3">
      <c r="A389" s="185">
        <v>127</v>
      </c>
      <c r="B389" s="185">
        <f t="shared" ca="1" si="12"/>
        <v>0.84523114900169016</v>
      </c>
      <c r="C389" t="str">
        <f t="shared" ref="C389:C452" ca="1" si="13">IF(B389&lt;=PERCENTILE($B$4:$B$503,$D$3/$D$2),A389,"")</f>
        <v/>
      </c>
    </row>
    <row r="390" spans="1:3">
      <c r="A390" s="185">
        <v>127</v>
      </c>
      <c r="B390" s="185">
        <f t="shared" ca="1" si="12"/>
        <v>0.52417696266205294</v>
      </c>
      <c r="C390" t="str">
        <f t="shared" ca="1" si="13"/>
        <v/>
      </c>
    </row>
    <row r="391" spans="1:3">
      <c r="A391" s="185">
        <v>135</v>
      </c>
      <c r="B391" s="185">
        <f t="shared" ca="1" si="12"/>
        <v>0.88241657522051642</v>
      </c>
      <c r="C391" t="str">
        <f t="shared" ca="1" si="13"/>
        <v/>
      </c>
    </row>
    <row r="392" spans="1:3">
      <c r="A392" s="185">
        <v>147</v>
      </c>
      <c r="B392" s="185">
        <f t="shared" ca="1" si="12"/>
        <v>0.90844769880801723</v>
      </c>
      <c r="C392" t="str">
        <f t="shared" ca="1" si="13"/>
        <v/>
      </c>
    </row>
    <row r="393" spans="1:3">
      <c r="A393" s="185">
        <v>141</v>
      </c>
      <c r="B393" s="185">
        <f t="shared" ca="1" si="12"/>
        <v>0.80275181636391069</v>
      </c>
      <c r="C393" t="str">
        <f t="shared" ca="1" si="13"/>
        <v/>
      </c>
    </row>
    <row r="394" spans="1:3">
      <c r="A394" s="185">
        <v>80</v>
      </c>
      <c r="B394" s="185">
        <f t="shared" ca="1" si="12"/>
        <v>7.6062157564636745E-2</v>
      </c>
      <c r="C394" t="str">
        <f t="shared" ca="1" si="13"/>
        <v/>
      </c>
    </row>
    <row r="395" spans="1:3">
      <c r="A395" s="185">
        <v>113</v>
      </c>
      <c r="B395" s="185">
        <f t="shared" ca="1" si="12"/>
        <v>0.70218604526875605</v>
      </c>
      <c r="C395" t="str">
        <f t="shared" ca="1" si="13"/>
        <v/>
      </c>
    </row>
    <row r="396" spans="1:3">
      <c r="A396" s="185">
        <v>129</v>
      </c>
      <c r="B396" s="185">
        <f t="shared" ca="1" si="12"/>
        <v>0.59062873743953093</v>
      </c>
      <c r="C396" t="str">
        <f t="shared" ca="1" si="13"/>
        <v/>
      </c>
    </row>
    <row r="397" spans="1:3">
      <c r="A397" s="185">
        <v>114</v>
      </c>
      <c r="B397" s="185">
        <f t="shared" ca="1" si="12"/>
        <v>0.21430673431460878</v>
      </c>
      <c r="C397" t="str">
        <f t="shared" ca="1" si="13"/>
        <v/>
      </c>
    </row>
    <row r="398" spans="1:3">
      <c r="A398" s="185">
        <v>123</v>
      </c>
      <c r="B398" s="185">
        <f t="shared" ca="1" si="12"/>
        <v>0.82673182413310142</v>
      </c>
      <c r="C398" t="str">
        <f t="shared" ca="1" si="13"/>
        <v/>
      </c>
    </row>
    <row r="399" spans="1:3">
      <c r="A399" s="185">
        <v>114</v>
      </c>
      <c r="B399" s="185">
        <f t="shared" ca="1" si="12"/>
        <v>0.54651705873988909</v>
      </c>
      <c r="C399" t="str">
        <f t="shared" ca="1" si="13"/>
        <v/>
      </c>
    </row>
    <row r="400" spans="1:3">
      <c r="A400" s="185">
        <v>121</v>
      </c>
      <c r="B400" s="185">
        <f t="shared" ca="1" si="12"/>
        <v>0.88213139244198158</v>
      </c>
      <c r="C400" t="str">
        <f t="shared" ca="1" si="13"/>
        <v/>
      </c>
    </row>
    <row r="401" spans="1:3">
      <c r="A401" s="185">
        <v>124</v>
      </c>
      <c r="B401" s="185">
        <f t="shared" ca="1" si="12"/>
        <v>0.17908855375995381</v>
      </c>
      <c r="C401" t="str">
        <f t="shared" ca="1" si="13"/>
        <v/>
      </c>
    </row>
    <row r="402" spans="1:3">
      <c r="A402" s="185">
        <v>117</v>
      </c>
      <c r="B402" s="185">
        <f t="shared" ca="1" si="12"/>
        <v>0.41093116952660047</v>
      </c>
      <c r="C402" t="str">
        <f t="shared" ca="1" si="13"/>
        <v/>
      </c>
    </row>
    <row r="403" spans="1:3">
      <c r="A403" s="185">
        <v>169</v>
      </c>
      <c r="B403" s="185">
        <f t="shared" ca="1" si="12"/>
        <v>0.61775006955530021</v>
      </c>
      <c r="C403" t="str">
        <f t="shared" ca="1" si="13"/>
        <v/>
      </c>
    </row>
    <row r="404" spans="1:3">
      <c r="A404" s="185">
        <v>90</v>
      </c>
      <c r="B404" s="185">
        <f t="shared" ca="1" si="12"/>
        <v>0.22336209292074027</v>
      </c>
      <c r="C404" t="str">
        <f t="shared" ca="1" si="13"/>
        <v/>
      </c>
    </row>
    <row r="405" spans="1:3">
      <c r="A405" s="185">
        <v>129</v>
      </c>
      <c r="B405" s="185">
        <f t="shared" ca="1" si="12"/>
        <v>0.17508332346709476</v>
      </c>
      <c r="C405" t="str">
        <f t="shared" ca="1" si="13"/>
        <v/>
      </c>
    </row>
    <row r="406" spans="1:3">
      <c r="A406" s="185">
        <v>120</v>
      </c>
      <c r="B406" s="185">
        <f t="shared" ca="1" si="12"/>
        <v>0.55893281616144463</v>
      </c>
      <c r="C406" t="str">
        <f t="shared" ca="1" si="13"/>
        <v/>
      </c>
    </row>
    <row r="407" spans="1:3">
      <c r="A407" s="185">
        <v>140</v>
      </c>
      <c r="B407" s="185">
        <f t="shared" ca="1" si="12"/>
        <v>0.25209153814111573</v>
      </c>
      <c r="C407" t="str">
        <f t="shared" ca="1" si="13"/>
        <v/>
      </c>
    </row>
    <row r="408" spans="1:3">
      <c r="A408" s="185">
        <v>126</v>
      </c>
      <c r="B408" s="185">
        <f t="shared" ca="1" si="12"/>
        <v>0.8105080655355279</v>
      </c>
      <c r="C408" t="str">
        <f t="shared" ca="1" si="13"/>
        <v/>
      </c>
    </row>
    <row r="409" spans="1:3">
      <c r="A409" s="185">
        <v>96</v>
      </c>
      <c r="B409" s="185">
        <f t="shared" ca="1" si="12"/>
        <v>0.58606390733761615</v>
      </c>
      <c r="C409" t="str">
        <f t="shared" ca="1" si="13"/>
        <v/>
      </c>
    </row>
    <row r="410" spans="1:3">
      <c r="A410" s="185">
        <v>134</v>
      </c>
      <c r="B410" s="185">
        <f t="shared" ca="1" si="12"/>
        <v>0.49379172273230321</v>
      </c>
      <c r="C410" t="str">
        <f t="shared" ca="1" si="13"/>
        <v/>
      </c>
    </row>
    <row r="411" spans="1:3">
      <c r="A411" s="185">
        <v>122</v>
      </c>
      <c r="B411" s="185">
        <f t="shared" ca="1" si="12"/>
        <v>0.79570732959356061</v>
      </c>
      <c r="C411" t="str">
        <f t="shared" ca="1" si="13"/>
        <v/>
      </c>
    </row>
    <row r="412" spans="1:3">
      <c r="A412" s="185">
        <v>127</v>
      </c>
      <c r="B412" s="185">
        <f t="shared" ca="1" si="12"/>
        <v>0.48233839520107225</v>
      </c>
      <c r="C412" t="str">
        <f t="shared" ca="1" si="13"/>
        <v/>
      </c>
    </row>
    <row r="413" spans="1:3">
      <c r="A413" s="185">
        <v>87</v>
      </c>
      <c r="B413" s="185">
        <f t="shared" ca="1" si="12"/>
        <v>0.65782620345204745</v>
      </c>
      <c r="C413" t="str">
        <f t="shared" ca="1" si="13"/>
        <v/>
      </c>
    </row>
    <row r="414" spans="1:3">
      <c r="A414" s="185">
        <v>103</v>
      </c>
      <c r="B414" s="185">
        <f t="shared" ca="1" si="12"/>
        <v>3.1855702671568231E-2</v>
      </c>
      <c r="C414">
        <f t="shared" ca="1" si="13"/>
        <v>103</v>
      </c>
    </row>
    <row r="415" spans="1:3">
      <c r="A415" s="185">
        <v>115</v>
      </c>
      <c r="B415" s="185">
        <f t="shared" ca="1" si="12"/>
        <v>9.5101571847655109E-2</v>
      </c>
      <c r="C415" t="str">
        <f t="shared" ca="1" si="13"/>
        <v/>
      </c>
    </row>
    <row r="416" spans="1:3">
      <c r="A416" s="185">
        <v>143</v>
      </c>
      <c r="B416" s="185">
        <f t="shared" ca="1" si="12"/>
        <v>5.6869885431272138E-3</v>
      </c>
      <c r="C416">
        <f t="shared" ca="1" si="13"/>
        <v>143</v>
      </c>
    </row>
    <row r="417" spans="1:3">
      <c r="A417" s="185">
        <v>145</v>
      </c>
      <c r="B417" s="185">
        <f t="shared" ca="1" si="12"/>
        <v>2.0852178464990878E-2</v>
      </c>
      <c r="C417">
        <f t="shared" ca="1" si="13"/>
        <v>145</v>
      </c>
    </row>
    <row r="418" spans="1:3">
      <c r="A418" s="185">
        <v>138</v>
      </c>
      <c r="B418" s="185">
        <f t="shared" ca="1" si="12"/>
        <v>0.17010312389120941</v>
      </c>
      <c r="C418" t="str">
        <f t="shared" ca="1" si="13"/>
        <v/>
      </c>
    </row>
    <row r="419" spans="1:3">
      <c r="A419" s="185">
        <v>133</v>
      </c>
      <c r="B419" s="185">
        <f t="shared" ca="1" si="12"/>
        <v>0.86149002136442587</v>
      </c>
      <c r="C419" t="str">
        <f t="shared" ca="1" si="13"/>
        <v/>
      </c>
    </row>
    <row r="420" spans="1:3">
      <c r="A420" s="185">
        <v>117</v>
      </c>
      <c r="B420" s="185">
        <f t="shared" ca="1" si="12"/>
        <v>0.58126802021546187</v>
      </c>
      <c r="C420" t="str">
        <f t="shared" ca="1" si="13"/>
        <v/>
      </c>
    </row>
    <row r="421" spans="1:3">
      <c r="A421" s="185">
        <v>118</v>
      </c>
      <c r="B421" s="185">
        <f t="shared" ca="1" si="12"/>
        <v>0.89445238219852108</v>
      </c>
      <c r="C421" t="str">
        <f t="shared" ca="1" si="13"/>
        <v/>
      </c>
    </row>
    <row r="422" spans="1:3">
      <c r="A422" s="185">
        <v>159</v>
      </c>
      <c r="B422" s="185">
        <f t="shared" ca="1" si="12"/>
        <v>1.3172312987756341E-2</v>
      </c>
      <c r="C422">
        <f t="shared" ca="1" si="13"/>
        <v>159</v>
      </c>
    </row>
    <row r="423" spans="1:3">
      <c r="A423" s="185">
        <v>133</v>
      </c>
      <c r="B423" s="185">
        <f t="shared" ca="1" si="12"/>
        <v>0.12149411697129775</v>
      </c>
      <c r="C423" t="str">
        <f t="shared" ca="1" si="13"/>
        <v/>
      </c>
    </row>
    <row r="424" spans="1:3">
      <c r="A424" s="185">
        <v>120</v>
      </c>
      <c r="B424" s="185">
        <f t="shared" ca="1" si="12"/>
        <v>0.78866403900636639</v>
      </c>
      <c r="C424" t="str">
        <f t="shared" ca="1" si="13"/>
        <v/>
      </c>
    </row>
    <row r="425" spans="1:3">
      <c r="A425" s="185">
        <v>100</v>
      </c>
      <c r="B425" s="185">
        <f t="shared" ca="1" si="12"/>
        <v>0.53670090384326952</v>
      </c>
      <c r="C425" t="str">
        <f t="shared" ca="1" si="13"/>
        <v/>
      </c>
    </row>
    <row r="426" spans="1:3">
      <c r="A426" s="185">
        <v>124</v>
      </c>
      <c r="B426" s="185">
        <f t="shared" ca="1" si="12"/>
        <v>3.246342967390814E-2</v>
      </c>
      <c r="C426">
        <f t="shared" ca="1" si="13"/>
        <v>124</v>
      </c>
    </row>
    <row r="427" spans="1:3">
      <c r="A427" s="185">
        <v>99</v>
      </c>
      <c r="B427" s="185">
        <f t="shared" ca="1" si="12"/>
        <v>0.9250823531083423</v>
      </c>
      <c r="C427" t="str">
        <f t="shared" ca="1" si="13"/>
        <v/>
      </c>
    </row>
    <row r="428" spans="1:3">
      <c r="A428" s="185">
        <v>134</v>
      </c>
      <c r="B428" s="185">
        <f t="shared" ca="1" si="12"/>
        <v>0.36912926316358785</v>
      </c>
      <c r="C428" t="str">
        <f t="shared" ca="1" si="13"/>
        <v/>
      </c>
    </row>
    <row r="429" spans="1:3">
      <c r="A429" s="185">
        <v>148</v>
      </c>
      <c r="B429" s="185">
        <f t="shared" ca="1" si="12"/>
        <v>0.33512098843551907</v>
      </c>
      <c r="C429" t="str">
        <f t="shared" ca="1" si="13"/>
        <v/>
      </c>
    </row>
    <row r="430" spans="1:3">
      <c r="A430" s="185">
        <v>140</v>
      </c>
      <c r="B430" s="185">
        <f t="shared" ca="1" si="12"/>
        <v>3.9020453331709115E-2</v>
      </c>
      <c r="C430">
        <f t="shared" ca="1" si="13"/>
        <v>140</v>
      </c>
    </row>
    <row r="431" spans="1:3">
      <c r="A431" s="185">
        <v>132</v>
      </c>
      <c r="B431" s="185">
        <f t="shared" ca="1" si="12"/>
        <v>0.21261312291600243</v>
      </c>
      <c r="C431" t="str">
        <f t="shared" ca="1" si="13"/>
        <v/>
      </c>
    </row>
    <row r="432" spans="1:3">
      <c r="A432" s="185">
        <v>134</v>
      </c>
      <c r="B432" s="185">
        <f t="shared" ca="1" si="12"/>
        <v>0.92054311648676279</v>
      </c>
      <c r="C432" t="str">
        <f t="shared" ca="1" si="13"/>
        <v/>
      </c>
    </row>
    <row r="433" spans="1:3">
      <c r="A433" s="185">
        <v>187</v>
      </c>
      <c r="B433" s="185">
        <f t="shared" ca="1" si="12"/>
        <v>0.79991918307363741</v>
      </c>
      <c r="C433" t="str">
        <f t="shared" ca="1" si="13"/>
        <v/>
      </c>
    </row>
    <row r="434" spans="1:3">
      <c r="A434" s="185">
        <v>124</v>
      </c>
      <c r="B434" s="185">
        <f t="shared" ca="1" si="12"/>
        <v>0.92406644499551338</v>
      </c>
      <c r="C434" t="str">
        <f t="shared" ca="1" si="13"/>
        <v/>
      </c>
    </row>
    <row r="435" spans="1:3">
      <c r="A435" s="185">
        <v>100</v>
      </c>
      <c r="B435" s="185">
        <f t="shared" ca="1" si="12"/>
        <v>0.10265003188099531</v>
      </c>
      <c r="C435" t="str">
        <f t="shared" ca="1" si="13"/>
        <v/>
      </c>
    </row>
    <row r="436" spans="1:3">
      <c r="A436" s="185">
        <v>110</v>
      </c>
      <c r="B436" s="185">
        <f t="shared" ca="1" si="12"/>
        <v>0.99268974289682177</v>
      </c>
      <c r="C436" t="str">
        <f t="shared" ca="1" si="13"/>
        <v/>
      </c>
    </row>
    <row r="437" spans="1:3">
      <c r="A437" s="185">
        <v>112</v>
      </c>
      <c r="B437" s="185">
        <f t="shared" ca="1" si="12"/>
        <v>0.14390560179564416</v>
      </c>
      <c r="C437" t="str">
        <f t="shared" ca="1" si="13"/>
        <v/>
      </c>
    </row>
    <row r="438" spans="1:3">
      <c r="A438" s="185">
        <v>106</v>
      </c>
      <c r="B438" s="185">
        <f t="shared" ca="1" si="12"/>
        <v>0.93334502606859915</v>
      </c>
      <c r="C438" t="str">
        <f t="shared" ca="1" si="13"/>
        <v/>
      </c>
    </row>
    <row r="439" spans="1:3">
      <c r="A439" s="185">
        <v>106</v>
      </c>
      <c r="B439" s="185">
        <f t="shared" ca="1" si="12"/>
        <v>1.3118259707455282E-2</v>
      </c>
      <c r="C439">
        <f t="shared" ca="1" si="13"/>
        <v>106</v>
      </c>
    </row>
    <row r="440" spans="1:3">
      <c r="A440" s="185">
        <v>63</v>
      </c>
      <c r="B440" s="185">
        <f t="shared" ca="1" si="12"/>
        <v>0.25979795291750829</v>
      </c>
      <c r="C440" t="str">
        <f t="shared" ca="1" si="13"/>
        <v/>
      </c>
    </row>
    <row r="441" spans="1:3">
      <c r="A441" s="185">
        <v>110</v>
      </c>
      <c r="B441" s="185">
        <f t="shared" ca="1" si="12"/>
        <v>0.82052537292506678</v>
      </c>
      <c r="C441" t="str">
        <f t="shared" ca="1" si="13"/>
        <v/>
      </c>
    </row>
    <row r="442" spans="1:3">
      <c r="A442" s="185">
        <v>130</v>
      </c>
      <c r="B442" s="185">
        <f t="shared" ca="1" si="12"/>
        <v>0.40382730548843071</v>
      </c>
      <c r="C442" t="str">
        <f t="shared" ca="1" si="13"/>
        <v/>
      </c>
    </row>
    <row r="443" spans="1:3">
      <c r="A443" s="185">
        <v>159</v>
      </c>
      <c r="B443" s="185">
        <f t="shared" ca="1" si="12"/>
        <v>0.52988891835762697</v>
      </c>
      <c r="C443" t="str">
        <f t="shared" ca="1" si="13"/>
        <v/>
      </c>
    </row>
    <row r="444" spans="1:3">
      <c r="A444" s="185">
        <v>110</v>
      </c>
      <c r="B444" s="185">
        <f t="shared" ca="1" si="12"/>
        <v>0.71375025900560218</v>
      </c>
      <c r="C444" t="str">
        <f t="shared" ca="1" si="13"/>
        <v/>
      </c>
    </row>
    <row r="445" spans="1:3">
      <c r="A445" s="185">
        <v>89</v>
      </c>
      <c r="B445" s="185">
        <f t="shared" ca="1" si="12"/>
        <v>0.54053820701734523</v>
      </c>
      <c r="C445" t="str">
        <f t="shared" ca="1" si="13"/>
        <v/>
      </c>
    </row>
    <row r="446" spans="1:3">
      <c r="A446" s="185">
        <v>91</v>
      </c>
      <c r="B446" s="185">
        <f t="shared" ca="1" si="12"/>
        <v>0.13255286572257585</v>
      </c>
      <c r="C446" t="str">
        <f t="shared" ca="1" si="13"/>
        <v/>
      </c>
    </row>
    <row r="447" spans="1:3">
      <c r="A447" s="185">
        <v>139</v>
      </c>
      <c r="B447" s="185">
        <f t="shared" ca="1" si="12"/>
        <v>0.18781579555270334</v>
      </c>
      <c r="C447" t="str">
        <f t="shared" ca="1" si="13"/>
        <v/>
      </c>
    </row>
    <row r="448" spans="1:3">
      <c r="A448" s="185">
        <v>102</v>
      </c>
      <c r="B448" s="185">
        <f t="shared" ca="1" si="12"/>
        <v>0.82375841027730701</v>
      </c>
      <c r="C448" t="str">
        <f t="shared" ca="1" si="13"/>
        <v/>
      </c>
    </row>
    <row r="449" spans="1:3">
      <c r="A449" s="185">
        <v>112</v>
      </c>
      <c r="B449" s="185">
        <f t="shared" ca="1" si="12"/>
        <v>0.98229278519787311</v>
      </c>
      <c r="C449" t="str">
        <f t="shared" ca="1" si="13"/>
        <v/>
      </c>
    </row>
    <row r="450" spans="1:3">
      <c r="A450" s="185">
        <v>92</v>
      </c>
      <c r="B450" s="185">
        <f t="shared" ca="1" si="12"/>
        <v>0.16644254635576861</v>
      </c>
      <c r="C450" t="str">
        <f t="shared" ca="1" si="13"/>
        <v/>
      </c>
    </row>
    <row r="451" spans="1:3">
      <c r="A451" s="185">
        <v>93</v>
      </c>
      <c r="B451" s="185">
        <f t="shared" ca="1" si="12"/>
        <v>0.46537912616288679</v>
      </c>
      <c r="C451" t="str">
        <f t="shared" ca="1" si="13"/>
        <v/>
      </c>
    </row>
    <row r="452" spans="1:3">
      <c r="A452" s="185">
        <v>125</v>
      </c>
      <c r="B452" s="185">
        <f t="shared" ref="B452:B503" ca="1" si="14">RAND()</f>
        <v>0.16690827405114383</v>
      </c>
      <c r="C452" t="str">
        <f t="shared" ca="1" si="13"/>
        <v/>
      </c>
    </row>
    <row r="453" spans="1:3">
      <c r="A453" s="185">
        <v>100</v>
      </c>
      <c r="B453" s="185">
        <f t="shared" ca="1" si="14"/>
        <v>0.58061400035794097</v>
      </c>
      <c r="C453" t="str">
        <f t="shared" ref="C453:C503" ca="1" si="15">IF(B453&lt;=PERCENTILE($B$4:$B$503,$D$3/$D$2),A453,"")</f>
        <v/>
      </c>
    </row>
    <row r="454" spans="1:3">
      <c r="A454" s="185">
        <v>105</v>
      </c>
      <c r="B454" s="185">
        <f t="shared" ca="1" si="14"/>
        <v>0.17721482285186507</v>
      </c>
      <c r="C454" t="str">
        <f t="shared" ca="1" si="15"/>
        <v/>
      </c>
    </row>
    <row r="455" spans="1:3">
      <c r="A455" s="185">
        <v>127</v>
      </c>
      <c r="B455" s="185">
        <f t="shared" ca="1" si="14"/>
        <v>0.17294982478066423</v>
      </c>
      <c r="C455" t="str">
        <f t="shared" ca="1" si="15"/>
        <v/>
      </c>
    </row>
    <row r="456" spans="1:3">
      <c r="A456" s="185">
        <v>121</v>
      </c>
      <c r="B456" s="185">
        <f t="shared" ca="1" si="14"/>
        <v>0.32322223489453816</v>
      </c>
      <c r="C456" t="str">
        <f t="shared" ca="1" si="15"/>
        <v/>
      </c>
    </row>
    <row r="457" spans="1:3">
      <c r="A457" s="185">
        <v>127</v>
      </c>
      <c r="B457" s="185">
        <f t="shared" ca="1" si="14"/>
        <v>0.37672879710207163</v>
      </c>
      <c r="C457" t="str">
        <f t="shared" ca="1" si="15"/>
        <v/>
      </c>
    </row>
    <row r="458" spans="1:3">
      <c r="A458" s="185">
        <v>148</v>
      </c>
      <c r="B458" s="185">
        <f t="shared" ca="1" si="14"/>
        <v>0.98382118456448886</v>
      </c>
      <c r="C458" t="str">
        <f t="shared" ca="1" si="15"/>
        <v/>
      </c>
    </row>
    <row r="459" spans="1:3">
      <c r="A459" s="185">
        <v>131</v>
      </c>
      <c r="B459" s="185">
        <f t="shared" ca="1" si="14"/>
        <v>0.47725412328416628</v>
      </c>
      <c r="C459" t="str">
        <f t="shared" ca="1" si="15"/>
        <v/>
      </c>
    </row>
    <row r="460" spans="1:3">
      <c r="A460" s="185">
        <v>106</v>
      </c>
      <c r="B460" s="185">
        <f t="shared" ca="1" si="14"/>
        <v>0.5228421874494904</v>
      </c>
      <c r="C460" t="str">
        <f t="shared" ca="1" si="15"/>
        <v/>
      </c>
    </row>
    <row r="461" spans="1:3">
      <c r="A461" s="185">
        <v>122</v>
      </c>
      <c r="B461" s="185">
        <f t="shared" ca="1" si="14"/>
        <v>0.84304779081256176</v>
      </c>
      <c r="C461" t="str">
        <f t="shared" ca="1" si="15"/>
        <v/>
      </c>
    </row>
    <row r="462" spans="1:3">
      <c r="A462" s="185">
        <v>82</v>
      </c>
      <c r="B462" s="185">
        <f t="shared" ca="1" si="14"/>
        <v>0.23813342686581862</v>
      </c>
      <c r="C462" t="str">
        <f t="shared" ca="1" si="15"/>
        <v/>
      </c>
    </row>
    <row r="463" spans="1:3">
      <c r="A463" s="185">
        <v>120</v>
      </c>
      <c r="B463" s="185">
        <f t="shared" ca="1" si="14"/>
        <v>0.37394864506233816</v>
      </c>
      <c r="C463" t="str">
        <f t="shared" ca="1" si="15"/>
        <v/>
      </c>
    </row>
    <row r="464" spans="1:3">
      <c r="A464" s="185">
        <v>120</v>
      </c>
      <c r="B464" s="185">
        <f t="shared" ca="1" si="14"/>
        <v>0.24602843107148664</v>
      </c>
      <c r="C464" t="str">
        <f t="shared" ca="1" si="15"/>
        <v/>
      </c>
    </row>
    <row r="465" spans="1:3">
      <c r="A465" s="185">
        <v>121</v>
      </c>
      <c r="B465" s="185">
        <f t="shared" ca="1" si="14"/>
        <v>0.34541234102129614</v>
      </c>
      <c r="C465" t="str">
        <f t="shared" ca="1" si="15"/>
        <v/>
      </c>
    </row>
    <row r="466" spans="1:3">
      <c r="A466" s="185">
        <v>97</v>
      </c>
      <c r="B466" s="185">
        <f t="shared" ca="1" si="14"/>
        <v>0.38635849082721885</v>
      </c>
      <c r="C466" t="str">
        <f t="shared" ca="1" si="15"/>
        <v/>
      </c>
    </row>
    <row r="467" spans="1:3">
      <c r="A467" s="185">
        <v>100</v>
      </c>
      <c r="B467" s="185">
        <f t="shared" ca="1" si="14"/>
        <v>0.33506058218792401</v>
      </c>
      <c r="C467" t="str">
        <f t="shared" ca="1" si="15"/>
        <v/>
      </c>
    </row>
    <row r="468" spans="1:3">
      <c r="A468" s="185">
        <v>131</v>
      </c>
      <c r="B468" s="185">
        <f t="shared" ca="1" si="14"/>
        <v>0.53943571920881217</v>
      </c>
      <c r="C468" t="str">
        <f t="shared" ca="1" si="15"/>
        <v/>
      </c>
    </row>
    <row r="469" spans="1:3">
      <c r="A469" s="185">
        <v>100</v>
      </c>
      <c r="B469" s="185">
        <f t="shared" ca="1" si="14"/>
        <v>0.20241141806945961</v>
      </c>
      <c r="C469" t="str">
        <f t="shared" ca="1" si="15"/>
        <v/>
      </c>
    </row>
    <row r="470" spans="1:3">
      <c r="A470" s="185">
        <v>68</v>
      </c>
      <c r="B470" s="185">
        <f t="shared" ca="1" si="14"/>
        <v>0.78286873103586219</v>
      </c>
      <c r="C470" t="str">
        <f t="shared" ca="1" si="15"/>
        <v/>
      </c>
    </row>
    <row r="471" spans="1:3">
      <c r="A471" s="185">
        <v>138</v>
      </c>
      <c r="B471" s="185">
        <f t="shared" ca="1" si="14"/>
        <v>6.973826282474338E-2</v>
      </c>
      <c r="C471" t="str">
        <f t="shared" ca="1" si="15"/>
        <v/>
      </c>
    </row>
    <row r="472" spans="1:3">
      <c r="A472" s="185">
        <v>93</v>
      </c>
      <c r="B472" s="185">
        <f t="shared" ca="1" si="14"/>
        <v>0.53953936543308201</v>
      </c>
      <c r="C472" t="str">
        <f t="shared" ca="1" si="15"/>
        <v/>
      </c>
    </row>
    <row r="473" spans="1:3">
      <c r="A473" s="185">
        <v>127</v>
      </c>
      <c r="B473" s="185">
        <f t="shared" ca="1" si="14"/>
        <v>0.9240813017988363</v>
      </c>
      <c r="C473" t="str">
        <f t="shared" ca="1" si="15"/>
        <v/>
      </c>
    </row>
    <row r="474" spans="1:3">
      <c r="A474" s="185">
        <v>130</v>
      </c>
      <c r="B474" s="185">
        <f t="shared" ca="1" si="14"/>
        <v>0.38188499385688823</v>
      </c>
      <c r="C474" t="str">
        <f t="shared" ca="1" si="15"/>
        <v/>
      </c>
    </row>
    <row r="475" spans="1:3">
      <c r="A475" s="185">
        <v>134</v>
      </c>
      <c r="B475" s="185">
        <f t="shared" ca="1" si="14"/>
        <v>0.92633062902345231</v>
      </c>
      <c r="C475" t="str">
        <f t="shared" ca="1" si="15"/>
        <v/>
      </c>
    </row>
    <row r="476" spans="1:3">
      <c r="A476" s="185">
        <v>152</v>
      </c>
      <c r="B476" s="185">
        <f t="shared" ca="1" si="14"/>
        <v>0.19770895971895674</v>
      </c>
      <c r="C476" t="str">
        <f t="shared" ca="1" si="15"/>
        <v/>
      </c>
    </row>
    <row r="477" spans="1:3">
      <c r="A477" s="185">
        <v>125</v>
      </c>
      <c r="B477" s="185">
        <f t="shared" ca="1" si="14"/>
        <v>8.1963670803765432E-2</v>
      </c>
      <c r="C477" t="str">
        <f t="shared" ca="1" si="15"/>
        <v/>
      </c>
    </row>
    <row r="478" spans="1:3">
      <c r="A478" s="185">
        <v>127</v>
      </c>
      <c r="B478" s="185">
        <f t="shared" ca="1" si="14"/>
        <v>0.96794836171202303</v>
      </c>
      <c r="C478" t="str">
        <f t="shared" ca="1" si="15"/>
        <v/>
      </c>
    </row>
    <row r="479" spans="1:3">
      <c r="A479" s="185">
        <v>111</v>
      </c>
      <c r="B479" s="185">
        <f t="shared" ca="1" si="14"/>
        <v>0.61346900151142481</v>
      </c>
      <c r="C479" t="str">
        <f t="shared" ca="1" si="15"/>
        <v/>
      </c>
    </row>
    <row r="480" spans="1:3">
      <c r="A480" s="185">
        <v>132</v>
      </c>
      <c r="B480" s="185">
        <f t="shared" ca="1" si="14"/>
        <v>0.59595406944583296</v>
      </c>
      <c r="C480" t="str">
        <f t="shared" ca="1" si="15"/>
        <v/>
      </c>
    </row>
    <row r="481" spans="1:3">
      <c r="A481" s="185">
        <v>150</v>
      </c>
      <c r="B481" s="185">
        <f t="shared" ca="1" si="14"/>
        <v>0.37248634955049398</v>
      </c>
      <c r="C481" t="str">
        <f t="shared" ca="1" si="15"/>
        <v/>
      </c>
    </row>
    <row r="482" spans="1:3">
      <c r="A482" s="185">
        <v>111</v>
      </c>
      <c r="B482" s="185">
        <f t="shared" ca="1" si="14"/>
        <v>0.90887865966080539</v>
      </c>
      <c r="C482" t="str">
        <f t="shared" ca="1" si="15"/>
        <v/>
      </c>
    </row>
    <row r="483" spans="1:3">
      <c r="A483" s="185">
        <v>106</v>
      </c>
      <c r="B483" s="185">
        <f t="shared" ca="1" si="14"/>
        <v>0.1151404129823872</v>
      </c>
      <c r="C483" t="str">
        <f t="shared" ca="1" si="15"/>
        <v/>
      </c>
    </row>
    <row r="484" spans="1:3">
      <c r="A484" s="185">
        <v>145</v>
      </c>
      <c r="B484" s="185">
        <f t="shared" ca="1" si="14"/>
        <v>0.55600979586981625</v>
      </c>
      <c r="C484" t="str">
        <f t="shared" ca="1" si="15"/>
        <v/>
      </c>
    </row>
    <row r="485" spans="1:3">
      <c r="A485" s="185">
        <v>92</v>
      </c>
      <c r="B485" s="185">
        <f t="shared" ca="1" si="14"/>
        <v>0.48371991876182108</v>
      </c>
      <c r="C485" t="str">
        <f t="shared" ca="1" si="15"/>
        <v/>
      </c>
    </row>
    <row r="486" spans="1:3">
      <c r="A486" s="185">
        <v>129</v>
      </c>
      <c r="B486" s="185">
        <f t="shared" ca="1" si="14"/>
        <v>0.86644384646217731</v>
      </c>
      <c r="C486" t="str">
        <f t="shared" ca="1" si="15"/>
        <v/>
      </c>
    </row>
    <row r="487" spans="1:3">
      <c r="A487" s="185">
        <v>119</v>
      </c>
      <c r="B487" s="185">
        <f t="shared" ca="1" si="14"/>
        <v>0.63154948024964686</v>
      </c>
      <c r="C487" t="str">
        <f t="shared" ca="1" si="15"/>
        <v/>
      </c>
    </row>
    <row r="488" spans="1:3">
      <c r="A488" s="185">
        <v>123</v>
      </c>
      <c r="B488" s="185">
        <f t="shared" ca="1" si="14"/>
        <v>9.7951391959493428E-2</v>
      </c>
      <c r="C488" t="str">
        <f t="shared" ca="1" si="15"/>
        <v/>
      </c>
    </row>
    <row r="489" spans="1:3">
      <c r="A489" s="185">
        <v>123</v>
      </c>
      <c r="B489" s="185">
        <f t="shared" ca="1" si="14"/>
        <v>0.96070140087255673</v>
      </c>
      <c r="C489" t="str">
        <f t="shared" ca="1" si="15"/>
        <v/>
      </c>
    </row>
    <row r="490" spans="1:3">
      <c r="A490" s="185">
        <v>78</v>
      </c>
      <c r="B490" s="185">
        <f t="shared" ca="1" si="14"/>
        <v>0.90125937011345769</v>
      </c>
      <c r="C490" t="str">
        <f t="shared" ca="1" si="15"/>
        <v/>
      </c>
    </row>
    <row r="491" spans="1:3">
      <c r="A491" s="185">
        <v>121</v>
      </c>
      <c r="B491" s="185">
        <f t="shared" ca="1" si="14"/>
        <v>0.90300589136945941</v>
      </c>
      <c r="C491" t="str">
        <f t="shared" ca="1" si="15"/>
        <v/>
      </c>
    </row>
    <row r="492" spans="1:3">
      <c r="A492" s="185">
        <v>120</v>
      </c>
      <c r="B492" s="185">
        <f t="shared" ca="1" si="14"/>
        <v>0.11966014100715316</v>
      </c>
      <c r="C492" t="str">
        <f t="shared" ca="1" si="15"/>
        <v/>
      </c>
    </row>
    <row r="493" spans="1:3">
      <c r="A493" s="185">
        <v>129</v>
      </c>
      <c r="B493" s="185">
        <f t="shared" ca="1" si="14"/>
        <v>0.10929090510889194</v>
      </c>
      <c r="C493" t="str">
        <f t="shared" ca="1" si="15"/>
        <v/>
      </c>
    </row>
    <row r="494" spans="1:3">
      <c r="A494" s="185">
        <v>123</v>
      </c>
      <c r="B494" s="185">
        <f t="shared" ca="1" si="14"/>
        <v>0.19310108176497742</v>
      </c>
      <c r="C494" t="str">
        <f t="shared" ca="1" si="15"/>
        <v/>
      </c>
    </row>
    <row r="495" spans="1:3">
      <c r="A495" s="185">
        <v>88</v>
      </c>
      <c r="B495" s="185">
        <f t="shared" ca="1" si="14"/>
        <v>0.56427732663159103</v>
      </c>
      <c r="C495" t="str">
        <f t="shared" ca="1" si="15"/>
        <v/>
      </c>
    </row>
    <row r="496" spans="1:3">
      <c r="A496" s="185">
        <v>124</v>
      </c>
      <c r="B496" s="185">
        <f t="shared" ca="1" si="14"/>
        <v>0.81104012420991389</v>
      </c>
      <c r="C496" t="str">
        <f t="shared" ca="1" si="15"/>
        <v/>
      </c>
    </row>
    <row r="497" spans="1:3">
      <c r="A497" s="185">
        <v>74</v>
      </c>
      <c r="B497" s="185">
        <f t="shared" ca="1" si="14"/>
        <v>0.48272079108802579</v>
      </c>
      <c r="C497" t="str">
        <f t="shared" ca="1" si="15"/>
        <v/>
      </c>
    </row>
    <row r="498" spans="1:3">
      <c r="A498" s="185">
        <v>66</v>
      </c>
      <c r="B498" s="185">
        <f t="shared" ca="1" si="14"/>
        <v>0.9772334244390537</v>
      </c>
      <c r="C498" t="str">
        <f t="shared" ca="1" si="15"/>
        <v/>
      </c>
    </row>
    <row r="499" spans="1:3">
      <c r="A499" s="185">
        <v>92</v>
      </c>
      <c r="B499" s="185">
        <f t="shared" ca="1" si="14"/>
        <v>0.49928842741069612</v>
      </c>
      <c r="C499" t="str">
        <f t="shared" ca="1" si="15"/>
        <v/>
      </c>
    </row>
    <row r="500" spans="1:3">
      <c r="A500" s="185">
        <v>97</v>
      </c>
      <c r="B500" s="185">
        <f t="shared" ca="1" si="14"/>
        <v>3.2729391915490069E-2</v>
      </c>
      <c r="C500">
        <f t="shared" ca="1" si="15"/>
        <v>97</v>
      </c>
    </row>
    <row r="501" spans="1:3">
      <c r="A501" s="185">
        <v>121</v>
      </c>
      <c r="B501" s="185">
        <f t="shared" ca="1" si="14"/>
        <v>0.3606776153161384</v>
      </c>
      <c r="C501" t="str">
        <f t="shared" ca="1" si="15"/>
        <v/>
      </c>
    </row>
    <row r="502" spans="1:3">
      <c r="A502" s="185">
        <v>67</v>
      </c>
      <c r="B502" s="185">
        <f t="shared" ca="1" si="14"/>
        <v>0.28291675884544532</v>
      </c>
      <c r="C502" t="str">
        <f t="shared" ca="1" si="15"/>
        <v/>
      </c>
    </row>
    <row r="503" spans="1:3">
      <c r="A503" s="185">
        <v>119</v>
      </c>
      <c r="B503" s="185">
        <f t="shared" ca="1" si="14"/>
        <v>0.39125608202444528</v>
      </c>
      <c r="C503" t="str">
        <f t="shared" ca="1" si="15"/>
        <v/>
      </c>
    </row>
  </sheetData>
  <pageMargins left="0.78740157499999996" right="0.78740157499999996" top="0.984251969" bottom="0.984251969" header="0.4921259845" footer="0.4921259845"/>
  <headerFooter alignWithMargins="0"/>
</worksheet>
</file>

<file path=xl/worksheets/sheet24.xml><?xml version="1.0" encoding="utf-8"?>
<worksheet xmlns="http://schemas.openxmlformats.org/spreadsheetml/2006/main" xmlns:r="http://schemas.openxmlformats.org/officeDocument/2006/relationships">
  <dimension ref="A1:P210"/>
  <sheetViews>
    <sheetView workbookViewId="0"/>
  </sheetViews>
  <sheetFormatPr defaultColWidth="11.42578125" defaultRowHeight="12.75"/>
  <sheetData>
    <row r="1" spans="1:16">
      <c r="A1" s="1" t="s">
        <v>201</v>
      </c>
    </row>
    <row r="2" spans="1:16">
      <c r="C2" s="3" t="s">
        <v>210</v>
      </c>
      <c r="D2">
        <v>1</v>
      </c>
      <c r="E2">
        <v>2</v>
      </c>
      <c r="F2" s="3" t="s">
        <v>454</v>
      </c>
    </row>
    <row r="3" spans="1:16">
      <c r="C3" s="3" t="s">
        <v>269</v>
      </c>
      <c r="D3" s="20">
        <f>SUMIF($B$11:$B$210,D2,$A$11:$A$210)/COUNTIF($B$11:$B$210,D2)</f>
        <v>71.82352941176471</v>
      </c>
      <c r="E3" s="20">
        <f>SUMIF($B$11:$B$210,E2,$A$11:$A$210)/COUNTIF($B$11:$B$210,E2)</f>
        <v>123.09375</v>
      </c>
      <c r="F3">
        <f>D3*D5+E3*E5</f>
        <v>88.23</v>
      </c>
    </row>
    <row r="4" spans="1:16">
      <c r="C4" s="3" t="s">
        <v>270</v>
      </c>
      <c r="D4" s="20">
        <f>COUNTIF($B$11:$B$210,D2)</f>
        <v>136</v>
      </c>
      <c r="E4" s="20">
        <f>COUNTIF($B$11:$B$210,E2)</f>
        <v>64</v>
      </c>
      <c r="F4" s="20">
        <f>D4+E4</f>
        <v>200</v>
      </c>
    </row>
    <row r="5" spans="1:16">
      <c r="A5" s="1"/>
      <c r="C5" s="3" t="s">
        <v>271</v>
      </c>
      <c r="D5" s="8">
        <f>COUNTIF($B$11:$B$210,D2)/COUNT($B$11:$B$210)</f>
        <v>0.68</v>
      </c>
      <c r="E5" s="8">
        <f>COUNTIF($B$11:$B$210,E2)/COUNT($B$11:$B$210)</f>
        <v>0.32</v>
      </c>
    </row>
    <row r="6" spans="1:16">
      <c r="A6" s="1"/>
      <c r="C6" s="3" t="s">
        <v>272</v>
      </c>
      <c r="D6">
        <v>0.68</v>
      </c>
      <c r="E6">
        <v>0.32</v>
      </c>
    </row>
    <row r="7" spans="1:16">
      <c r="B7" s="3" t="s">
        <v>273</v>
      </c>
      <c r="C7" s="49">
        <v>50</v>
      </c>
      <c r="D7">
        <f>$C$7*D6</f>
        <v>34</v>
      </c>
      <c r="E7">
        <f>$C$7*E6</f>
        <v>16</v>
      </c>
    </row>
    <row r="8" spans="1:16" ht="13.5" thickBot="1">
      <c r="B8" s="3"/>
      <c r="C8" s="49"/>
      <c r="D8" s="49"/>
    </row>
    <row r="9" spans="1:16" ht="13.5" thickBot="1">
      <c r="A9" s="212" t="s">
        <v>274</v>
      </c>
      <c r="B9" s="212"/>
      <c r="C9" s="205" t="s">
        <v>275</v>
      </c>
      <c r="D9" s="205"/>
      <c r="E9" s="205"/>
      <c r="H9" s="3" t="s">
        <v>214</v>
      </c>
      <c r="I9" s="213" t="s">
        <v>215</v>
      </c>
      <c r="J9" s="214"/>
      <c r="M9" s="205" t="s">
        <v>276</v>
      </c>
      <c r="N9" s="205"/>
      <c r="O9" s="205"/>
      <c r="P9" t="s">
        <v>277</v>
      </c>
    </row>
    <row r="10" spans="1:16" ht="13.5" thickBot="1">
      <c r="A10" s="3" t="s">
        <v>203</v>
      </c>
      <c r="B10" s="3" t="s">
        <v>210</v>
      </c>
      <c r="C10" s="61" t="s">
        <v>214</v>
      </c>
      <c r="D10" s="3" t="s">
        <v>278</v>
      </c>
      <c r="E10" s="3" t="s">
        <v>279</v>
      </c>
      <c r="I10" s="96" t="s">
        <v>278</v>
      </c>
      <c r="J10" s="97" t="s">
        <v>455</v>
      </c>
      <c r="M10" s="205" t="s">
        <v>280</v>
      </c>
      <c r="N10" s="205"/>
      <c r="O10" s="205"/>
      <c r="P10" t="s">
        <v>281</v>
      </c>
    </row>
    <row r="11" spans="1:16">
      <c r="A11">
        <v>127</v>
      </c>
      <c r="B11">
        <v>1</v>
      </c>
      <c r="C11">
        <f t="shared" ref="C11:C42" ca="1" si="0">IF(M11&lt;=PERCENTILE($M$11:$M$210,$C$7/COUNT($B$11:$B$210)),A11,"")</f>
        <v>127</v>
      </c>
      <c r="D11" t="str">
        <f t="shared" ref="D11:D42" ca="1" si="1">IF(N11&lt;=PERCENTILE($N$11:$N$210,$D$7/$D$4),A11,"")</f>
        <v/>
      </c>
      <c r="E11" t="str">
        <f t="shared" ref="E11:E42" ca="1" si="2">IF(O11&lt;=PERCENTILE($O$11:$O$210,$E$7/$E$4),A11,"")</f>
        <v/>
      </c>
      <c r="G11" t="s">
        <v>28</v>
      </c>
      <c r="H11" s="20">
        <f ca="1">AVERAGE(C11:C210)</f>
        <v>79.42</v>
      </c>
      <c r="I11" s="98">
        <f ca="1">AVERAGE(D11:D210)</f>
        <v>68.794117647058826</v>
      </c>
      <c r="J11" s="99">
        <f ca="1">AVERAGE(E11:E210)</f>
        <v>140.125</v>
      </c>
      <c r="M11">
        <f t="shared" ref="M11:M42" ca="1" si="3">RAND()</f>
        <v>5.6406270287326921E-2</v>
      </c>
      <c r="N11">
        <f t="shared" ref="N11:N42" ca="1" si="4">IF(B11=$D$2,RAND(),"")</f>
        <v>0.66189073092988293</v>
      </c>
      <c r="O11" t="str">
        <f t="shared" ref="O11:O42" ca="1" si="5">IF(B11=$E$2,RAND(),"")</f>
        <v/>
      </c>
      <c r="P11">
        <f t="shared" ref="P11:P42" ca="1" si="6">IF(AND(C11&lt;&gt;"",B11=1),B11,"")</f>
        <v>1</v>
      </c>
    </row>
    <row r="12" spans="1:16">
      <c r="A12">
        <v>252</v>
      </c>
      <c r="B12">
        <v>2</v>
      </c>
      <c r="C12" t="str">
        <f t="shared" ca="1" si="0"/>
        <v/>
      </c>
      <c r="D12" t="str">
        <f t="shared" ca="1" si="1"/>
        <v/>
      </c>
      <c r="E12">
        <f t="shared" ca="1" si="2"/>
        <v>252</v>
      </c>
      <c r="G12" t="s">
        <v>206</v>
      </c>
      <c r="H12" s="20">
        <f ca="1">VAR(C11:C210)</f>
        <v>992.94244897959175</v>
      </c>
      <c r="I12" s="100">
        <f ca="1">VAR(D11:D210)</f>
        <v>376.65329768270902</v>
      </c>
      <c r="J12" s="101">
        <f ca="1">VAR(E11:E210)</f>
        <v>2396.9166666666665</v>
      </c>
      <c r="M12">
        <f t="shared" ca="1" si="3"/>
        <v>0.30711241281059021</v>
      </c>
      <c r="N12" t="str">
        <f t="shared" ca="1" si="4"/>
        <v/>
      </c>
      <c r="O12">
        <f t="shared" ca="1" si="5"/>
        <v>7.5648702090818754E-2</v>
      </c>
      <c r="P12" t="str">
        <f t="shared" ca="1" si="6"/>
        <v/>
      </c>
    </row>
    <row r="13" spans="1:16">
      <c r="A13">
        <v>65</v>
      </c>
      <c r="B13">
        <v>1</v>
      </c>
      <c r="C13" t="str">
        <f t="shared" ca="1" si="0"/>
        <v/>
      </c>
      <c r="D13">
        <f t="shared" ca="1" si="1"/>
        <v>65</v>
      </c>
      <c r="E13" t="str">
        <f t="shared" ca="1" si="2"/>
        <v/>
      </c>
      <c r="G13" t="s">
        <v>108</v>
      </c>
      <c r="H13" s="20">
        <f ca="1">STDEV(C11:C210)</f>
        <v>31.510989336731271</v>
      </c>
      <c r="I13" s="100">
        <f t="array" aca="1" ref="I13" ca="1">SQRT(I12)</f>
        <v>19.407557746473639</v>
      </c>
      <c r="J13" s="101">
        <f t="array" aca="1" ref="J13" ca="1">SQRT(J12)</f>
        <v>48.958315602833665</v>
      </c>
      <c r="M13">
        <f t="shared" ca="1" si="3"/>
        <v>0.28691676789397702</v>
      </c>
      <c r="N13">
        <f t="shared" ca="1" si="4"/>
        <v>0.21516114798517894</v>
      </c>
      <c r="O13" t="str">
        <f t="shared" ca="1" si="5"/>
        <v/>
      </c>
      <c r="P13" t="str">
        <f t="shared" ca="1" si="6"/>
        <v/>
      </c>
    </row>
    <row r="14" spans="1:16">
      <c r="A14">
        <v>64</v>
      </c>
      <c r="B14">
        <v>1</v>
      </c>
      <c r="C14" t="str">
        <f t="shared" ca="1" si="0"/>
        <v/>
      </c>
      <c r="D14">
        <f t="shared" ca="1" si="1"/>
        <v>64</v>
      </c>
      <c r="E14" t="str">
        <f t="shared" ca="1" si="2"/>
        <v/>
      </c>
      <c r="G14" t="s">
        <v>211</v>
      </c>
      <c r="H14">
        <f ca="1">COUNT(C11:C210)</f>
        <v>50</v>
      </c>
      <c r="I14" s="102">
        <f ca="1">COUNT(D11:D210)</f>
        <v>34</v>
      </c>
      <c r="J14" s="103">
        <f ca="1">COUNT(E11:E210)</f>
        <v>16</v>
      </c>
      <c r="M14">
        <f t="shared" ca="1" si="3"/>
        <v>0.33275372238322398</v>
      </c>
      <c r="N14">
        <f t="shared" ca="1" si="4"/>
        <v>0.10849083134147008</v>
      </c>
      <c r="O14" t="str">
        <f t="shared" ca="1" si="5"/>
        <v/>
      </c>
      <c r="P14" t="str">
        <f t="shared" ca="1" si="6"/>
        <v/>
      </c>
    </row>
    <row r="15" spans="1:16">
      <c r="A15">
        <v>129</v>
      </c>
      <c r="B15">
        <v>2</v>
      </c>
      <c r="C15" t="str">
        <f t="shared" ca="1" si="0"/>
        <v/>
      </c>
      <c r="D15" t="str">
        <f t="shared" ca="1" si="1"/>
        <v/>
      </c>
      <c r="E15" t="str">
        <f t="shared" ca="1" si="2"/>
        <v/>
      </c>
      <c r="G15" t="s">
        <v>207</v>
      </c>
      <c r="H15" s="21">
        <f ca="1">H13/SQRT(H14)*SQRT((F4-C7)/(F4-1))</f>
        <v>3.8689768211903806</v>
      </c>
      <c r="I15" s="104">
        <f ca="1">I13/SQRT(I14)*SQRT((D4-D7)/(D4-1))</f>
        <v>2.8931078932245122</v>
      </c>
      <c r="J15" s="105">
        <f ca="1">J13/SQRT(J14)*SQRT((E4-E7)/(E4-1))</f>
        <v>10.68358034035823</v>
      </c>
      <c r="M15">
        <f t="shared" ca="1" si="3"/>
        <v>0.86014566359196176</v>
      </c>
      <c r="N15" t="str">
        <f t="shared" ca="1" si="4"/>
        <v/>
      </c>
      <c r="O15">
        <f t="shared" ca="1" si="5"/>
        <v>0.91769211821625429</v>
      </c>
      <c r="P15" t="str">
        <f t="shared" ca="1" si="6"/>
        <v/>
      </c>
    </row>
    <row r="16" spans="1:16">
      <c r="A16">
        <v>126</v>
      </c>
      <c r="B16">
        <v>2</v>
      </c>
      <c r="C16" t="str">
        <f t="shared" ca="1" si="0"/>
        <v/>
      </c>
      <c r="D16" t="str">
        <f t="shared" ca="1" si="1"/>
        <v/>
      </c>
      <c r="E16">
        <f t="shared" ca="1" si="2"/>
        <v>126</v>
      </c>
      <c r="G16" t="s">
        <v>417</v>
      </c>
      <c r="H16">
        <f ca="1">SUM(P11:P210)/C7</f>
        <v>0.7</v>
      </c>
      <c r="I16" s="102">
        <f ca="1">I14/$C$7</f>
        <v>0.68</v>
      </c>
      <c r="J16" s="103">
        <f ca="1">J14/$C$7</f>
        <v>0.32</v>
      </c>
      <c r="M16">
        <f t="shared" ca="1" si="3"/>
        <v>0.44904697142634342</v>
      </c>
      <c r="N16" t="str">
        <f t="shared" ca="1" si="4"/>
        <v/>
      </c>
      <c r="O16">
        <f t="shared" ca="1" si="5"/>
        <v>3.0243115657004438E-2</v>
      </c>
      <c r="P16" t="str">
        <f t="shared" ca="1" si="6"/>
        <v/>
      </c>
    </row>
    <row r="17" spans="1:16" ht="16.5" thickBot="1">
      <c r="A17">
        <v>49</v>
      </c>
      <c r="B17">
        <v>1</v>
      </c>
      <c r="C17">
        <f t="shared" ca="1" si="0"/>
        <v>49</v>
      </c>
      <c r="D17" t="str">
        <f t="shared" ca="1" si="1"/>
        <v/>
      </c>
      <c r="E17" t="str">
        <f t="shared" ca="1" si="2"/>
        <v/>
      </c>
      <c r="H17" s="3" t="s">
        <v>199</v>
      </c>
      <c r="I17" s="106">
        <f ca="1">I16*I14</f>
        <v>23.12</v>
      </c>
      <c r="J17" s="107">
        <f ca="1">J16*J14</f>
        <v>5.12</v>
      </c>
      <c r="M17">
        <f t="shared" ca="1" si="3"/>
        <v>1.1521706207934024E-2</v>
      </c>
      <c r="N17">
        <f t="shared" ca="1" si="4"/>
        <v>0.63786202748710985</v>
      </c>
      <c r="O17" t="str">
        <f t="shared" ca="1" si="5"/>
        <v/>
      </c>
      <c r="P17">
        <f t="shared" ca="1" si="6"/>
        <v>1</v>
      </c>
    </row>
    <row r="18" spans="1:16">
      <c r="A18">
        <v>160</v>
      </c>
      <c r="B18">
        <v>2</v>
      </c>
      <c r="C18" t="str">
        <f t="shared" ca="1" si="0"/>
        <v/>
      </c>
      <c r="D18" t="str">
        <f t="shared" ca="1" si="1"/>
        <v/>
      </c>
      <c r="E18">
        <f t="shared" ca="1" si="2"/>
        <v>160</v>
      </c>
      <c r="H18" s="3" t="s">
        <v>212</v>
      </c>
      <c r="I18" s="210">
        <f ca="1">I11*I16+J11*J16</f>
        <v>91.62</v>
      </c>
      <c r="J18" s="211"/>
      <c r="M18">
        <f t="shared" ca="1" si="3"/>
        <v>0.68360172733711533</v>
      </c>
      <c r="N18" t="str">
        <f t="shared" ca="1" si="4"/>
        <v/>
      </c>
      <c r="O18">
        <f t="shared" ca="1" si="5"/>
        <v>0.13187757892477858</v>
      </c>
      <c r="P18" t="str">
        <f t="shared" ca="1" si="6"/>
        <v/>
      </c>
    </row>
    <row r="19" spans="1:16" ht="13.5" thickBot="1">
      <c r="A19">
        <v>107</v>
      </c>
      <c r="B19">
        <v>2</v>
      </c>
      <c r="C19" t="str">
        <f t="shared" ca="1" si="0"/>
        <v/>
      </c>
      <c r="D19" t="str">
        <f t="shared" ca="1" si="1"/>
        <v/>
      </c>
      <c r="E19" t="str">
        <f t="shared" ca="1" si="2"/>
        <v/>
      </c>
      <c r="H19" s="3" t="s">
        <v>213</v>
      </c>
      <c r="I19" s="208">
        <f ca="1">SQRT(I16^2*I15^2+J16^2*J15^2)</f>
        <v>3.9443813339665956</v>
      </c>
      <c r="J19" s="209"/>
      <c r="M19">
        <f t="shared" ca="1" si="3"/>
        <v>0.34145695548309973</v>
      </c>
      <c r="N19" t="str">
        <f t="shared" ca="1" si="4"/>
        <v/>
      </c>
      <c r="O19">
        <f t="shared" ca="1" si="5"/>
        <v>0.87756340173957348</v>
      </c>
      <c r="P19" t="str">
        <f t="shared" ca="1" si="6"/>
        <v/>
      </c>
    </row>
    <row r="20" spans="1:16">
      <c r="A20">
        <v>81</v>
      </c>
      <c r="B20">
        <v>1</v>
      </c>
      <c r="C20" t="str">
        <f t="shared" ca="1" si="0"/>
        <v/>
      </c>
      <c r="D20">
        <f t="shared" ca="1" si="1"/>
        <v>81</v>
      </c>
      <c r="E20" t="str">
        <f t="shared" ca="1" si="2"/>
        <v/>
      </c>
      <c r="G20" s="3" t="s">
        <v>208</v>
      </c>
      <c r="H20" s="21">
        <f ca="1">H$11+NORMSINV(0.025)*H$15</f>
        <v>71.836944773446589</v>
      </c>
      <c r="I20" s="206">
        <f ca="1">$I$18+NORMSINV(0.025)*I$19</f>
        <v>83.889154644133427</v>
      </c>
      <c r="J20" s="207"/>
      <c r="M20">
        <f t="shared" ca="1" si="3"/>
        <v>0.4539592498902485</v>
      </c>
      <c r="N20">
        <f t="shared" ca="1" si="4"/>
        <v>0.25742808776060411</v>
      </c>
      <c r="O20" t="str">
        <f t="shared" ca="1" si="5"/>
        <v/>
      </c>
      <c r="P20" t="str">
        <f t="shared" ca="1" si="6"/>
        <v/>
      </c>
    </row>
    <row r="21" spans="1:16" ht="13.5" thickBot="1">
      <c r="A21">
        <v>120</v>
      </c>
      <c r="B21">
        <v>2</v>
      </c>
      <c r="C21" t="str">
        <f t="shared" ca="1" si="0"/>
        <v/>
      </c>
      <c r="D21" t="str">
        <f t="shared" ca="1" si="1"/>
        <v/>
      </c>
      <c r="E21" t="str">
        <f t="shared" ca="1" si="2"/>
        <v/>
      </c>
      <c r="G21" s="3" t="s">
        <v>209</v>
      </c>
      <c r="H21" s="21">
        <f ca="1">H$11+NORMSINV(0.975)*H$15</f>
        <v>87.003055226553414</v>
      </c>
      <c r="I21" s="208">
        <f ca="1">$I$18+NORMSINV(0.975)*I$19</f>
        <v>99.350845355866582</v>
      </c>
      <c r="J21" s="209"/>
      <c r="M21">
        <f t="shared" ca="1" si="3"/>
        <v>0.45318241800888526</v>
      </c>
      <c r="N21" t="str">
        <f t="shared" ca="1" si="4"/>
        <v/>
      </c>
      <c r="O21">
        <f t="shared" ca="1" si="5"/>
        <v>0.9811926617612603</v>
      </c>
      <c r="P21" t="str">
        <f t="shared" ca="1" si="6"/>
        <v/>
      </c>
    </row>
    <row r="22" spans="1:16">
      <c r="A22">
        <v>76</v>
      </c>
      <c r="B22">
        <v>1</v>
      </c>
      <c r="C22" t="str">
        <f t="shared" ca="1" si="0"/>
        <v/>
      </c>
      <c r="D22" t="str">
        <f t="shared" ca="1" si="1"/>
        <v/>
      </c>
      <c r="E22" t="str">
        <f t="shared" ca="1" si="2"/>
        <v/>
      </c>
      <c r="M22">
        <f t="shared" ca="1" si="3"/>
        <v>0.85858061157405929</v>
      </c>
      <c r="N22">
        <f t="shared" ca="1" si="4"/>
        <v>0.30819971655503253</v>
      </c>
      <c r="O22" t="str">
        <f t="shared" ca="1" si="5"/>
        <v/>
      </c>
      <c r="P22" t="str">
        <f t="shared" ca="1" si="6"/>
        <v/>
      </c>
    </row>
    <row r="23" spans="1:16">
      <c r="A23">
        <v>90</v>
      </c>
      <c r="B23">
        <v>1</v>
      </c>
      <c r="C23" t="str">
        <f t="shared" ca="1" si="0"/>
        <v/>
      </c>
      <c r="D23" t="str">
        <f t="shared" ca="1" si="1"/>
        <v/>
      </c>
      <c r="E23" t="str">
        <f t="shared" ca="1" si="2"/>
        <v/>
      </c>
      <c r="M23">
        <f t="shared" ca="1" si="3"/>
        <v>0.25734188156269333</v>
      </c>
      <c r="N23">
        <f t="shared" ca="1" si="4"/>
        <v>0.36151518392090232</v>
      </c>
      <c r="O23" t="str">
        <f t="shared" ca="1" si="5"/>
        <v/>
      </c>
      <c r="P23" t="str">
        <f t="shared" ca="1" si="6"/>
        <v/>
      </c>
    </row>
    <row r="24" spans="1:16">
      <c r="A24">
        <v>146</v>
      </c>
      <c r="B24">
        <v>2</v>
      </c>
      <c r="C24" t="str">
        <f t="shared" ca="1" si="0"/>
        <v/>
      </c>
      <c r="D24" t="str">
        <f t="shared" ca="1" si="1"/>
        <v/>
      </c>
      <c r="E24">
        <f t="shared" ca="1" si="2"/>
        <v>146</v>
      </c>
      <c r="M24">
        <f t="shared" ca="1" si="3"/>
        <v>0.3187077771504554</v>
      </c>
      <c r="N24" t="str">
        <f t="shared" ca="1" si="4"/>
        <v/>
      </c>
      <c r="O24">
        <f t="shared" ca="1" si="5"/>
        <v>6.6148161604770772E-2</v>
      </c>
      <c r="P24" t="str">
        <f t="shared" ca="1" si="6"/>
        <v/>
      </c>
    </row>
    <row r="25" spans="1:16">
      <c r="A25">
        <v>147</v>
      </c>
      <c r="B25">
        <v>2</v>
      </c>
      <c r="C25">
        <f t="shared" ca="1" si="0"/>
        <v>147</v>
      </c>
      <c r="D25" t="str">
        <f t="shared" ca="1" si="1"/>
        <v/>
      </c>
      <c r="E25">
        <f t="shared" ca="1" si="2"/>
        <v>147</v>
      </c>
      <c r="M25">
        <f t="shared" ca="1" si="3"/>
        <v>4.5014434303106476E-2</v>
      </c>
      <c r="N25" t="str">
        <f t="shared" ca="1" si="4"/>
        <v/>
      </c>
      <c r="O25">
        <f t="shared" ca="1" si="5"/>
        <v>0.16214254311391141</v>
      </c>
      <c r="P25" t="str">
        <f t="shared" ca="1" si="6"/>
        <v/>
      </c>
    </row>
    <row r="26" spans="1:16">
      <c r="A26">
        <v>118</v>
      </c>
      <c r="B26">
        <v>1</v>
      </c>
      <c r="C26" t="str">
        <f t="shared" ca="1" si="0"/>
        <v/>
      </c>
      <c r="D26">
        <f t="shared" ca="1" si="1"/>
        <v>118</v>
      </c>
      <c r="E26" t="str">
        <f t="shared" ca="1" si="2"/>
        <v/>
      </c>
      <c r="M26">
        <f t="shared" ca="1" si="3"/>
        <v>0.38022396030199257</v>
      </c>
      <c r="N26">
        <f t="shared" ca="1" si="4"/>
        <v>1.8621783025334793E-2</v>
      </c>
      <c r="O26" t="str">
        <f t="shared" ca="1" si="5"/>
        <v/>
      </c>
      <c r="P26" t="str">
        <f t="shared" ca="1" si="6"/>
        <v/>
      </c>
    </row>
    <row r="27" spans="1:16">
      <c r="A27">
        <v>105</v>
      </c>
      <c r="B27">
        <v>2</v>
      </c>
      <c r="C27" t="str">
        <f t="shared" ca="1" si="0"/>
        <v/>
      </c>
      <c r="D27" t="str">
        <f t="shared" ca="1" si="1"/>
        <v/>
      </c>
      <c r="E27" t="str">
        <f t="shared" ca="1" si="2"/>
        <v/>
      </c>
      <c r="M27">
        <f t="shared" ca="1" si="3"/>
        <v>0.4341436974725994</v>
      </c>
      <c r="N27" t="str">
        <f t="shared" ca="1" si="4"/>
        <v/>
      </c>
      <c r="O27">
        <f t="shared" ca="1" si="5"/>
        <v>0.6859813309991285</v>
      </c>
      <c r="P27" t="str">
        <f t="shared" ca="1" si="6"/>
        <v/>
      </c>
    </row>
    <row r="28" spans="1:16">
      <c r="A28">
        <v>67</v>
      </c>
      <c r="B28">
        <v>1</v>
      </c>
      <c r="C28" t="str">
        <f t="shared" ca="1" si="0"/>
        <v/>
      </c>
      <c r="D28">
        <f t="shared" ca="1" si="1"/>
        <v>67</v>
      </c>
      <c r="E28" t="str">
        <f t="shared" ca="1" si="2"/>
        <v/>
      </c>
      <c r="M28">
        <f t="shared" ca="1" si="3"/>
        <v>0.64124140086101478</v>
      </c>
      <c r="N28">
        <f t="shared" ca="1" si="4"/>
        <v>0.25071580204968225</v>
      </c>
      <c r="O28" t="str">
        <f t="shared" ca="1" si="5"/>
        <v/>
      </c>
      <c r="P28" t="str">
        <f t="shared" ca="1" si="6"/>
        <v/>
      </c>
    </row>
    <row r="29" spans="1:16">
      <c r="A29">
        <v>44</v>
      </c>
      <c r="B29">
        <v>2</v>
      </c>
      <c r="C29" t="str">
        <f t="shared" ca="1" si="0"/>
        <v/>
      </c>
      <c r="D29" t="str">
        <f t="shared" ca="1" si="1"/>
        <v/>
      </c>
      <c r="E29" t="str">
        <f t="shared" ca="1" si="2"/>
        <v/>
      </c>
      <c r="M29">
        <f t="shared" ca="1" si="3"/>
        <v>0.88933345205478087</v>
      </c>
      <c r="N29" t="str">
        <f t="shared" ca="1" si="4"/>
        <v/>
      </c>
      <c r="O29">
        <f t="shared" ca="1" si="5"/>
        <v>0.60679291182742379</v>
      </c>
      <c r="P29" t="str">
        <f t="shared" ca="1" si="6"/>
        <v/>
      </c>
    </row>
    <row r="30" spans="1:16">
      <c r="A30">
        <v>109</v>
      </c>
      <c r="B30">
        <v>1</v>
      </c>
      <c r="C30" t="str">
        <f t="shared" ca="1" si="0"/>
        <v/>
      </c>
      <c r="D30" t="str">
        <f t="shared" ca="1" si="1"/>
        <v/>
      </c>
      <c r="E30" t="str">
        <f t="shared" ca="1" si="2"/>
        <v/>
      </c>
      <c r="M30">
        <f t="shared" ca="1" si="3"/>
        <v>0.6429004864946215</v>
      </c>
      <c r="N30">
        <f t="shared" ca="1" si="4"/>
        <v>0.84461214771089566</v>
      </c>
      <c r="O30" t="str">
        <f t="shared" ca="1" si="5"/>
        <v/>
      </c>
      <c r="P30" t="str">
        <f t="shared" ca="1" si="6"/>
        <v/>
      </c>
    </row>
    <row r="31" spans="1:16">
      <c r="A31">
        <v>55</v>
      </c>
      <c r="B31">
        <v>1</v>
      </c>
      <c r="C31" t="str">
        <f t="shared" ca="1" si="0"/>
        <v/>
      </c>
      <c r="D31" t="str">
        <f t="shared" ca="1" si="1"/>
        <v/>
      </c>
      <c r="E31" t="str">
        <f t="shared" ca="1" si="2"/>
        <v/>
      </c>
      <c r="M31">
        <f t="shared" ca="1" si="3"/>
        <v>0.38843824428554008</v>
      </c>
      <c r="N31">
        <f t="shared" ca="1" si="4"/>
        <v>0.50033609478930186</v>
      </c>
      <c r="O31" t="str">
        <f t="shared" ca="1" si="5"/>
        <v/>
      </c>
      <c r="P31" t="str">
        <f t="shared" ca="1" si="6"/>
        <v/>
      </c>
    </row>
    <row r="32" spans="1:16">
      <c r="A32">
        <v>49</v>
      </c>
      <c r="B32">
        <v>1</v>
      </c>
      <c r="C32" t="str">
        <f t="shared" ca="1" si="0"/>
        <v/>
      </c>
      <c r="D32">
        <f t="shared" ca="1" si="1"/>
        <v>49</v>
      </c>
      <c r="E32" t="str">
        <f t="shared" ca="1" si="2"/>
        <v/>
      </c>
      <c r="M32">
        <f t="shared" ca="1" si="3"/>
        <v>0.83360901751765848</v>
      </c>
      <c r="N32">
        <f t="shared" ca="1" si="4"/>
        <v>9.8374368179166227E-2</v>
      </c>
      <c r="O32" t="str">
        <f t="shared" ca="1" si="5"/>
        <v/>
      </c>
      <c r="P32" t="str">
        <f t="shared" ca="1" si="6"/>
        <v/>
      </c>
    </row>
    <row r="33" spans="1:16">
      <c r="A33">
        <v>89</v>
      </c>
      <c r="B33">
        <v>2</v>
      </c>
      <c r="C33" t="str">
        <f t="shared" ca="1" si="0"/>
        <v/>
      </c>
      <c r="D33" t="str">
        <f t="shared" ca="1" si="1"/>
        <v/>
      </c>
      <c r="E33">
        <f t="shared" ca="1" si="2"/>
        <v>89</v>
      </c>
      <c r="M33">
        <f t="shared" ca="1" si="3"/>
        <v>0.69044930209626632</v>
      </c>
      <c r="N33" t="str">
        <f t="shared" ca="1" si="4"/>
        <v/>
      </c>
      <c r="O33">
        <f t="shared" ca="1" si="5"/>
        <v>0.15219355832351411</v>
      </c>
      <c r="P33" t="str">
        <f t="shared" ca="1" si="6"/>
        <v/>
      </c>
    </row>
    <row r="34" spans="1:16">
      <c r="A34">
        <v>73</v>
      </c>
      <c r="B34">
        <v>1</v>
      </c>
      <c r="C34" t="str">
        <f t="shared" ca="1" si="0"/>
        <v/>
      </c>
      <c r="D34" t="str">
        <f t="shared" ca="1" si="1"/>
        <v/>
      </c>
      <c r="E34" t="str">
        <f t="shared" ca="1" si="2"/>
        <v/>
      </c>
      <c r="M34">
        <f t="shared" ca="1" si="3"/>
        <v>0.37164588737473103</v>
      </c>
      <c r="N34">
        <f t="shared" ca="1" si="4"/>
        <v>0.53713932766657235</v>
      </c>
      <c r="O34" t="str">
        <f t="shared" ca="1" si="5"/>
        <v/>
      </c>
      <c r="P34" t="str">
        <f t="shared" ca="1" si="6"/>
        <v/>
      </c>
    </row>
    <row r="35" spans="1:16">
      <c r="A35">
        <v>41</v>
      </c>
      <c r="B35">
        <v>1</v>
      </c>
      <c r="C35" t="str">
        <f t="shared" ca="1" si="0"/>
        <v/>
      </c>
      <c r="D35">
        <f t="shared" ca="1" si="1"/>
        <v>41</v>
      </c>
      <c r="E35" t="str">
        <f t="shared" ca="1" si="2"/>
        <v/>
      </c>
      <c r="M35">
        <f t="shared" ca="1" si="3"/>
        <v>0.47505840002189004</v>
      </c>
      <c r="N35">
        <f t="shared" ca="1" si="4"/>
        <v>0.18026449970240632</v>
      </c>
      <c r="O35" t="str">
        <f t="shared" ca="1" si="5"/>
        <v/>
      </c>
      <c r="P35" t="str">
        <f t="shared" ca="1" si="6"/>
        <v/>
      </c>
    </row>
    <row r="36" spans="1:16">
      <c r="A36">
        <v>53</v>
      </c>
      <c r="B36">
        <v>2</v>
      </c>
      <c r="C36" t="str">
        <f t="shared" ca="1" si="0"/>
        <v/>
      </c>
      <c r="D36" t="str">
        <f t="shared" ca="1" si="1"/>
        <v/>
      </c>
      <c r="E36" t="str">
        <f t="shared" ca="1" si="2"/>
        <v/>
      </c>
      <c r="M36">
        <f t="shared" ca="1" si="3"/>
        <v>0.55623462733196161</v>
      </c>
      <c r="N36" t="str">
        <f t="shared" ca="1" si="4"/>
        <v/>
      </c>
      <c r="O36">
        <f t="shared" ca="1" si="5"/>
        <v>0.97547108790274706</v>
      </c>
      <c r="P36" t="str">
        <f t="shared" ca="1" si="6"/>
        <v/>
      </c>
    </row>
    <row r="37" spans="1:16">
      <c r="A37">
        <v>69</v>
      </c>
      <c r="B37">
        <v>1</v>
      </c>
      <c r="C37" t="str">
        <f t="shared" ca="1" si="0"/>
        <v/>
      </c>
      <c r="D37">
        <f t="shared" ca="1" si="1"/>
        <v>69</v>
      </c>
      <c r="E37" t="str">
        <f t="shared" ca="1" si="2"/>
        <v/>
      </c>
      <c r="M37">
        <f t="shared" ca="1" si="3"/>
        <v>0.26582075782366665</v>
      </c>
      <c r="N37">
        <f t="shared" ca="1" si="4"/>
        <v>0.1067491359281485</v>
      </c>
      <c r="O37" t="str">
        <f t="shared" ca="1" si="5"/>
        <v/>
      </c>
      <c r="P37" t="str">
        <f t="shared" ca="1" si="6"/>
        <v/>
      </c>
    </row>
    <row r="38" spans="1:16">
      <c r="A38">
        <v>82</v>
      </c>
      <c r="B38">
        <v>2</v>
      </c>
      <c r="C38">
        <f t="shared" ca="1" si="0"/>
        <v>82</v>
      </c>
      <c r="D38" t="str">
        <f t="shared" ca="1" si="1"/>
        <v/>
      </c>
      <c r="E38" t="str">
        <f t="shared" ca="1" si="2"/>
        <v/>
      </c>
      <c r="M38">
        <f t="shared" ca="1" si="3"/>
        <v>0.10353566088004751</v>
      </c>
      <c r="N38" t="str">
        <f t="shared" ca="1" si="4"/>
        <v/>
      </c>
      <c r="O38">
        <f t="shared" ca="1" si="5"/>
        <v>0.17021178091990241</v>
      </c>
      <c r="P38" t="str">
        <f t="shared" ca="1" si="6"/>
        <v/>
      </c>
    </row>
    <row r="39" spans="1:16">
      <c r="A39">
        <v>126</v>
      </c>
      <c r="B39">
        <v>2</v>
      </c>
      <c r="C39" t="str">
        <f t="shared" ca="1" si="0"/>
        <v/>
      </c>
      <c r="D39" t="str">
        <f t="shared" ca="1" si="1"/>
        <v/>
      </c>
      <c r="E39" t="str">
        <f t="shared" ca="1" si="2"/>
        <v/>
      </c>
      <c r="M39">
        <f t="shared" ca="1" si="3"/>
        <v>0.86570534574596647</v>
      </c>
      <c r="N39" t="str">
        <f t="shared" ca="1" si="4"/>
        <v/>
      </c>
      <c r="O39">
        <f t="shared" ca="1" si="5"/>
        <v>0.34654308110358922</v>
      </c>
      <c r="P39" t="str">
        <f t="shared" ca="1" si="6"/>
        <v/>
      </c>
    </row>
    <row r="40" spans="1:16">
      <c r="A40">
        <v>81</v>
      </c>
      <c r="B40">
        <v>1</v>
      </c>
      <c r="C40" t="str">
        <f t="shared" ca="1" si="0"/>
        <v/>
      </c>
      <c r="D40" t="str">
        <f t="shared" ca="1" si="1"/>
        <v/>
      </c>
      <c r="E40" t="str">
        <f t="shared" ca="1" si="2"/>
        <v/>
      </c>
      <c r="M40">
        <f t="shared" ca="1" si="3"/>
        <v>0.83367402357946041</v>
      </c>
      <c r="N40">
        <f t="shared" ca="1" si="4"/>
        <v>0.40463010357774154</v>
      </c>
      <c r="O40" t="str">
        <f t="shared" ca="1" si="5"/>
        <v/>
      </c>
      <c r="P40" t="str">
        <f t="shared" ca="1" si="6"/>
        <v/>
      </c>
    </row>
    <row r="41" spans="1:16">
      <c r="A41">
        <v>65</v>
      </c>
      <c r="B41">
        <v>1</v>
      </c>
      <c r="C41" t="str">
        <f t="shared" ca="1" si="0"/>
        <v/>
      </c>
      <c r="D41" t="str">
        <f t="shared" ca="1" si="1"/>
        <v/>
      </c>
      <c r="E41" t="str">
        <f t="shared" ca="1" si="2"/>
        <v/>
      </c>
      <c r="M41">
        <f t="shared" ca="1" si="3"/>
        <v>0.85120547573698202</v>
      </c>
      <c r="N41">
        <f t="shared" ca="1" si="4"/>
        <v>0.36435820493738191</v>
      </c>
      <c r="O41" t="str">
        <f t="shared" ca="1" si="5"/>
        <v/>
      </c>
      <c r="P41" t="str">
        <f t="shared" ca="1" si="6"/>
        <v/>
      </c>
    </row>
    <row r="42" spans="1:16">
      <c r="A42">
        <v>79</v>
      </c>
      <c r="B42">
        <v>1</v>
      </c>
      <c r="C42" t="str">
        <f t="shared" ca="1" si="0"/>
        <v/>
      </c>
      <c r="D42">
        <f t="shared" ca="1" si="1"/>
        <v>79</v>
      </c>
      <c r="E42" t="str">
        <f t="shared" ca="1" si="2"/>
        <v/>
      </c>
      <c r="M42">
        <f t="shared" ca="1" si="3"/>
        <v>0.96797396032622718</v>
      </c>
      <c r="N42">
        <f t="shared" ca="1" si="4"/>
        <v>0.23860444470814191</v>
      </c>
      <c r="O42" t="str">
        <f t="shared" ca="1" si="5"/>
        <v/>
      </c>
      <c r="P42" t="str">
        <f t="shared" ca="1" si="6"/>
        <v/>
      </c>
    </row>
    <row r="43" spans="1:16">
      <c r="A43">
        <v>47</v>
      </c>
      <c r="B43">
        <v>1</v>
      </c>
      <c r="C43">
        <f t="shared" ref="C43:C74" ca="1" si="7">IF(M43&lt;=PERCENTILE($M$11:$M$210,$C$7/COUNT($B$11:$B$210)),A43,"")</f>
        <v>47</v>
      </c>
      <c r="D43">
        <f t="shared" ref="D43:D74" ca="1" si="8">IF(N43&lt;=PERCENTILE($N$11:$N$210,$D$7/$D$4),A43,"")</f>
        <v>47</v>
      </c>
      <c r="E43" t="str">
        <f t="shared" ref="E43:E74" ca="1" si="9">IF(O43&lt;=PERCENTILE($O$11:$O$210,$E$7/$E$4),A43,"")</f>
        <v/>
      </c>
      <c r="M43">
        <f t="shared" ref="M43:M74" ca="1" si="10">RAND()</f>
        <v>0.23829785591418018</v>
      </c>
      <c r="N43">
        <f t="shared" ref="N43:N74" ca="1" si="11">IF(B43=$D$2,RAND(),"")</f>
        <v>0.24919400151115245</v>
      </c>
      <c r="O43" t="str">
        <f t="shared" ref="O43:O74" ca="1" si="12">IF(B43=$E$2,RAND(),"")</f>
        <v/>
      </c>
      <c r="P43">
        <f t="shared" ref="P43:P74" ca="1" si="13">IF(AND(C43&lt;&gt;"",B43=1),B43,"")</f>
        <v>1</v>
      </c>
    </row>
    <row r="44" spans="1:16">
      <c r="A44">
        <v>67</v>
      </c>
      <c r="B44">
        <v>1</v>
      </c>
      <c r="C44">
        <f t="shared" ca="1" si="7"/>
        <v>67</v>
      </c>
      <c r="D44" t="str">
        <f t="shared" ca="1" si="8"/>
        <v/>
      </c>
      <c r="E44" t="str">
        <f t="shared" ca="1" si="9"/>
        <v/>
      </c>
      <c r="M44">
        <f t="shared" ca="1" si="10"/>
        <v>9.2119606602999227E-2</v>
      </c>
      <c r="N44">
        <f t="shared" ca="1" si="11"/>
        <v>0.78885966428863341</v>
      </c>
      <c r="O44" t="str">
        <f t="shared" ca="1" si="12"/>
        <v/>
      </c>
      <c r="P44">
        <f t="shared" ca="1" si="13"/>
        <v>1</v>
      </c>
    </row>
    <row r="45" spans="1:16">
      <c r="A45">
        <v>81</v>
      </c>
      <c r="B45">
        <v>1</v>
      </c>
      <c r="C45" t="str">
        <f t="shared" ca="1" si="7"/>
        <v/>
      </c>
      <c r="D45">
        <f t="shared" ca="1" si="8"/>
        <v>81</v>
      </c>
      <c r="E45" t="str">
        <f t="shared" ca="1" si="9"/>
        <v/>
      </c>
      <c r="M45">
        <f t="shared" ca="1" si="10"/>
        <v>0.61875082467736098</v>
      </c>
      <c r="N45">
        <f t="shared" ca="1" si="11"/>
        <v>0.20062251817336918</v>
      </c>
      <c r="O45" t="str">
        <f t="shared" ca="1" si="12"/>
        <v/>
      </c>
      <c r="P45" t="str">
        <f t="shared" ca="1" si="13"/>
        <v/>
      </c>
    </row>
    <row r="46" spans="1:16">
      <c r="A46">
        <v>71</v>
      </c>
      <c r="B46">
        <v>2</v>
      </c>
      <c r="C46" t="str">
        <f t="shared" ca="1" si="7"/>
        <v/>
      </c>
      <c r="D46" t="str">
        <f t="shared" ca="1" si="8"/>
        <v/>
      </c>
      <c r="E46" t="str">
        <f t="shared" ca="1" si="9"/>
        <v/>
      </c>
      <c r="M46">
        <f t="shared" ca="1" si="10"/>
        <v>0.84838370039762911</v>
      </c>
      <c r="N46" t="str">
        <f t="shared" ca="1" si="11"/>
        <v/>
      </c>
      <c r="O46">
        <f t="shared" ca="1" si="12"/>
        <v>0.60625218485985632</v>
      </c>
      <c r="P46" t="str">
        <f t="shared" ca="1" si="13"/>
        <v/>
      </c>
    </row>
    <row r="47" spans="1:16">
      <c r="A47">
        <v>93</v>
      </c>
      <c r="B47">
        <v>1</v>
      </c>
      <c r="C47" t="str">
        <f t="shared" ca="1" si="7"/>
        <v/>
      </c>
      <c r="D47" t="str">
        <f t="shared" ca="1" si="8"/>
        <v/>
      </c>
      <c r="E47" t="str">
        <f t="shared" ca="1" si="9"/>
        <v/>
      </c>
      <c r="M47">
        <f t="shared" ca="1" si="10"/>
        <v>0.94706046112404851</v>
      </c>
      <c r="N47">
        <f t="shared" ca="1" si="11"/>
        <v>0.90929979406737282</v>
      </c>
      <c r="O47" t="str">
        <f t="shared" ca="1" si="12"/>
        <v/>
      </c>
      <c r="P47" t="str">
        <f t="shared" ca="1" si="13"/>
        <v/>
      </c>
    </row>
    <row r="48" spans="1:16">
      <c r="A48">
        <v>89</v>
      </c>
      <c r="B48">
        <v>1</v>
      </c>
      <c r="C48">
        <f t="shared" ca="1" si="7"/>
        <v>89</v>
      </c>
      <c r="D48" t="str">
        <f t="shared" ca="1" si="8"/>
        <v/>
      </c>
      <c r="E48" t="str">
        <f t="shared" ca="1" si="9"/>
        <v/>
      </c>
      <c r="M48">
        <f t="shared" ca="1" si="10"/>
        <v>0.20203211673331456</v>
      </c>
      <c r="N48">
        <f t="shared" ca="1" si="11"/>
        <v>0.28777245423559261</v>
      </c>
      <c r="O48" t="str">
        <f t="shared" ca="1" si="12"/>
        <v/>
      </c>
      <c r="P48">
        <f t="shared" ca="1" si="13"/>
        <v>1</v>
      </c>
    </row>
    <row r="49" spans="1:16">
      <c r="A49">
        <v>68</v>
      </c>
      <c r="B49">
        <v>1</v>
      </c>
      <c r="C49" t="str">
        <f t="shared" ca="1" si="7"/>
        <v/>
      </c>
      <c r="D49">
        <f t="shared" ca="1" si="8"/>
        <v>68</v>
      </c>
      <c r="E49" t="str">
        <f t="shared" ca="1" si="9"/>
        <v/>
      </c>
      <c r="M49">
        <f t="shared" ca="1" si="10"/>
        <v>0.57625835925753233</v>
      </c>
      <c r="N49">
        <f t="shared" ca="1" si="11"/>
        <v>8.1574444739882956E-2</v>
      </c>
      <c r="O49" t="str">
        <f t="shared" ca="1" si="12"/>
        <v/>
      </c>
      <c r="P49" t="str">
        <f t="shared" ca="1" si="13"/>
        <v/>
      </c>
    </row>
    <row r="50" spans="1:16">
      <c r="A50">
        <v>38</v>
      </c>
      <c r="B50">
        <v>1</v>
      </c>
      <c r="C50" t="str">
        <f t="shared" ca="1" si="7"/>
        <v/>
      </c>
      <c r="D50">
        <f t="shared" ca="1" si="8"/>
        <v>38</v>
      </c>
      <c r="E50" t="str">
        <f t="shared" ca="1" si="9"/>
        <v/>
      </c>
      <c r="M50">
        <f t="shared" ca="1" si="10"/>
        <v>0.69301711680684974</v>
      </c>
      <c r="N50">
        <f t="shared" ca="1" si="11"/>
        <v>0.25452218739966348</v>
      </c>
      <c r="O50" t="str">
        <f t="shared" ca="1" si="12"/>
        <v/>
      </c>
      <c r="P50" t="str">
        <f t="shared" ca="1" si="13"/>
        <v/>
      </c>
    </row>
    <row r="51" spans="1:16">
      <c r="A51">
        <v>82</v>
      </c>
      <c r="B51">
        <v>1</v>
      </c>
      <c r="C51" t="str">
        <f t="shared" ca="1" si="7"/>
        <v/>
      </c>
      <c r="D51" t="str">
        <f t="shared" ca="1" si="8"/>
        <v/>
      </c>
      <c r="E51" t="str">
        <f t="shared" ca="1" si="9"/>
        <v/>
      </c>
      <c r="M51">
        <f t="shared" ca="1" si="10"/>
        <v>0.40898681702830864</v>
      </c>
      <c r="N51">
        <f t="shared" ca="1" si="11"/>
        <v>0.50096631403468894</v>
      </c>
      <c r="O51" t="str">
        <f t="shared" ca="1" si="12"/>
        <v/>
      </c>
      <c r="P51" t="str">
        <f t="shared" ca="1" si="13"/>
        <v/>
      </c>
    </row>
    <row r="52" spans="1:16">
      <c r="A52">
        <v>130</v>
      </c>
      <c r="B52">
        <v>2</v>
      </c>
      <c r="C52" t="str">
        <f t="shared" ca="1" si="7"/>
        <v/>
      </c>
      <c r="D52" t="str">
        <f t="shared" ca="1" si="8"/>
        <v/>
      </c>
      <c r="E52" t="str">
        <f t="shared" ca="1" si="9"/>
        <v/>
      </c>
      <c r="M52">
        <f t="shared" ca="1" si="10"/>
        <v>0.95473989115042035</v>
      </c>
      <c r="N52" t="str">
        <f t="shared" ca="1" si="11"/>
        <v/>
      </c>
      <c r="O52">
        <f t="shared" ca="1" si="12"/>
        <v>0.1952367236052468</v>
      </c>
      <c r="P52" t="str">
        <f t="shared" ca="1" si="13"/>
        <v/>
      </c>
    </row>
    <row r="53" spans="1:16">
      <c r="A53">
        <v>69</v>
      </c>
      <c r="B53">
        <v>1</v>
      </c>
      <c r="C53" t="str">
        <f t="shared" ca="1" si="7"/>
        <v/>
      </c>
      <c r="D53">
        <f t="shared" ca="1" si="8"/>
        <v>69</v>
      </c>
      <c r="E53" t="str">
        <f t="shared" ca="1" si="9"/>
        <v/>
      </c>
      <c r="M53">
        <f t="shared" ca="1" si="10"/>
        <v>0.7584236908933637</v>
      </c>
      <c r="N53">
        <f t="shared" ca="1" si="11"/>
        <v>0.21593813311512022</v>
      </c>
      <c r="O53" t="str">
        <f t="shared" ca="1" si="12"/>
        <v/>
      </c>
      <c r="P53" t="str">
        <f t="shared" ca="1" si="13"/>
        <v/>
      </c>
    </row>
    <row r="54" spans="1:16">
      <c r="A54">
        <v>80</v>
      </c>
      <c r="B54">
        <v>1</v>
      </c>
      <c r="C54" t="str">
        <f t="shared" ca="1" si="7"/>
        <v/>
      </c>
      <c r="D54">
        <f t="shared" ca="1" si="8"/>
        <v>80</v>
      </c>
      <c r="E54" t="str">
        <f t="shared" ca="1" si="9"/>
        <v/>
      </c>
      <c r="M54">
        <f t="shared" ca="1" si="10"/>
        <v>0.70973656163870036</v>
      </c>
      <c r="N54">
        <f t="shared" ca="1" si="11"/>
        <v>0.12632308860779151</v>
      </c>
      <c r="O54" t="str">
        <f t="shared" ca="1" si="12"/>
        <v/>
      </c>
      <c r="P54" t="str">
        <f t="shared" ca="1" si="13"/>
        <v/>
      </c>
    </row>
    <row r="55" spans="1:16">
      <c r="A55">
        <v>94</v>
      </c>
      <c r="B55">
        <v>2</v>
      </c>
      <c r="C55" t="str">
        <f t="shared" ca="1" si="7"/>
        <v/>
      </c>
      <c r="D55" t="str">
        <f t="shared" ca="1" si="8"/>
        <v/>
      </c>
      <c r="E55" t="str">
        <f t="shared" ca="1" si="9"/>
        <v/>
      </c>
      <c r="M55">
        <f t="shared" ca="1" si="10"/>
        <v>0.36315810471114979</v>
      </c>
      <c r="N55" t="str">
        <f t="shared" ca="1" si="11"/>
        <v/>
      </c>
      <c r="O55">
        <f t="shared" ca="1" si="12"/>
        <v>0.74384907832634006</v>
      </c>
      <c r="P55" t="str">
        <f t="shared" ca="1" si="13"/>
        <v/>
      </c>
    </row>
    <row r="56" spans="1:16">
      <c r="A56">
        <v>75</v>
      </c>
      <c r="B56">
        <v>1</v>
      </c>
      <c r="C56" t="str">
        <f t="shared" ca="1" si="7"/>
        <v/>
      </c>
      <c r="D56" t="str">
        <f t="shared" ca="1" si="8"/>
        <v/>
      </c>
      <c r="E56" t="str">
        <f t="shared" ca="1" si="9"/>
        <v/>
      </c>
      <c r="M56">
        <f t="shared" ca="1" si="10"/>
        <v>0.36039655431417117</v>
      </c>
      <c r="N56">
        <f t="shared" ca="1" si="11"/>
        <v>0.65338100581127545</v>
      </c>
      <c r="O56" t="str">
        <f t="shared" ca="1" si="12"/>
        <v/>
      </c>
      <c r="P56" t="str">
        <f t="shared" ca="1" si="13"/>
        <v/>
      </c>
    </row>
    <row r="57" spans="1:16">
      <c r="A57">
        <v>50</v>
      </c>
      <c r="B57">
        <v>1</v>
      </c>
      <c r="C57" t="str">
        <f t="shared" ca="1" si="7"/>
        <v/>
      </c>
      <c r="D57" t="str">
        <f t="shared" ca="1" si="8"/>
        <v/>
      </c>
      <c r="E57" t="str">
        <f t="shared" ca="1" si="9"/>
        <v/>
      </c>
      <c r="M57">
        <f t="shared" ca="1" si="10"/>
        <v>0.33936371840080692</v>
      </c>
      <c r="N57">
        <f t="shared" ca="1" si="11"/>
        <v>0.47980266363305812</v>
      </c>
      <c r="O57" t="str">
        <f t="shared" ca="1" si="12"/>
        <v/>
      </c>
      <c r="P57" t="str">
        <f t="shared" ca="1" si="13"/>
        <v/>
      </c>
    </row>
    <row r="58" spans="1:16">
      <c r="A58">
        <v>98</v>
      </c>
      <c r="B58">
        <v>1</v>
      </c>
      <c r="C58" t="str">
        <f t="shared" ca="1" si="7"/>
        <v/>
      </c>
      <c r="D58" t="str">
        <f t="shared" ca="1" si="8"/>
        <v/>
      </c>
      <c r="E58" t="str">
        <f t="shared" ca="1" si="9"/>
        <v/>
      </c>
      <c r="M58">
        <f t="shared" ca="1" si="10"/>
        <v>0.7305402478621188</v>
      </c>
      <c r="N58">
        <f t="shared" ca="1" si="11"/>
        <v>0.60272140848132771</v>
      </c>
      <c r="O58" t="str">
        <f t="shared" ca="1" si="12"/>
        <v/>
      </c>
      <c r="P58" t="str">
        <f t="shared" ca="1" si="13"/>
        <v/>
      </c>
    </row>
    <row r="59" spans="1:16">
      <c r="A59">
        <v>72</v>
      </c>
      <c r="B59">
        <v>1</v>
      </c>
      <c r="C59" t="str">
        <f t="shared" ca="1" si="7"/>
        <v/>
      </c>
      <c r="D59" t="str">
        <f t="shared" ca="1" si="8"/>
        <v/>
      </c>
      <c r="E59" t="str">
        <f t="shared" ca="1" si="9"/>
        <v/>
      </c>
      <c r="M59">
        <f t="shared" ca="1" si="10"/>
        <v>0.30827929113378483</v>
      </c>
      <c r="N59">
        <f t="shared" ca="1" si="11"/>
        <v>0.33653118287915462</v>
      </c>
      <c r="O59" t="str">
        <f t="shared" ca="1" si="12"/>
        <v/>
      </c>
      <c r="P59" t="str">
        <f t="shared" ca="1" si="13"/>
        <v/>
      </c>
    </row>
    <row r="60" spans="1:16">
      <c r="A60">
        <v>74</v>
      </c>
      <c r="B60">
        <v>1</v>
      </c>
      <c r="C60">
        <f t="shared" ca="1" si="7"/>
        <v>74</v>
      </c>
      <c r="D60" t="str">
        <f t="shared" ca="1" si="8"/>
        <v/>
      </c>
      <c r="E60" t="str">
        <f t="shared" ca="1" si="9"/>
        <v/>
      </c>
      <c r="M60">
        <f t="shared" ca="1" si="10"/>
        <v>9.525638580477569E-2</v>
      </c>
      <c r="N60">
        <f t="shared" ca="1" si="11"/>
        <v>0.85905031641922225</v>
      </c>
      <c r="O60" t="str">
        <f t="shared" ca="1" si="12"/>
        <v/>
      </c>
      <c r="P60">
        <f t="shared" ca="1" si="13"/>
        <v>1</v>
      </c>
    </row>
    <row r="61" spans="1:16">
      <c r="A61">
        <v>190</v>
      </c>
      <c r="B61">
        <v>2</v>
      </c>
      <c r="C61" t="str">
        <f t="shared" ca="1" si="7"/>
        <v/>
      </c>
      <c r="D61" t="str">
        <f t="shared" ca="1" si="8"/>
        <v/>
      </c>
      <c r="E61" t="str">
        <f t="shared" ca="1" si="9"/>
        <v/>
      </c>
      <c r="M61">
        <f t="shared" ca="1" si="10"/>
        <v>0.44917710084492746</v>
      </c>
      <c r="N61" t="str">
        <f t="shared" ca="1" si="11"/>
        <v/>
      </c>
      <c r="O61">
        <f t="shared" ca="1" si="12"/>
        <v>0.63452638248351545</v>
      </c>
      <c r="P61" t="str">
        <f t="shared" ca="1" si="13"/>
        <v/>
      </c>
    </row>
    <row r="62" spans="1:16">
      <c r="A62">
        <v>240</v>
      </c>
      <c r="B62">
        <v>2</v>
      </c>
      <c r="C62" t="str">
        <f t="shared" ca="1" si="7"/>
        <v/>
      </c>
      <c r="D62" t="str">
        <f t="shared" ca="1" si="8"/>
        <v/>
      </c>
      <c r="E62" t="str">
        <f t="shared" ca="1" si="9"/>
        <v/>
      </c>
      <c r="M62">
        <f t="shared" ca="1" si="10"/>
        <v>0.54385920712493641</v>
      </c>
      <c r="N62" t="str">
        <f t="shared" ca="1" si="11"/>
        <v/>
      </c>
      <c r="O62">
        <f t="shared" ca="1" si="12"/>
        <v>0.61113032898770481</v>
      </c>
      <c r="P62" t="str">
        <f t="shared" ca="1" si="13"/>
        <v/>
      </c>
    </row>
    <row r="63" spans="1:16">
      <c r="A63">
        <v>46</v>
      </c>
      <c r="B63">
        <v>1</v>
      </c>
      <c r="C63" t="str">
        <f t="shared" ca="1" si="7"/>
        <v/>
      </c>
      <c r="D63" t="str">
        <f t="shared" ca="1" si="8"/>
        <v/>
      </c>
      <c r="E63" t="str">
        <f t="shared" ca="1" si="9"/>
        <v/>
      </c>
      <c r="M63">
        <f t="shared" ca="1" si="10"/>
        <v>0.89643694441450705</v>
      </c>
      <c r="N63">
        <f t="shared" ca="1" si="11"/>
        <v>0.41075387898008886</v>
      </c>
      <c r="O63" t="str">
        <f t="shared" ca="1" si="12"/>
        <v/>
      </c>
      <c r="P63" t="str">
        <f t="shared" ca="1" si="13"/>
        <v/>
      </c>
    </row>
    <row r="64" spans="1:16">
      <c r="A64">
        <v>85</v>
      </c>
      <c r="B64">
        <v>1</v>
      </c>
      <c r="C64" t="str">
        <f t="shared" ca="1" si="7"/>
        <v/>
      </c>
      <c r="D64" t="str">
        <f t="shared" ca="1" si="8"/>
        <v/>
      </c>
      <c r="E64" t="str">
        <f t="shared" ca="1" si="9"/>
        <v/>
      </c>
      <c r="M64">
        <f t="shared" ca="1" si="10"/>
        <v>0.34306665172236972</v>
      </c>
      <c r="N64">
        <f t="shared" ca="1" si="11"/>
        <v>0.34525921090799039</v>
      </c>
      <c r="O64" t="str">
        <f t="shared" ca="1" si="12"/>
        <v/>
      </c>
      <c r="P64" t="str">
        <f t="shared" ca="1" si="13"/>
        <v/>
      </c>
    </row>
    <row r="65" spans="1:16">
      <c r="A65">
        <v>67</v>
      </c>
      <c r="B65">
        <v>1</v>
      </c>
      <c r="C65" t="str">
        <f t="shared" ca="1" si="7"/>
        <v/>
      </c>
      <c r="D65" t="str">
        <f t="shared" ca="1" si="8"/>
        <v/>
      </c>
      <c r="E65" t="str">
        <f t="shared" ca="1" si="9"/>
        <v/>
      </c>
      <c r="M65">
        <f t="shared" ca="1" si="10"/>
        <v>0.43159616090331721</v>
      </c>
      <c r="N65">
        <f t="shared" ca="1" si="11"/>
        <v>0.85697774926411951</v>
      </c>
      <c r="O65" t="str">
        <f t="shared" ca="1" si="12"/>
        <v/>
      </c>
      <c r="P65" t="str">
        <f t="shared" ca="1" si="13"/>
        <v/>
      </c>
    </row>
    <row r="66" spans="1:16">
      <c r="A66">
        <v>65</v>
      </c>
      <c r="B66">
        <v>2</v>
      </c>
      <c r="C66" t="str">
        <f t="shared" ca="1" si="7"/>
        <v/>
      </c>
      <c r="D66" t="str">
        <f t="shared" ca="1" si="8"/>
        <v/>
      </c>
      <c r="E66">
        <f t="shared" ca="1" si="9"/>
        <v>65</v>
      </c>
      <c r="M66">
        <f t="shared" ca="1" si="10"/>
        <v>0.9233326902645107</v>
      </c>
      <c r="N66" t="str">
        <f t="shared" ca="1" si="11"/>
        <v/>
      </c>
      <c r="O66">
        <f t="shared" ca="1" si="12"/>
        <v>2.3283510986415346E-2</v>
      </c>
      <c r="P66" t="str">
        <f t="shared" ca="1" si="13"/>
        <v/>
      </c>
    </row>
    <row r="67" spans="1:16">
      <c r="A67">
        <v>67</v>
      </c>
      <c r="B67">
        <v>1</v>
      </c>
      <c r="C67">
        <f t="shared" ca="1" si="7"/>
        <v>67</v>
      </c>
      <c r="D67">
        <f t="shared" ca="1" si="8"/>
        <v>67</v>
      </c>
      <c r="E67" t="str">
        <f t="shared" ca="1" si="9"/>
        <v/>
      </c>
      <c r="M67">
        <f t="shared" ca="1" si="10"/>
        <v>1.176272480064533E-2</v>
      </c>
      <c r="N67">
        <f t="shared" ca="1" si="11"/>
        <v>0.23085195269204029</v>
      </c>
      <c r="O67" t="str">
        <f t="shared" ca="1" si="12"/>
        <v/>
      </c>
      <c r="P67">
        <f t="shared" ca="1" si="13"/>
        <v>1</v>
      </c>
    </row>
    <row r="68" spans="1:16">
      <c r="A68">
        <v>131</v>
      </c>
      <c r="B68">
        <v>2</v>
      </c>
      <c r="C68" t="str">
        <f t="shared" ca="1" si="7"/>
        <v/>
      </c>
      <c r="D68" t="str">
        <f t="shared" ca="1" si="8"/>
        <v/>
      </c>
      <c r="E68" t="str">
        <f t="shared" ca="1" si="9"/>
        <v/>
      </c>
      <c r="M68">
        <f t="shared" ca="1" si="10"/>
        <v>0.39077514712869732</v>
      </c>
      <c r="N68" t="str">
        <f t="shared" ca="1" si="11"/>
        <v/>
      </c>
      <c r="O68">
        <f t="shared" ca="1" si="12"/>
        <v>0.92837068694706204</v>
      </c>
      <c r="P68" t="str">
        <f t="shared" ca="1" si="13"/>
        <v/>
      </c>
    </row>
    <row r="69" spans="1:16">
      <c r="A69">
        <v>87</v>
      </c>
      <c r="B69">
        <v>1</v>
      </c>
      <c r="C69">
        <f t="shared" ca="1" si="7"/>
        <v>87</v>
      </c>
      <c r="D69" t="str">
        <f t="shared" ca="1" si="8"/>
        <v/>
      </c>
      <c r="E69" t="str">
        <f t="shared" ca="1" si="9"/>
        <v/>
      </c>
      <c r="M69">
        <f t="shared" ca="1" si="10"/>
        <v>0.14439391130091761</v>
      </c>
      <c r="N69">
        <f t="shared" ca="1" si="11"/>
        <v>0.74989941900230495</v>
      </c>
      <c r="O69" t="str">
        <f t="shared" ca="1" si="12"/>
        <v/>
      </c>
      <c r="P69">
        <f t="shared" ca="1" si="13"/>
        <v>1</v>
      </c>
    </row>
    <row r="70" spans="1:16">
      <c r="A70">
        <v>77</v>
      </c>
      <c r="B70">
        <v>1</v>
      </c>
      <c r="C70" t="str">
        <f t="shared" ca="1" si="7"/>
        <v/>
      </c>
      <c r="D70" t="str">
        <f t="shared" ca="1" si="8"/>
        <v/>
      </c>
      <c r="E70" t="str">
        <f t="shared" ca="1" si="9"/>
        <v/>
      </c>
      <c r="M70">
        <f t="shared" ca="1" si="10"/>
        <v>0.28089755840823738</v>
      </c>
      <c r="N70">
        <f t="shared" ca="1" si="11"/>
        <v>0.82437441834268732</v>
      </c>
      <c r="O70" t="str">
        <f t="shared" ca="1" si="12"/>
        <v/>
      </c>
      <c r="P70" t="str">
        <f t="shared" ca="1" si="13"/>
        <v/>
      </c>
    </row>
    <row r="71" spans="1:16">
      <c r="A71">
        <v>122</v>
      </c>
      <c r="B71">
        <v>2</v>
      </c>
      <c r="C71">
        <f t="shared" ca="1" si="7"/>
        <v>122</v>
      </c>
      <c r="D71" t="str">
        <f t="shared" ca="1" si="8"/>
        <v/>
      </c>
      <c r="E71" t="str">
        <f t="shared" ca="1" si="9"/>
        <v/>
      </c>
      <c r="M71">
        <f t="shared" ca="1" si="10"/>
        <v>0.13516013929303439</v>
      </c>
      <c r="N71" t="str">
        <f t="shared" ca="1" si="11"/>
        <v/>
      </c>
      <c r="O71">
        <f t="shared" ca="1" si="12"/>
        <v>0.50993936391997519</v>
      </c>
      <c r="P71" t="str">
        <f t="shared" ca="1" si="13"/>
        <v/>
      </c>
    </row>
    <row r="72" spans="1:16">
      <c r="A72">
        <v>52</v>
      </c>
      <c r="B72">
        <v>1</v>
      </c>
      <c r="C72" t="str">
        <f t="shared" ca="1" si="7"/>
        <v/>
      </c>
      <c r="D72" t="str">
        <f t="shared" ca="1" si="8"/>
        <v/>
      </c>
      <c r="E72" t="str">
        <f t="shared" ca="1" si="9"/>
        <v/>
      </c>
      <c r="M72">
        <f t="shared" ca="1" si="10"/>
        <v>0.3525958407697678</v>
      </c>
      <c r="N72">
        <f t="shared" ca="1" si="11"/>
        <v>0.77994089422111057</v>
      </c>
      <c r="O72" t="str">
        <f t="shared" ca="1" si="12"/>
        <v/>
      </c>
      <c r="P72" t="str">
        <f t="shared" ca="1" si="13"/>
        <v/>
      </c>
    </row>
    <row r="73" spans="1:16">
      <c r="A73">
        <v>68</v>
      </c>
      <c r="B73">
        <v>2</v>
      </c>
      <c r="C73" t="str">
        <f t="shared" ca="1" si="7"/>
        <v/>
      </c>
      <c r="D73" t="str">
        <f t="shared" ca="1" si="8"/>
        <v/>
      </c>
      <c r="E73" t="str">
        <f t="shared" ca="1" si="9"/>
        <v/>
      </c>
      <c r="M73">
        <f t="shared" ca="1" si="10"/>
        <v>0.47622650257979071</v>
      </c>
      <c r="N73" t="str">
        <f t="shared" ca="1" si="11"/>
        <v/>
      </c>
      <c r="O73">
        <f t="shared" ca="1" si="12"/>
        <v>0.7937064761804733</v>
      </c>
      <c r="P73" t="str">
        <f t="shared" ca="1" si="13"/>
        <v/>
      </c>
    </row>
    <row r="74" spans="1:16">
      <c r="A74">
        <v>63</v>
      </c>
      <c r="B74">
        <v>1</v>
      </c>
      <c r="C74" t="str">
        <f t="shared" ca="1" si="7"/>
        <v/>
      </c>
      <c r="D74" t="str">
        <f t="shared" ca="1" si="8"/>
        <v/>
      </c>
      <c r="E74" t="str">
        <f t="shared" ca="1" si="9"/>
        <v/>
      </c>
      <c r="M74">
        <f t="shared" ca="1" si="10"/>
        <v>0.84265396795595793</v>
      </c>
      <c r="N74">
        <f t="shared" ca="1" si="11"/>
        <v>0.38239153968813167</v>
      </c>
      <c r="O74" t="str">
        <f t="shared" ca="1" si="12"/>
        <v/>
      </c>
      <c r="P74" t="str">
        <f t="shared" ca="1" si="13"/>
        <v/>
      </c>
    </row>
    <row r="75" spans="1:16">
      <c r="A75">
        <v>78</v>
      </c>
      <c r="B75">
        <v>1</v>
      </c>
      <c r="C75" t="str">
        <f t="shared" ref="C75:C106" ca="1" si="14">IF(M75&lt;=PERCENTILE($M$11:$M$210,$C$7/COUNT($B$11:$B$210)),A75,"")</f>
        <v/>
      </c>
      <c r="D75" t="str">
        <f t="shared" ref="D75:D106" ca="1" si="15">IF(N75&lt;=PERCENTILE($N$11:$N$210,$D$7/$D$4),A75,"")</f>
        <v/>
      </c>
      <c r="E75" t="str">
        <f t="shared" ref="E75:E106" ca="1" si="16">IF(O75&lt;=PERCENTILE($O$11:$O$210,$E$7/$E$4),A75,"")</f>
        <v/>
      </c>
      <c r="M75">
        <f t="shared" ref="M75:M106" ca="1" si="17">RAND()</f>
        <v>0.84895267572227873</v>
      </c>
      <c r="N75">
        <f t="shared" ref="N75:N106" ca="1" si="18">IF(B75=$D$2,RAND(),"")</f>
        <v>0.6373418844069505</v>
      </c>
      <c r="O75" t="str">
        <f t="shared" ref="O75:O106" ca="1" si="19">IF(B75=$E$2,RAND(),"")</f>
        <v/>
      </c>
      <c r="P75" t="str">
        <f t="shared" ref="P75:P106" ca="1" si="20">IF(AND(C75&lt;&gt;"",B75=1),B75,"")</f>
        <v/>
      </c>
    </row>
    <row r="76" spans="1:16">
      <c r="A76">
        <v>166</v>
      </c>
      <c r="B76">
        <v>2</v>
      </c>
      <c r="C76" t="str">
        <f t="shared" ca="1" si="14"/>
        <v/>
      </c>
      <c r="D76" t="str">
        <f t="shared" ca="1" si="15"/>
        <v/>
      </c>
      <c r="E76">
        <f t="shared" ca="1" si="16"/>
        <v>166</v>
      </c>
      <c r="M76">
        <f t="shared" ca="1" si="17"/>
        <v>0.96349691411133676</v>
      </c>
      <c r="N76" t="str">
        <f t="shared" ca="1" si="18"/>
        <v/>
      </c>
      <c r="O76">
        <f t="shared" ca="1" si="19"/>
        <v>0.14043693690014702</v>
      </c>
      <c r="P76" t="str">
        <f t="shared" ca="1" si="20"/>
        <v/>
      </c>
    </row>
    <row r="77" spans="1:16">
      <c r="A77">
        <v>118</v>
      </c>
      <c r="B77">
        <v>1</v>
      </c>
      <c r="C77" t="str">
        <f t="shared" ca="1" si="14"/>
        <v/>
      </c>
      <c r="D77" t="str">
        <f t="shared" ca="1" si="15"/>
        <v/>
      </c>
      <c r="E77" t="str">
        <f t="shared" ca="1" si="16"/>
        <v/>
      </c>
      <c r="M77">
        <f t="shared" ca="1" si="17"/>
        <v>0.46258853456129234</v>
      </c>
      <c r="N77">
        <f t="shared" ca="1" si="18"/>
        <v>0.6793120034300868</v>
      </c>
      <c r="O77" t="str">
        <f t="shared" ca="1" si="19"/>
        <v/>
      </c>
      <c r="P77" t="str">
        <f t="shared" ca="1" si="20"/>
        <v/>
      </c>
    </row>
    <row r="78" spans="1:16">
      <c r="A78">
        <v>105</v>
      </c>
      <c r="B78">
        <v>2</v>
      </c>
      <c r="C78" t="str">
        <f t="shared" ca="1" si="14"/>
        <v/>
      </c>
      <c r="D78" t="str">
        <f t="shared" ca="1" si="15"/>
        <v/>
      </c>
      <c r="E78" t="str">
        <f t="shared" ca="1" si="16"/>
        <v/>
      </c>
      <c r="M78">
        <f t="shared" ca="1" si="17"/>
        <v>0.77552709306342571</v>
      </c>
      <c r="N78" t="str">
        <f t="shared" ca="1" si="18"/>
        <v/>
      </c>
      <c r="O78">
        <f t="shared" ca="1" si="19"/>
        <v>0.55868077971975172</v>
      </c>
      <c r="P78" t="str">
        <f t="shared" ca="1" si="20"/>
        <v/>
      </c>
    </row>
    <row r="79" spans="1:16">
      <c r="A79">
        <v>67</v>
      </c>
      <c r="B79">
        <v>1</v>
      </c>
      <c r="C79" t="str">
        <f t="shared" ca="1" si="14"/>
        <v/>
      </c>
      <c r="D79" t="str">
        <f t="shared" ca="1" si="15"/>
        <v/>
      </c>
      <c r="E79" t="str">
        <f t="shared" ca="1" si="16"/>
        <v/>
      </c>
      <c r="M79">
        <f t="shared" ca="1" si="17"/>
        <v>0.9065461757623865</v>
      </c>
      <c r="N79">
        <f t="shared" ca="1" si="18"/>
        <v>0.58831171706718011</v>
      </c>
      <c r="O79" t="str">
        <f t="shared" ca="1" si="19"/>
        <v/>
      </c>
      <c r="P79" t="str">
        <f t="shared" ca="1" si="20"/>
        <v/>
      </c>
    </row>
    <row r="80" spans="1:16">
      <c r="A80">
        <v>40</v>
      </c>
      <c r="B80">
        <v>1</v>
      </c>
      <c r="C80" t="str">
        <f t="shared" ca="1" si="14"/>
        <v/>
      </c>
      <c r="D80" t="str">
        <f t="shared" ca="1" si="15"/>
        <v/>
      </c>
      <c r="E80" t="str">
        <f t="shared" ca="1" si="16"/>
        <v/>
      </c>
      <c r="M80">
        <f t="shared" ca="1" si="17"/>
        <v>0.35303958057537432</v>
      </c>
      <c r="N80">
        <f t="shared" ca="1" si="18"/>
        <v>0.56664025553845421</v>
      </c>
      <c r="O80" t="str">
        <f t="shared" ca="1" si="19"/>
        <v/>
      </c>
      <c r="P80" t="str">
        <f t="shared" ca="1" si="20"/>
        <v/>
      </c>
    </row>
    <row r="81" spans="1:16">
      <c r="A81">
        <v>109</v>
      </c>
      <c r="B81">
        <v>2</v>
      </c>
      <c r="C81">
        <f t="shared" ca="1" si="14"/>
        <v>109</v>
      </c>
      <c r="D81" t="str">
        <f t="shared" ca="1" si="15"/>
        <v/>
      </c>
      <c r="E81">
        <f t="shared" ca="1" si="16"/>
        <v>109</v>
      </c>
      <c r="M81">
        <f t="shared" ca="1" si="17"/>
        <v>0.17685705557386466</v>
      </c>
      <c r="N81" t="str">
        <f t="shared" ca="1" si="18"/>
        <v/>
      </c>
      <c r="O81">
        <f t="shared" ca="1" si="19"/>
        <v>7.0572289079877226E-2</v>
      </c>
      <c r="P81" t="str">
        <f t="shared" ca="1" si="20"/>
        <v/>
      </c>
    </row>
    <row r="82" spans="1:16">
      <c r="A82">
        <v>55</v>
      </c>
      <c r="B82">
        <v>1</v>
      </c>
      <c r="C82">
        <f t="shared" ca="1" si="14"/>
        <v>55</v>
      </c>
      <c r="D82" t="str">
        <f t="shared" ca="1" si="15"/>
        <v/>
      </c>
      <c r="E82" t="str">
        <f t="shared" ca="1" si="16"/>
        <v/>
      </c>
      <c r="M82">
        <f t="shared" ca="1" si="17"/>
        <v>0.2037592932489396</v>
      </c>
      <c r="N82">
        <f t="shared" ca="1" si="18"/>
        <v>0.87340588962649335</v>
      </c>
      <c r="O82" t="str">
        <f t="shared" ca="1" si="19"/>
        <v/>
      </c>
      <c r="P82">
        <f t="shared" ca="1" si="20"/>
        <v>1</v>
      </c>
    </row>
    <row r="83" spans="1:16">
      <c r="A83">
        <v>49</v>
      </c>
      <c r="B83">
        <v>1</v>
      </c>
      <c r="C83" t="str">
        <f t="shared" ca="1" si="14"/>
        <v/>
      </c>
      <c r="D83" t="str">
        <f t="shared" ca="1" si="15"/>
        <v/>
      </c>
      <c r="E83" t="str">
        <f t="shared" ca="1" si="16"/>
        <v/>
      </c>
      <c r="M83">
        <f t="shared" ca="1" si="17"/>
        <v>0.43003918821043841</v>
      </c>
      <c r="N83">
        <f t="shared" ca="1" si="18"/>
        <v>0.86391546939709585</v>
      </c>
      <c r="O83" t="str">
        <f t="shared" ca="1" si="19"/>
        <v/>
      </c>
      <c r="P83" t="str">
        <f t="shared" ca="1" si="20"/>
        <v/>
      </c>
    </row>
    <row r="84" spans="1:16">
      <c r="A84">
        <v>89</v>
      </c>
      <c r="B84">
        <v>2</v>
      </c>
      <c r="C84" t="str">
        <f t="shared" ca="1" si="14"/>
        <v/>
      </c>
      <c r="D84" t="str">
        <f t="shared" ca="1" si="15"/>
        <v/>
      </c>
      <c r="E84" t="str">
        <f t="shared" ca="1" si="16"/>
        <v/>
      </c>
      <c r="M84">
        <f t="shared" ca="1" si="17"/>
        <v>0.80502691128413684</v>
      </c>
      <c r="N84" t="str">
        <f t="shared" ca="1" si="18"/>
        <v/>
      </c>
      <c r="O84">
        <f t="shared" ca="1" si="19"/>
        <v>0.8495367441042847</v>
      </c>
      <c r="P84" t="str">
        <f t="shared" ca="1" si="20"/>
        <v/>
      </c>
    </row>
    <row r="85" spans="1:16">
      <c r="A85">
        <v>73</v>
      </c>
      <c r="B85">
        <v>1</v>
      </c>
      <c r="C85" t="str">
        <f t="shared" ca="1" si="14"/>
        <v/>
      </c>
      <c r="D85">
        <f t="shared" ca="1" si="15"/>
        <v>73</v>
      </c>
      <c r="E85" t="str">
        <f t="shared" ca="1" si="16"/>
        <v/>
      </c>
      <c r="M85">
        <f t="shared" ca="1" si="17"/>
        <v>0.94575914464455124</v>
      </c>
      <c r="N85">
        <f t="shared" ca="1" si="18"/>
        <v>9.8837989063573772E-3</v>
      </c>
      <c r="O85" t="str">
        <f t="shared" ca="1" si="19"/>
        <v/>
      </c>
      <c r="P85" t="str">
        <f t="shared" ca="1" si="20"/>
        <v/>
      </c>
    </row>
    <row r="86" spans="1:16">
      <c r="A86">
        <v>40</v>
      </c>
      <c r="B86">
        <v>1</v>
      </c>
      <c r="C86" t="str">
        <f t="shared" ca="1" si="14"/>
        <v/>
      </c>
      <c r="D86">
        <f t="shared" ca="1" si="15"/>
        <v>40</v>
      </c>
      <c r="E86" t="str">
        <f t="shared" ca="1" si="16"/>
        <v/>
      </c>
      <c r="M86">
        <f t="shared" ca="1" si="17"/>
        <v>0.53495780331800646</v>
      </c>
      <c r="N86">
        <f t="shared" ca="1" si="18"/>
        <v>5.7316022607940553E-3</v>
      </c>
      <c r="O86" t="str">
        <f t="shared" ca="1" si="19"/>
        <v/>
      </c>
      <c r="P86" t="str">
        <f t="shared" ca="1" si="20"/>
        <v/>
      </c>
    </row>
    <row r="87" spans="1:16">
      <c r="A87">
        <v>53</v>
      </c>
      <c r="B87">
        <v>2</v>
      </c>
      <c r="C87">
        <f t="shared" ca="1" si="14"/>
        <v>53</v>
      </c>
      <c r="D87" t="str">
        <f t="shared" ca="1" si="15"/>
        <v/>
      </c>
      <c r="E87" t="str">
        <f t="shared" ca="1" si="16"/>
        <v/>
      </c>
      <c r="M87">
        <f t="shared" ca="1" si="17"/>
        <v>0.22442804493097324</v>
      </c>
      <c r="N87" t="str">
        <f t="shared" ca="1" si="18"/>
        <v/>
      </c>
      <c r="O87">
        <f t="shared" ca="1" si="19"/>
        <v>0.18122780842762287</v>
      </c>
      <c r="P87" t="str">
        <f t="shared" ca="1" si="20"/>
        <v/>
      </c>
    </row>
    <row r="88" spans="1:16">
      <c r="A88">
        <v>69</v>
      </c>
      <c r="B88">
        <v>1</v>
      </c>
      <c r="C88" t="str">
        <f t="shared" ca="1" si="14"/>
        <v/>
      </c>
      <c r="D88" t="str">
        <f t="shared" ca="1" si="15"/>
        <v/>
      </c>
      <c r="E88" t="str">
        <f t="shared" ca="1" si="16"/>
        <v/>
      </c>
      <c r="M88">
        <f t="shared" ca="1" si="17"/>
        <v>0.64651451278065508</v>
      </c>
      <c r="N88">
        <f t="shared" ca="1" si="18"/>
        <v>0.55173241683608598</v>
      </c>
      <c r="O88" t="str">
        <f t="shared" ca="1" si="19"/>
        <v/>
      </c>
      <c r="P88" t="str">
        <f t="shared" ca="1" si="20"/>
        <v/>
      </c>
    </row>
    <row r="89" spans="1:16">
      <c r="A89">
        <v>82</v>
      </c>
      <c r="B89">
        <v>2</v>
      </c>
      <c r="C89" t="str">
        <f t="shared" ca="1" si="14"/>
        <v/>
      </c>
      <c r="D89" t="str">
        <f t="shared" ca="1" si="15"/>
        <v/>
      </c>
      <c r="E89" t="str">
        <f t="shared" ca="1" si="16"/>
        <v/>
      </c>
      <c r="M89">
        <f t="shared" ca="1" si="17"/>
        <v>0.78097803179571756</v>
      </c>
      <c r="N89" t="str">
        <f t="shared" ca="1" si="18"/>
        <v/>
      </c>
      <c r="O89">
        <f t="shared" ca="1" si="19"/>
        <v>0.54359791194730045</v>
      </c>
      <c r="P89" t="str">
        <f t="shared" ca="1" si="20"/>
        <v/>
      </c>
    </row>
    <row r="90" spans="1:16">
      <c r="A90">
        <v>128</v>
      </c>
      <c r="B90">
        <v>2</v>
      </c>
      <c r="C90" t="str">
        <f t="shared" ca="1" si="14"/>
        <v/>
      </c>
      <c r="D90" t="str">
        <f t="shared" ca="1" si="15"/>
        <v/>
      </c>
      <c r="E90" t="str">
        <f t="shared" ca="1" si="16"/>
        <v/>
      </c>
      <c r="M90">
        <f t="shared" ca="1" si="17"/>
        <v>0.78135079811520147</v>
      </c>
      <c r="N90" t="str">
        <f t="shared" ca="1" si="18"/>
        <v/>
      </c>
      <c r="O90">
        <f t="shared" ca="1" si="19"/>
        <v>0.44275947720647402</v>
      </c>
      <c r="P90" t="str">
        <f t="shared" ca="1" si="20"/>
        <v/>
      </c>
    </row>
    <row r="91" spans="1:16">
      <c r="A91">
        <v>81</v>
      </c>
      <c r="B91">
        <v>1</v>
      </c>
      <c r="C91" t="str">
        <f t="shared" ca="1" si="14"/>
        <v/>
      </c>
      <c r="D91" t="str">
        <f t="shared" ca="1" si="15"/>
        <v/>
      </c>
      <c r="E91" t="str">
        <f t="shared" ca="1" si="16"/>
        <v/>
      </c>
      <c r="M91">
        <f t="shared" ca="1" si="17"/>
        <v>0.64712648082055324</v>
      </c>
      <c r="N91">
        <f t="shared" ca="1" si="18"/>
        <v>0.55626990691098932</v>
      </c>
      <c r="O91" t="str">
        <f t="shared" ca="1" si="19"/>
        <v/>
      </c>
      <c r="P91" t="str">
        <f t="shared" ca="1" si="20"/>
        <v/>
      </c>
    </row>
    <row r="92" spans="1:16">
      <c r="A92">
        <v>65</v>
      </c>
      <c r="B92">
        <v>1</v>
      </c>
      <c r="C92">
        <f t="shared" ca="1" si="14"/>
        <v>65</v>
      </c>
      <c r="D92" t="str">
        <f t="shared" ca="1" si="15"/>
        <v/>
      </c>
      <c r="E92" t="str">
        <f t="shared" ca="1" si="16"/>
        <v/>
      </c>
      <c r="M92">
        <f t="shared" ca="1" si="17"/>
        <v>0.12317511340682663</v>
      </c>
      <c r="N92">
        <f t="shared" ca="1" si="18"/>
        <v>0.66778749851077279</v>
      </c>
      <c r="O92" t="str">
        <f t="shared" ca="1" si="19"/>
        <v/>
      </c>
      <c r="P92">
        <f t="shared" ca="1" si="20"/>
        <v>1</v>
      </c>
    </row>
    <row r="93" spans="1:16">
      <c r="A93">
        <v>47</v>
      </c>
      <c r="B93">
        <v>1</v>
      </c>
      <c r="C93" t="str">
        <f t="shared" ca="1" si="14"/>
        <v/>
      </c>
      <c r="D93" t="str">
        <f t="shared" ca="1" si="15"/>
        <v/>
      </c>
      <c r="E93" t="str">
        <f t="shared" ca="1" si="16"/>
        <v/>
      </c>
      <c r="M93">
        <f t="shared" ca="1" si="17"/>
        <v>0.97280137468204497</v>
      </c>
      <c r="N93">
        <f t="shared" ca="1" si="18"/>
        <v>0.80806728932754002</v>
      </c>
      <c r="O93" t="str">
        <f t="shared" ca="1" si="19"/>
        <v/>
      </c>
      <c r="P93" t="str">
        <f t="shared" ca="1" si="20"/>
        <v/>
      </c>
    </row>
    <row r="94" spans="1:16">
      <c r="A94">
        <v>67</v>
      </c>
      <c r="B94">
        <v>1</v>
      </c>
      <c r="C94" t="str">
        <f t="shared" ca="1" si="14"/>
        <v/>
      </c>
      <c r="D94" t="str">
        <f t="shared" ca="1" si="15"/>
        <v/>
      </c>
      <c r="E94" t="str">
        <f t="shared" ca="1" si="16"/>
        <v/>
      </c>
      <c r="M94">
        <f t="shared" ca="1" si="17"/>
        <v>0.59025162137726994</v>
      </c>
      <c r="N94">
        <f t="shared" ca="1" si="18"/>
        <v>0.93734202675206202</v>
      </c>
      <c r="O94" t="str">
        <f t="shared" ca="1" si="19"/>
        <v/>
      </c>
      <c r="P94" t="str">
        <f t="shared" ca="1" si="20"/>
        <v/>
      </c>
    </row>
    <row r="95" spans="1:16">
      <c r="A95">
        <v>81</v>
      </c>
      <c r="B95">
        <v>1</v>
      </c>
      <c r="C95" t="str">
        <f t="shared" ca="1" si="14"/>
        <v/>
      </c>
      <c r="D95" t="str">
        <f t="shared" ca="1" si="15"/>
        <v/>
      </c>
      <c r="E95" t="str">
        <f t="shared" ca="1" si="16"/>
        <v/>
      </c>
      <c r="M95">
        <f t="shared" ca="1" si="17"/>
        <v>0.4649381950497562</v>
      </c>
      <c r="N95">
        <f t="shared" ca="1" si="18"/>
        <v>0.88533853010396535</v>
      </c>
      <c r="O95" t="str">
        <f t="shared" ca="1" si="19"/>
        <v/>
      </c>
      <c r="P95" t="str">
        <f t="shared" ca="1" si="20"/>
        <v/>
      </c>
    </row>
    <row r="96" spans="1:16">
      <c r="A96">
        <v>71</v>
      </c>
      <c r="B96">
        <v>1</v>
      </c>
      <c r="C96" t="str">
        <f t="shared" ca="1" si="14"/>
        <v/>
      </c>
      <c r="D96" t="str">
        <f t="shared" ca="1" si="15"/>
        <v/>
      </c>
      <c r="E96" t="str">
        <f t="shared" ca="1" si="16"/>
        <v/>
      </c>
      <c r="M96">
        <f t="shared" ca="1" si="17"/>
        <v>0.32953426678062225</v>
      </c>
      <c r="N96">
        <f t="shared" ca="1" si="18"/>
        <v>0.53386837721325797</v>
      </c>
      <c r="O96" t="str">
        <f t="shared" ca="1" si="19"/>
        <v/>
      </c>
      <c r="P96" t="str">
        <f t="shared" ca="1" si="20"/>
        <v/>
      </c>
    </row>
    <row r="97" spans="1:16">
      <c r="A97">
        <v>93</v>
      </c>
      <c r="B97">
        <v>1</v>
      </c>
      <c r="C97" t="str">
        <f t="shared" ca="1" si="14"/>
        <v/>
      </c>
      <c r="D97" t="str">
        <f t="shared" ca="1" si="15"/>
        <v/>
      </c>
      <c r="E97" t="str">
        <f t="shared" ca="1" si="16"/>
        <v/>
      </c>
      <c r="M97">
        <f t="shared" ca="1" si="17"/>
        <v>0.29356135425253038</v>
      </c>
      <c r="N97">
        <f t="shared" ca="1" si="18"/>
        <v>0.67264786444834535</v>
      </c>
      <c r="O97" t="str">
        <f t="shared" ca="1" si="19"/>
        <v/>
      </c>
      <c r="P97" t="str">
        <f t="shared" ca="1" si="20"/>
        <v/>
      </c>
    </row>
    <row r="98" spans="1:16">
      <c r="A98">
        <v>89</v>
      </c>
      <c r="B98">
        <v>1</v>
      </c>
      <c r="C98" t="str">
        <f t="shared" ca="1" si="14"/>
        <v/>
      </c>
      <c r="D98" t="str">
        <f t="shared" ca="1" si="15"/>
        <v/>
      </c>
      <c r="E98" t="str">
        <f t="shared" ca="1" si="16"/>
        <v/>
      </c>
      <c r="M98">
        <f t="shared" ca="1" si="17"/>
        <v>0.69259394273945163</v>
      </c>
      <c r="N98">
        <f t="shared" ca="1" si="18"/>
        <v>0.94825814098379713</v>
      </c>
      <c r="O98" t="str">
        <f t="shared" ca="1" si="19"/>
        <v/>
      </c>
      <c r="P98" t="str">
        <f t="shared" ca="1" si="20"/>
        <v/>
      </c>
    </row>
    <row r="99" spans="1:16">
      <c r="A99">
        <v>68</v>
      </c>
      <c r="B99">
        <v>1</v>
      </c>
      <c r="C99" t="str">
        <f t="shared" ca="1" si="14"/>
        <v/>
      </c>
      <c r="D99" t="str">
        <f t="shared" ca="1" si="15"/>
        <v/>
      </c>
      <c r="E99" t="str">
        <f t="shared" ca="1" si="16"/>
        <v/>
      </c>
      <c r="M99">
        <f t="shared" ca="1" si="17"/>
        <v>0.52039247923416787</v>
      </c>
      <c r="N99">
        <f t="shared" ca="1" si="18"/>
        <v>0.7896424766527208</v>
      </c>
      <c r="O99" t="str">
        <f t="shared" ca="1" si="19"/>
        <v/>
      </c>
      <c r="P99" t="str">
        <f t="shared" ca="1" si="20"/>
        <v/>
      </c>
    </row>
    <row r="100" spans="1:16">
      <c r="A100">
        <v>32</v>
      </c>
      <c r="B100">
        <v>1</v>
      </c>
      <c r="C100">
        <f t="shared" ca="1" si="14"/>
        <v>32</v>
      </c>
      <c r="D100" t="str">
        <f t="shared" ca="1" si="15"/>
        <v/>
      </c>
      <c r="E100" t="str">
        <f t="shared" ca="1" si="16"/>
        <v/>
      </c>
      <c r="M100">
        <f t="shared" ca="1" si="17"/>
        <v>5.055039747138057E-3</v>
      </c>
      <c r="N100">
        <f t="shared" ca="1" si="18"/>
        <v>0.69147172027787462</v>
      </c>
      <c r="O100" t="str">
        <f t="shared" ca="1" si="19"/>
        <v/>
      </c>
      <c r="P100">
        <f t="shared" ca="1" si="20"/>
        <v>1</v>
      </c>
    </row>
    <row r="101" spans="1:16">
      <c r="A101">
        <v>82</v>
      </c>
      <c r="B101">
        <v>1</v>
      </c>
      <c r="C101" t="str">
        <f t="shared" ca="1" si="14"/>
        <v/>
      </c>
      <c r="D101">
        <f t="shared" ca="1" si="15"/>
        <v>82</v>
      </c>
      <c r="E101" t="str">
        <f t="shared" ca="1" si="16"/>
        <v/>
      </c>
      <c r="M101">
        <f t="shared" ca="1" si="17"/>
        <v>0.30177670278083113</v>
      </c>
      <c r="N101">
        <f t="shared" ca="1" si="18"/>
        <v>0.17161111865504663</v>
      </c>
      <c r="O101" t="str">
        <f t="shared" ca="1" si="19"/>
        <v/>
      </c>
      <c r="P101" t="str">
        <f t="shared" ca="1" si="20"/>
        <v/>
      </c>
    </row>
    <row r="102" spans="1:16">
      <c r="A102">
        <v>130</v>
      </c>
      <c r="B102">
        <v>2</v>
      </c>
      <c r="C102">
        <f t="shared" ca="1" si="14"/>
        <v>130</v>
      </c>
      <c r="D102" t="str">
        <f t="shared" ca="1" si="15"/>
        <v/>
      </c>
      <c r="E102">
        <f t="shared" ca="1" si="16"/>
        <v>130</v>
      </c>
      <c r="M102">
        <f t="shared" ca="1" si="17"/>
        <v>6.1417930905596219E-2</v>
      </c>
      <c r="N102" t="str">
        <f t="shared" ca="1" si="18"/>
        <v/>
      </c>
      <c r="O102">
        <f t="shared" ca="1" si="19"/>
        <v>8.0000024227350197E-2</v>
      </c>
      <c r="P102" t="str">
        <f t="shared" ca="1" si="20"/>
        <v/>
      </c>
    </row>
    <row r="103" spans="1:16">
      <c r="A103">
        <v>69</v>
      </c>
      <c r="B103">
        <v>1</v>
      </c>
      <c r="C103" t="str">
        <f t="shared" ca="1" si="14"/>
        <v/>
      </c>
      <c r="D103" t="str">
        <f t="shared" ca="1" si="15"/>
        <v/>
      </c>
      <c r="E103" t="str">
        <f t="shared" ca="1" si="16"/>
        <v/>
      </c>
      <c r="M103">
        <f t="shared" ca="1" si="17"/>
        <v>0.95527980542066548</v>
      </c>
      <c r="N103">
        <f t="shared" ca="1" si="18"/>
        <v>0.33197539379092245</v>
      </c>
      <c r="O103" t="str">
        <f t="shared" ca="1" si="19"/>
        <v/>
      </c>
      <c r="P103" t="str">
        <f t="shared" ca="1" si="20"/>
        <v/>
      </c>
    </row>
    <row r="104" spans="1:16">
      <c r="A104">
        <v>80</v>
      </c>
      <c r="B104">
        <v>1</v>
      </c>
      <c r="C104">
        <f t="shared" ca="1" si="14"/>
        <v>80</v>
      </c>
      <c r="D104" t="str">
        <f t="shared" ca="1" si="15"/>
        <v/>
      </c>
      <c r="E104" t="str">
        <f t="shared" ca="1" si="16"/>
        <v/>
      </c>
      <c r="M104">
        <f t="shared" ca="1" si="17"/>
        <v>1.6963259944047238E-3</v>
      </c>
      <c r="N104">
        <f t="shared" ca="1" si="18"/>
        <v>0.52708011571315017</v>
      </c>
      <c r="O104" t="str">
        <f t="shared" ca="1" si="19"/>
        <v/>
      </c>
      <c r="P104">
        <f t="shared" ca="1" si="20"/>
        <v>1</v>
      </c>
    </row>
    <row r="105" spans="1:16">
      <c r="A105">
        <v>94</v>
      </c>
      <c r="B105">
        <v>2</v>
      </c>
      <c r="C105" t="str">
        <f t="shared" ca="1" si="14"/>
        <v/>
      </c>
      <c r="D105" t="str">
        <f t="shared" ca="1" si="15"/>
        <v/>
      </c>
      <c r="E105" t="str">
        <f t="shared" ca="1" si="16"/>
        <v/>
      </c>
      <c r="M105">
        <f t="shared" ca="1" si="17"/>
        <v>0.80777091058209782</v>
      </c>
      <c r="N105" t="str">
        <f t="shared" ca="1" si="18"/>
        <v/>
      </c>
      <c r="O105">
        <f t="shared" ca="1" si="19"/>
        <v>0.23890031814170909</v>
      </c>
      <c r="P105" t="str">
        <f t="shared" ca="1" si="20"/>
        <v/>
      </c>
    </row>
    <row r="106" spans="1:16">
      <c r="A106">
        <v>75</v>
      </c>
      <c r="B106">
        <v>1</v>
      </c>
      <c r="C106" t="str">
        <f t="shared" ca="1" si="14"/>
        <v/>
      </c>
      <c r="D106">
        <f t="shared" ca="1" si="15"/>
        <v>75</v>
      </c>
      <c r="E106" t="str">
        <f t="shared" ca="1" si="16"/>
        <v/>
      </c>
      <c r="M106">
        <f t="shared" ca="1" si="17"/>
        <v>0.74525395202759892</v>
      </c>
      <c r="N106">
        <f t="shared" ca="1" si="18"/>
        <v>8.67146440085107E-2</v>
      </c>
      <c r="O106" t="str">
        <f t="shared" ca="1" si="19"/>
        <v/>
      </c>
      <c r="P106" t="str">
        <f t="shared" ca="1" si="20"/>
        <v/>
      </c>
    </row>
    <row r="107" spans="1:16">
      <c r="A107">
        <v>48</v>
      </c>
      <c r="B107">
        <v>1</v>
      </c>
      <c r="C107" t="str">
        <f t="shared" ref="C107:C138" ca="1" si="21">IF(M107&lt;=PERCENTILE($M$11:$M$210,$C$7/COUNT($B$11:$B$210)),A107,"")</f>
        <v/>
      </c>
      <c r="D107" t="str">
        <f t="shared" ref="D107:D138" ca="1" si="22">IF(N107&lt;=PERCENTILE($N$11:$N$210,$D$7/$D$4),A107,"")</f>
        <v/>
      </c>
      <c r="E107" t="str">
        <f t="shared" ref="E107:E138" ca="1" si="23">IF(O107&lt;=PERCENTILE($O$11:$O$210,$E$7/$E$4),A107,"")</f>
        <v/>
      </c>
      <c r="M107">
        <f t="shared" ref="M107:M138" ca="1" si="24">RAND()</f>
        <v>0.32962345565421192</v>
      </c>
      <c r="N107">
        <f t="shared" ref="N107:N138" ca="1" si="25">IF(B107=$D$2,RAND(),"")</f>
        <v>0.83489453022652249</v>
      </c>
      <c r="O107" t="str">
        <f t="shared" ref="O107:O138" ca="1" si="26">IF(B107=$E$2,RAND(),"")</f>
        <v/>
      </c>
      <c r="P107" t="str">
        <f t="shared" ref="P107:P138" ca="1" si="27">IF(AND(C107&lt;&gt;"",B107=1),B107,"")</f>
        <v/>
      </c>
    </row>
    <row r="108" spans="1:16">
      <c r="A108">
        <v>96</v>
      </c>
      <c r="B108">
        <v>2</v>
      </c>
      <c r="C108" t="str">
        <f t="shared" ca="1" si="21"/>
        <v/>
      </c>
      <c r="D108" t="str">
        <f t="shared" ca="1" si="22"/>
        <v/>
      </c>
      <c r="E108" t="str">
        <f t="shared" ca="1" si="23"/>
        <v/>
      </c>
      <c r="M108">
        <f t="shared" ca="1" si="24"/>
        <v>0.53906329969069056</v>
      </c>
      <c r="N108" t="str">
        <f t="shared" ca="1" si="25"/>
        <v/>
      </c>
      <c r="O108">
        <f t="shared" ca="1" si="26"/>
        <v>0.56719494002016813</v>
      </c>
      <c r="P108" t="str">
        <f t="shared" ca="1" si="27"/>
        <v/>
      </c>
    </row>
    <row r="109" spans="1:16">
      <c r="A109">
        <v>72</v>
      </c>
      <c r="B109">
        <v>1</v>
      </c>
      <c r="C109">
        <f t="shared" ca="1" si="21"/>
        <v>72</v>
      </c>
      <c r="D109" t="str">
        <f t="shared" ca="1" si="22"/>
        <v/>
      </c>
      <c r="E109" t="str">
        <f t="shared" ca="1" si="23"/>
        <v/>
      </c>
      <c r="M109">
        <f t="shared" ca="1" si="24"/>
        <v>0.20374228711552811</v>
      </c>
      <c r="N109">
        <f t="shared" ca="1" si="25"/>
        <v>0.85877592183512963</v>
      </c>
      <c r="O109" t="str">
        <f t="shared" ca="1" si="26"/>
        <v/>
      </c>
      <c r="P109">
        <f t="shared" ca="1" si="27"/>
        <v>1</v>
      </c>
    </row>
    <row r="110" spans="1:16">
      <c r="A110">
        <v>74</v>
      </c>
      <c r="B110">
        <v>1</v>
      </c>
      <c r="C110">
        <f t="shared" ca="1" si="21"/>
        <v>74</v>
      </c>
      <c r="D110" t="str">
        <f t="shared" ca="1" si="22"/>
        <v/>
      </c>
      <c r="E110" t="str">
        <f t="shared" ca="1" si="23"/>
        <v/>
      </c>
      <c r="M110">
        <f t="shared" ca="1" si="24"/>
        <v>0.15329158256537756</v>
      </c>
      <c r="N110">
        <f t="shared" ca="1" si="25"/>
        <v>0.55650013756655259</v>
      </c>
      <c r="O110" t="str">
        <f t="shared" ca="1" si="26"/>
        <v/>
      </c>
      <c r="P110">
        <f t="shared" ca="1" si="27"/>
        <v>1</v>
      </c>
    </row>
    <row r="111" spans="1:16">
      <c r="A111">
        <v>191</v>
      </c>
      <c r="B111">
        <v>2</v>
      </c>
      <c r="C111" t="str">
        <f t="shared" ca="1" si="21"/>
        <v/>
      </c>
      <c r="D111" t="str">
        <f t="shared" ca="1" si="22"/>
        <v/>
      </c>
      <c r="E111" t="str">
        <f t="shared" ca="1" si="23"/>
        <v/>
      </c>
      <c r="M111">
        <f t="shared" ca="1" si="24"/>
        <v>0.48555008342277123</v>
      </c>
      <c r="N111" t="str">
        <f t="shared" ca="1" si="25"/>
        <v/>
      </c>
      <c r="O111">
        <f t="shared" ca="1" si="26"/>
        <v>0.81005159613449695</v>
      </c>
      <c r="P111" t="str">
        <f t="shared" ca="1" si="27"/>
        <v/>
      </c>
    </row>
    <row r="112" spans="1:16">
      <c r="A112">
        <v>235</v>
      </c>
      <c r="B112">
        <v>2</v>
      </c>
      <c r="C112" t="str">
        <f t="shared" ca="1" si="21"/>
        <v/>
      </c>
      <c r="D112" t="str">
        <f t="shared" ca="1" si="22"/>
        <v/>
      </c>
      <c r="E112" t="str">
        <f t="shared" ca="1" si="23"/>
        <v/>
      </c>
      <c r="M112">
        <f t="shared" ca="1" si="24"/>
        <v>0.89395392098643733</v>
      </c>
      <c r="N112" t="str">
        <f t="shared" ca="1" si="25"/>
        <v/>
      </c>
      <c r="O112">
        <f t="shared" ca="1" si="26"/>
        <v>0.71753581726160776</v>
      </c>
      <c r="P112" t="str">
        <f t="shared" ca="1" si="27"/>
        <v/>
      </c>
    </row>
    <row r="113" spans="1:16">
      <c r="A113">
        <v>46</v>
      </c>
      <c r="B113">
        <v>1</v>
      </c>
      <c r="C113">
        <f t="shared" ca="1" si="21"/>
        <v>46</v>
      </c>
      <c r="D113" t="str">
        <f t="shared" ca="1" si="22"/>
        <v/>
      </c>
      <c r="E113" t="str">
        <f t="shared" ca="1" si="23"/>
        <v/>
      </c>
      <c r="M113">
        <f t="shared" ca="1" si="24"/>
        <v>4.9079761751224638E-2</v>
      </c>
      <c r="N113">
        <f t="shared" ca="1" si="25"/>
        <v>0.27214191030534707</v>
      </c>
      <c r="O113" t="str">
        <f t="shared" ca="1" si="26"/>
        <v/>
      </c>
      <c r="P113">
        <f t="shared" ca="1" si="27"/>
        <v>1</v>
      </c>
    </row>
    <row r="114" spans="1:16">
      <c r="A114">
        <v>85</v>
      </c>
      <c r="B114">
        <v>1</v>
      </c>
      <c r="C114" t="str">
        <f t="shared" ca="1" si="21"/>
        <v/>
      </c>
      <c r="D114" t="str">
        <f t="shared" ca="1" si="22"/>
        <v/>
      </c>
      <c r="E114" t="str">
        <f t="shared" ca="1" si="23"/>
        <v/>
      </c>
      <c r="M114">
        <f t="shared" ca="1" si="24"/>
        <v>0.47206064208984166</v>
      </c>
      <c r="N114">
        <f t="shared" ca="1" si="25"/>
        <v>0.55766750384514951</v>
      </c>
      <c r="O114" t="str">
        <f t="shared" ca="1" si="26"/>
        <v/>
      </c>
      <c r="P114" t="str">
        <f t="shared" ca="1" si="27"/>
        <v/>
      </c>
    </row>
    <row r="115" spans="1:16">
      <c r="A115">
        <v>67</v>
      </c>
      <c r="B115">
        <v>1</v>
      </c>
      <c r="C115" t="str">
        <f t="shared" ca="1" si="21"/>
        <v/>
      </c>
      <c r="D115" t="str">
        <f t="shared" ca="1" si="22"/>
        <v/>
      </c>
      <c r="E115" t="str">
        <f t="shared" ca="1" si="23"/>
        <v/>
      </c>
      <c r="M115">
        <f t="shared" ca="1" si="24"/>
        <v>0.27042030336734957</v>
      </c>
      <c r="N115">
        <f t="shared" ca="1" si="25"/>
        <v>0.60669181702354469</v>
      </c>
      <c r="O115" t="str">
        <f t="shared" ca="1" si="26"/>
        <v/>
      </c>
      <c r="P115" t="str">
        <f t="shared" ca="1" si="27"/>
        <v/>
      </c>
    </row>
    <row r="116" spans="1:16">
      <c r="A116">
        <v>65</v>
      </c>
      <c r="B116">
        <v>2</v>
      </c>
      <c r="C116" t="str">
        <f t="shared" ca="1" si="21"/>
        <v/>
      </c>
      <c r="D116" t="str">
        <f t="shared" ca="1" si="22"/>
        <v/>
      </c>
      <c r="E116">
        <f t="shared" ca="1" si="23"/>
        <v>65</v>
      </c>
      <c r="M116">
        <f t="shared" ca="1" si="24"/>
        <v>0.56745810172130828</v>
      </c>
      <c r="N116" t="str">
        <f t="shared" ca="1" si="25"/>
        <v/>
      </c>
      <c r="O116">
        <f t="shared" ca="1" si="26"/>
        <v>0.15714300015990945</v>
      </c>
      <c r="P116" t="str">
        <f t="shared" ca="1" si="27"/>
        <v/>
      </c>
    </row>
    <row r="117" spans="1:16">
      <c r="A117">
        <v>67</v>
      </c>
      <c r="B117">
        <v>1</v>
      </c>
      <c r="C117" t="str">
        <f t="shared" ca="1" si="21"/>
        <v/>
      </c>
      <c r="D117">
        <f t="shared" ca="1" si="22"/>
        <v>67</v>
      </c>
      <c r="E117" t="str">
        <f t="shared" ca="1" si="23"/>
        <v/>
      </c>
      <c r="M117">
        <f t="shared" ca="1" si="24"/>
        <v>0.55837849338071899</v>
      </c>
      <c r="N117">
        <f t="shared" ca="1" si="25"/>
        <v>0.1804025778510665</v>
      </c>
      <c r="O117" t="str">
        <f t="shared" ca="1" si="26"/>
        <v/>
      </c>
      <c r="P117" t="str">
        <f t="shared" ca="1" si="27"/>
        <v/>
      </c>
    </row>
    <row r="118" spans="1:16">
      <c r="A118">
        <v>132</v>
      </c>
      <c r="B118">
        <v>2</v>
      </c>
      <c r="C118">
        <f t="shared" ca="1" si="21"/>
        <v>132</v>
      </c>
      <c r="D118" t="str">
        <f t="shared" ca="1" si="22"/>
        <v/>
      </c>
      <c r="E118" t="str">
        <f t="shared" ca="1" si="23"/>
        <v/>
      </c>
      <c r="M118">
        <f t="shared" ca="1" si="24"/>
        <v>2.3346800664910017E-2</v>
      </c>
      <c r="N118" t="str">
        <f t="shared" ca="1" si="25"/>
        <v/>
      </c>
      <c r="O118">
        <f t="shared" ca="1" si="26"/>
        <v>0.97571800993720159</v>
      </c>
      <c r="P118" t="str">
        <f t="shared" ca="1" si="27"/>
        <v/>
      </c>
    </row>
    <row r="119" spans="1:16">
      <c r="A119">
        <v>87</v>
      </c>
      <c r="B119">
        <v>1</v>
      </c>
      <c r="C119" t="str">
        <f t="shared" ca="1" si="21"/>
        <v/>
      </c>
      <c r="D119" t="str">
        <f t="shared" ca="1" si="22"/>
        <v/>
      </c>
      <c r="E119" t="str">
        <f t="shared" ca="1" si="23"/>
        <v/>
      </c>
      <c r="M119">
        <f t="shared" ca="1" si="24"/>
        <v>0.89689846761471737</v>
      </c>
      <c r="N119">
        <f t="shared" ca="1" si="25"/>
        <v>0.9941571701308014</v>
      </c>
      <c r="O119" t="str">
        <f t="shared" ca="1" si="26"/>
        <v/>
      </c>
      <c r="P119" t="str">
        <f t="shared" ca="1" si="27"/>
        <v/>
      </c>
    </row>
    <row r="120" spans="1:16">
      <c r="A120">
        <v>77</v>
      </c>
      <c r="B120">
        <v>1</v>
      </c>
      <c r="C120" t="str">
        <f t="shared" ca="1" si="21"/>
        <v/>
      </c>
      <c r="D120" t="str">
        <f t="shared" ca="1" si="22"/>
        <v/>
      </c>
      <c r="E120" t="str">
        <f t="shared" ca="1" si="23"/>
        <v/>
      </c>
      <c r="M120">
        <f t="shared" ca="1" si="24"/>
        <v>0.42323955924158407</v>
      </c>
      <c r="N120">
        <f t="shared" ca="1" si="25"/>
        <v>0.9986285751908901</v>
      </c>
      <c r="O120" t="str">
        <f t="shared" ca="1" si="26"/>
        <v/>
      </c>
      <c r="P120" t="str">
        <f t="shared" ca="1" si="27"/>
        <v/>
      </c>
    </row>
    <row r="121" spans="1:16">
      <c r="A121">
        <v>125</v>
      </c>
      <c r="B121">
        <v>2</v>
      </c>
      <c r="C121" t="str">
        <f t="shared" ca="1" si="21"/>
        <v/>
      </c>
      <c r="D121" t="str">
        <f t="shared" ca="1" si="22"/>
        <v/>
      </c>
      <c r="E121" t="str">
        <f t="shared" ca="1" si="23"/>
        <v/>
      </c>
      <c r="M121">
        <f t="shared" ca="1" si="24"/>
        <v>0.46146430877757161</v>
      </c>
      <c r="N121" t="str">
        <f t="shared" ca="1" si="25"/>
        <v/>
      </c>
      <c r="O121">
        <f t="shared" ca="1" si="26"/>
        <v>0.8826997785896078</v>
      </c>
      <c r="P121" t="str">
        <f t="shared" ca="1" si="27"/>
        <v/>
      </c>
    </row>
    <row r="122" spans="1:16">
      <c r="A122">
        <v>52</v>
      </c>
      <c r="B122">
        <v>1</v>
      </c>
      <c r="C122" t="str">
        <f t="shared" ca="1" si="21"/>
        <v/>
      </c>
      <c r="D122">
        <f t="shared" ca="1" si="22"/>
        <v>52</v>
      </c>
      <c r="E122" t="str">
        <f t="shared" ca="1" si="23"/>
        <v/>
      </c>
      <c r="M122">
        <f t="shared" ca="1" si="24"/>
        <v>0.68563256942821416</v>
      </c>
      <c r="N122">
        <f t="shared" ca="1" si="25"/>
        <v>4.2864231226526384E-2</v>
      </c>
      <c r="O122" t="str">
        <f t="shared" ca="1" si="26"/>
        <v/>
      </c>
      <c r="P122" t="str">
        <f t="shared" ca="1" si="27"/>
        <v/>
      </c>
    </row>
    <row r="123" spans="1:16">
      <c r="A123">
        <v>68</v>
      </c>
      <c r="B123">
        <v>2</v>
      </c>
      <c r="C123" t="str">
        <f t="shared" ca="1" si="21"/>
        <v/>
      </c>
      <c r="D123" t="str">
        <f t="shared" ca="1" si="22"/>
        <v/>
      </c>
      <c r="E123" t="str">
        <f t="shared" ca="1" si="23"/>
        <v/>
      </c>
      <c r="M123">
        <f t="shared" ca="1" si="24"/>
        <v>0.90543229240593703</v>
      </c>
      <c r="N123" t="str">
        <f t="shared" ca="1" si="25"/>
        <v/>
      </c>
      <c r="O123">
        <f t="shared" ca="1" si="26"/>
        <v>0.7972076437134259</v>
      </c>
      <c r="P123" t="str">
        <f t="shared" ca="1" si="27"/>
        <v/>
      </c>
    </row>
    <row r="124" spans="1:16">
      <c r="A124">
        <v>63</v>
      </c>
      <c r="B124">
        <v>1</v>
      </c>
      <c r="C124" t="str">
        <f t="shared" ca="1" si="21"/>
        <v/>
      </c>
      <c r="D124" t="str">
        <f t="shared" ca="1" si="22"/>
        <v/>
      </c>
      <c r="E124" t="str">
        <f t="shared" ca="1" si="23"/>
        <v/>
      </c>
      <c r="M124">
        <f t="shared" ca="1" si="24"/>
        <v>0.64670915920924177</v>
      </c>
      <c r="N124">
        <f t="shared" ca="1" si="25"/>
        <v>0.29261833398497128</v>
      </c>
      <c r="O124" t="str">
        <f t="shared" ca="1" si="26"/>
        <v/>
      </c>
      <c r="P124" t="str">
        <f t="shared" ca="1" si="27"/>
        <v/>
      </c>
    </row>
    <row r="125" spans="1:16">
      <c r="A125">
        <v>78</v>
      </c>
      <c r="B125">
        <v>1</v>
      </c>
      <c r="C125">
        <f t="shared" ca="1" si="21"/>
        <v>78</v>
      </c>
      <c r="D125" t="str">
        <f t="shared" ca="1" si="22"/>
        <v/>
      </c>
      <c r="E125" t="str">
        <f t="shared" ca="1" si="23"/>
        <v/>
      </c>
      <c r="M125">
        <f t="shared" ca="1" si="24"/>
        <v>0.24934688579039399</v>
      </c>
      <c r="N125">
        <f t="shared" ca="1" si="25"/>
        <v>0.91390532356039866</v>
      </c>
      <c r="O125" t="str">
        <f t="shared" ca="1" si="26"/>
        <v/>
      </c>
      <c r="P125">
        <f t="shared" ca="1" si="27"/>
        <v>1</v>
      </c>
    </row>
    <row r="126" spans="1:16">
      <c r="A126">
        <v>77</v>
      </c>
      <c r="B126">
        <v>1</v>
      </c>
      <c r="C126" t="str">
        <f t="shared" ca="1" si="21"/>
        <v/>
      </c>
      <c r="D126" t="str">
        <f t="shared" ca="1" si="22"/>
        <v/>
      </c>
      <c r="E126" t="str">
        <f t="shared" ca="1" si="23"/>
        <v/>
      </c>
      <c r="M126">
        <f t="shared" ca="1" si="24"/>
        <v>0.91532914134957744</v>
      </c>
      <c r="N126">
        <f t="shared" ca="1" si="25"/>
        <v>0.87454738687374522</v>
      </c>
      <c r="O126" t="str">
        <f t="shared" ca="1" si="26"/>
        <v/>
      </c>
      <c r="P126" t="str">
        <f t="shared" ca="1" si="27"/>
        <v/>
      </c>
    </row>
    <row r="127" spans="1:16">
      <c r="A127">
        <v>68</v>
      </c>
      <c r="B127">
        <v>1</v>
      </c>
      <c r="C127" t="str">
        <f t="shared" ca="1" si="21"/>
        <v/>
      </c>
      <c r="D127" t="str">
        <f t="shared" ca="1" si="22"/>
        <v/>
      </c>
      <c r="E127" t="str">
        <f t="shared" ca="1" si="23"/>
        <v/>
      </c>
      <c r="M127">
        <f t="shared" ca="1" si="24"/>
        <v>0.42072351375577899</v>
      </c>
      <c r="N127">
        <f t="shared" ca="1" si="25"/>
        <v>0.9490338518287782</v>
      </c>
      <c r="O127" t="str">
        <f t="shared" ca="1" si="26"/>
        <v/>
      </c>
      <c r="P127" t="str">
        <f t="shared" ca="1" si="27"/>
        <v/>
      </c>
    </row>
    <row r="128" spans="1:16">
      <c r="A128">
        <v>89</v>
      </c>
      <c r="B128">
        <v>1</v>
      </c>
      <c r="C128" t="str">
        <f t="shared" ca="1" si="21"/>
        <v/>
      </c>
      <c r="D128" t="str">
        <f t="shared" ca="1" si="22"/>
        <v/>
      </c>
      <c r="E128" t="str">
        <f t="shared" ca="1" si="23"/>
        <v/>
      </c>
      <c r="M128">
        <f t="shared" ca="1" si="24"/>
        <v>0.34469060970008836</v>
      </c>
      <c r="N128">
        <f t="shared" ca="1" si="25"/>
        <v>0.3787057801712852</v>
      </c>
      <c r="O128" t="str">
        <f t="shared" ca="1" si="26"/>
        <v/>
      </c>
      <c r="P128" t="str">
        <f t="shared" ca="1" si="27"/>
        <v/>
      </c>
    </row>
    <row r="129" spans="1:16">
      <c r="A129">
        <v>58</v>
      </c>
      <c r="B129">
        <v>1</v>
      </c>
      <c r="C129">
        <f t="shared" ca="1" si="21"/>
        <v>58</v>
      </c>
      <c r="D129" t="str">
        <f t="shared" ca="1" si="22"/>
        <v/>
      </c>
      <c r="E129" t="str">
        <f t="shared" ca="1" si="23"/>
        <v/>
      </c>
      <c r="M129">
        <f t="shared" ca="1" si="24"/>
        <v>0.19797987390777294</v>
      </c>
      <c r="N129">
        <f t="shared" ca="1" si="25"/>
        <v>0.71532433433751064</v>
      </c>
      <c r="O129" t="str">
        <f t="shared" ca="1" si="26"/>
        <v/>
      </c>
      <c r="P129">
        <f t="shared" ca="1" si="27"/>
        <v>1</v>
      </c>
    </row>
    <row r="130" spans="1:16">
      <c r="A130">
        <v>165</v>
      </c>
      <c r="B130">
        <v>2</v>
      </c>
      <c r="C130" t="str">
        <f t="shared" ca="1" si="21"/>
        <v/>
      </c>
      <c r="D130" t="str">
        <f t="shared" ca="1" si="22"/>
        <v/>
      </c>
      <c r="E130" t="str">
        <f t="shared" ca="1" si="23"/>
        <v/>
      </c>
      <c r="M130">
        <f t="shared" ca="1" si="24"/>
        <v>0.43337914101505337</v>
      </c>
      <c r="N130" t="str">
        <f t="shared" ca="1" si="25"/>
        <v/>
      </c>
      <c r="O130">
        <f t="shared" ca="1" si="26"/>
        <v>0.77693251931791352</v>
      </c>
      <c r="P130" t="str">
        <f t="shared" ca="1" si="27"/>
        <v/>
      </c>
    </row>
    <row r="131" spans="1:16">
      <c r="A131">
        <v>84</v>
      </c>
      <c r="B131">
        <v>1</v>
      </c>
      <c r="C131" t="str">
        <f t="shared" ca="1" si="21"/>
        <v/>
      </c>
      <c r="D131" t="str">
        <f t="shared" ca="1" si="22"/>
        <v/>
      </c>
      <c r="E131" t="str">
        <f t="shared" ca="1" si="23"/>
        <v/>
      </c>
      <c r="M131">
        <f t="shared" ca="1" si="24"/>
        <v>0.89946770023809752</v>
      </c>
      <c r="N131">
        <f t="shared" ca="1" si="25"/>
        <v>0.96953056526613235</v>
      </c>
      <c r="O131" t="str">
        <f t="shared" ca="1" si="26"/>
        <v/>
      </c>
      <c r="P131" t="str">
        <f t="shared" ca="1" si="27"/>
        <v/>
      </c>
    </row>
    <row r="132" spans="1:16">
      <c r="A132">
        <v>54</v>
      </c>
      <c r="B132">
        <v>1</v>
      </c>
      <c r="C132">
        <f t="shared" ca="1" si="21"/>
        <v>54</v>
      </c>
      <c r="D132" t="str">
        <f t="shared" ca="1" si="22"/>
        <v/>
      </c>
      <c r="E132" t="str">
        <f t="shared" ca="1" si="23"/>
        <v/>
      </c>
      <c r="M132">
        <f t="shared" ca="1" si="24"/>
        <v>2.57180081074182E-3</v>
      </c>
      <c r="N132">
        <f t="shared" ca="1" si="25"/>
        <v>0.31265278654764739</v>
      </c>
      <c r="O132" t="str">
        <f t="shared" ca="1" si="26"/>
        <v/>
      </c>
      <c r="P132">
        <f t="shared" ca="1" si="27"/>
        <v>1</v>
      </c>
    </row>
    <row r="133" spans="1:16">
      <c r="A133">
        <v>104</v>
      </c>
      <c r="B133">
        <v>2</v>
      </c>
      <c r="C133" t="str">
        <f t="shared" ca="1" si="21"/>
        <v/>
      </c>
      <c r="D133" t="str">
        <f t="shared" ca="1" si="22"/>
        <v/>
      </c>
      <c r="E133" t="str">
        <f t="shared" ca="1" si="23"/>
        <v/>
      </c>
      <c r="M133">
        <f t="shared" ca="1" si="24"/>
        <v>0.82150433960432201</v>
      </c>
      <c r="N133" t="str">
        <f t="shared" ca="1" si="25"/>
        <v/>
      </c>
      <c r="O133">
        <f t="shared" ca="1" si="26"/>
        <v>0.96888583894008296</v>
      </c>
      <c r="P133" t="str">
        <f t="shared" ca="1" si="27"/>
        <v/>
      </c>
    </row>
    <row r="134" spans="1:16">
      <c r="A134">
        <v>82</v>
      </c>
      <c r="B134">
        <v>1</v>
      </c>
      <c r="C134">
        <f t="shared" ca="1" si="21"/>
        <v>82</v>
      </c>
      <c r="D134" t="str">
        <f t="shared" ca="1" si="22"/>
        <v/>
      </c>
      <c r="E134" t="str">
        <f t="shared" ca="1" si="23"/>
        <v/>
      </c>
      <c r="M134">
        <f t="shared" ca="1" si="24"/>
        <v>0.12546857317130655</v>
      </c>
      <c r="N134">
        <f t="shared" ca="1" si="25"/>
        <v>0.61247567845401285</v>
      </c>
      <c r="O134" t="str">
        <f t="shared" ca="1" si="26"/>
        <v/>
      </c>
      <c r="P134">
        <f t="shared" ca="1" si="27"/>
        <v>1</v>
      </c>
    </row>
    <row r="135" spans="1:16">
      <c r="A135">
        <v>154</v>
      </c>
      <c r="B135">
        <v>2</v>
      </c>
      <c r="C135" t="str">
        <f t="shared" ca="1" si="21"/>
        <v/>
      </c>
      <c r="D135" t="str">
        <f t="shared" ca="1" si="22"/>
        <v/>
      </c>
      <c r="E135">
        <f t="shared" ca="1" si="23"/>
        <v>154</v>
      </c>
      <c r="M135">
        <f t="shared" ca="1" si="24"/>
        <v>0.78602598193455964</v>
      </c>
      <c r="N135" t="str">
        <f t="shared" ca="1" si="25"/>
        <v/>
      </c>
      <c r="O135">
        <f t="shared" ca="1" si="26"/>
        <v>5.7161425107764785E-2</v>
      </c>
      <c r="P135" t="str">
        <f t="shared" ca="1" si="27"/>
        <v/>
      </c>
    </row>
    <row r="136" spans="1:16">
      <c r="A136">
        <v>171</v>
      </c>
      <c r="B136">
        <v>2</v>
      </c>
      <c r="C136" t="str">
        <f t="shared" ca="1" si="21"/>
        <v/>
      </c>
      <c r="D136" t="str">
        <f t="shared" ca="1" si="22"/>
        <v/>
      </c>
      <c r="E136" t="str">
        <f t="shared" ca="1" si="23"/>
        <v/>
      </c>
      <c r="M136">
        <f t="shared" ca="1" si="24"/>
        <v>0.26305638562812761</v>
      </c>
      <c r="N136" t="str">
        <f t="shared" ca="1" si="25"/>
        <v/>
      </c>
      <c r="O136">
        <f t="shared" ca="1" si="26"/>
        <v>0.63988388800530682</v>
      </c>
      <c r="P136" t="str">
        <f t="shared" ca="1" si="27"/>
        <v/>
      </c>
    </row>
    <row r="137" spans="1:16">
      <c r="A137">
        <v>74</v>
      </c>
      <c r="B137">
        <v>1</v>
      </c>
      <c r="C137" t="str">
        <f t="shared" ca="1" si="21"/>
        <v/>
      </c>
      <c r="D137" t="str">
        <f t="shared" ca="1" si="22"/>
        <v/>
      </c>
      <c r="E137" t="str">
        <f t="shared" ca="1" si="23"/>
        <v/>
      </c>
      <c r="M137">
        <f t="shared" ca="1" si="24"/>
        <v>0.34519903022784337</v>
      </c>
      <c r="N137">
        <f t="shared" ca="1" si="25"/>
        <v>0.38075394837517074</v>
      </c>
      <c r="O137" t="str">
        <f t="shared" ca="1" si="26"/>
        <v/>
      </c>
      <c r="P137" t="str">
        <f t="shared" ca="1" si="27"/>
        <v/>
      </c>
    </row>
    <row r="138" spans="1:16">
      <c r="A138">
        <v>95</v>
      </c>
      <c r="B138">
        <v>1</v>
      </c>
      <c r="C138" t="str">
        <f t="shared" ca="1" si="21"/>
        <v/>
      </c>
      <c r="D138" t="str">
        <f t="shared" ca="1" si="22"/>
        <v/>
      </c>
      <c r="E138" t="str">
        <f t="shared" ca="1" si="23"/>
        <v/>
      </c>
      <c r="M138">
        <f t="shared" ca="1" si="24"/>
        <v>0.58602540589508223</v>
      </c>
      <c r="N138">
        <f t="shared" ca="1" si="25"/>
        <v>0.76730993583706675</v>
      </c>
      <c r="O138" t="str">
        <f t="shared" ca="1" si="26"/>
        <v/>
      </c>
      <c r="P138" t="str">
        <f t="shared" ca="1" si="27"/>
        <v/>
      </c>
    </row>
    <row r="139" spans="1:16">
      <c r="A139">
        <v>63</v>
      </c>
      <c r="B139">
        <v>1</v>
      </c>
      <c r="C139">
        <f t="shared" ref="C139:C170" ca="1" si="28">IF(M139&lt;=PERCENTILE($M$11:$M$210,$C$7/COUNT($B$11:$B$210)),A139,"")</f>
        <v>63</v>
      </c>
      <c r="D139" t="str">
        <f t="shared" ref="D139:D170" ca="1" si="29">IF(N139&lt;=PERCENTILE($N$11:$N$210,$D$7/$D$4),A139,"")</f>
        <v/>
      </c>
      <c r="E139" t="str">
        <f t="shared" ref="E139:E170" ca="1" si="30">IF(O139&lt;=PERCENTILE($O$11:$O$210,$E$7/$E$4),A139,"")</f>
        <v/>
      </c>
      <c r="M139">
        <f t="shared" ref="M139:M170" ca="1" si="31">RAND()</f>
        <v>8.1362210940095991E-2</v>
      </c>
      <c r="N139">
        <f t="shared" ref="N139:N170" ca="1" si="32">IF(B139=$D$2,RAND(),"")</f>
        <v>0.42927553579235056</v>
      </c>
      <c r="O139" t="str">
        <f t="shared" ref="O139:O170" ca="1" si="33">IF(B139=$E$2,RAND(),"")</f>
        <v/>
      </c>
      <c r="P139">
        <f t="shared" ref="P139:P170" ca="1" si="34">IF(AND(C139&lt;&gt;"",B139=1),B139,"")</f>
        <v>1</v>
      </c>
    </row>
    <row r="140" spans="1:16">
      <c r="A140">
        <v>83</v>
      </c>
      <c r="B140">
        <v>1</v>
      </c>
      <c r="C140" t="str">
        <f t="shared" ca="1" si="28"/>
        <v/>
      </c>
      <c r="D140" t="str">
        <f t="shared" ca="1" si="29"/>
        <v/>
      </c>
      <c r="E140" t="str">
        <f t="shared" ca="1" si="30"/>
        <v/>
      </c>
      <c r="M140">
        <f t="shared" ca="1" si="31"/>
        <v>0.67277720704056687</v>
      </c>
      <c r="N140">
        <f t="shared" ca="1" si="32"/>
        <v>0.79089316767354045</v>
      </c>
      <c r="O140" t="str">
        <f t="shared" ca="1" si="33"/>
        <v/>
      </c>
      <c r="P140" t="str">
        <f t="shared" ca="1" si="34"/>
        <v/>
      </c>
    </row>
    <row r="141" spans="1:16">
      <c r="A141">
        <v>61</v>
      </c>
      <c r="B141">
        <v>2</v>
      </c>
      <c r="C141">
        <f t="shared" ca="1" si="28"/>
        <v>61</v>
      </c>
      <c r="D141" t="str">
        <f t="shared" ca="1" si="29"/>
        <v/>
      </c>
      <c r="E141" t="str">
        <f t="shared" ca="1" si="30"/>
        <v/>
      </c>
      <c r="M141">
        <f t="shared" ca="1" si="31"/>
        <v>0.21117363690932134</v>
      </c>
      <c r="N141" t="str">
        <f t="shared" ca="1" si="32"/>
        <v/>
      </c>
      <c r="O141">
        <f t="shared" ca="1" si="33"/>
        <v>0.7247067479682443</v>
      </c>
      <c r="P141" t="str">
        <f t="shared" ca="1" si="34"/>
        <v/>
      </c>
    </row>
    <row r="142" spans="1:16">
      <c r="A142">
        <v>90</v>
      </c>
      <c r="B142">
        <v>1</v>
      </c>
      <c r="C142">
        <f t="shared" ca="1" si="28"/>
        <v>90</v>
      </c>
      <c r="D142" t="str">
        <f t="shared" ca="1" si="29"/>
        <v/>
      </c>
      <c r="E142" t="str">
        <f t="shared" ca="1" si="30"/>
        <v/>
      </c>
      <c r="M142">
        <f t="shared" ca="1" si="31"/>
        <v>3.597144387425133E-2</v>
      </c>
      <c r="N142">
        <f t="shared" ca="1" si="32"/>
        <v>0.46143974707692537</v>
      </c>
      <c r="O142" t="str">
        <f t="shared" ca="1" si="33"/>
        <v/>
      </c>
      <c r="P142">
        <f t="shared" ca="1" si="34"/>
        <v>1</v>
      </c>
    </row>
    <row r="143" spans="1:16">
      <c r="A143">
        <v>79</v>
      </c>
      <c r="B143">
        <v>1</v>
      </c>
      <c r="C143" t="str">
        <f t="shared" ca="1" si="28"/>
        <v/>
      </c>
      <c r="D143">
        <f t="shared" ca="1" si="29"/>
        <v>79</v>
      </c>
      <c r="E143" t="str">
        <f t="shared" ca="1" si="30"/>
        <v/>
      </c>
      <c r="M143">
        <f t="shared" ca="1" si="31"/>
        <v>0.48090139303284296</v>
      </c>
      <c r="N143">
        <f t="shared" ca="1" si="32"/>
        <v>6.1521449827047547E-2</v>
      </c>
      <c r="O143" t="str">
        <f t="shared" ca="1" si="33"/>
        <v/>
      </c>
      <c r="P143" t="str">
        <f t="shared" ca="1" si="34"/>
        <v/>
      </c>
    </row>
    <row r="144" spans="1:16">
      <c r="A144">
        <v>47</v>
      </c>
      <c r="B144">
        <v>1</v>
      </c>
      <c r="C144" t="str">
        <f t="shared" ca="1" si="28"/>
        <v/>
      </c>
      <c r="D144" t="str">
        <f t="shared" ca="1" si="29"/>
        <v/>
      </c>
      <c r="E144" t="str">
        <f t="shared" ca="1" si="30"/>
        <v/>
      </c>
      <c r="M144">
        <f t="shared" ca="1" si="31"/>
        <v>0.64324124402272531</v>
      </c>
      <c r="N144">
        <f t="shared" ca="1" si="32"/>
        <v>0.68267341540405724</v>
      </c>
      <c r="O144" t="str">
        <f t="shared" ca="1" si="33"/>
        <v/>
      </c>
      <c r="P144" t="str">
        <f t="shared" ca="1" si="34"/>
        <v/>
      </c>
    </row>
    <row r="145" spans="1:16">
      <c r="A145">
        <v>67</v>
      </c>
      <c r="B145">
        <v>1</v>
      </c>
      <c r="C145" t="str">
        <f t="shared" ca="1" si="28"/>
        <v/>
      </c>
      <c r="D145" t="str">
        <f t="shared" ca="1" si="29"/>
        <v/>
      </c>
      <c r="E145" t="str">
        <f t="shared" ca="1" si="30"/>
        <v/>
      </c>
      <c r="M145">
        <f t="shared" ca="1" si="31"/>
        <v>0.88352250718136927</v>
      </c>
      <c r="N145">
        <f t="shared" ca="1" si="32"/>
        <v>0.9355534922263713</v>
      </c>
      <c r="O145" t="str">
        <f t="shared" ca="1" si="33"/>
        <v/>
      </c>
      <c r="P145" t="str">
        <f t="shared" ca="1" si="34"/>
        <v/>
      </c>
    </row>
    <row r="146" spans="1:16">
      <c r="A146">
        <v>81</v>
      </c>
      <c r="B146">
        <v>1</v>
      </c>
      <c r="C146" t="str">
        <f t="shared" ca="1" si="28"/>
        <v/>
      </c>
      <c r="D146" t="str">
        <f t="shared" ca="1" si="29"/>
        <v/>
      </c>
      <c r="E146" t="str">
        <f t="shared" ca="1" si="30"/>
        <v/>
      </c>
      <c r="M146">
        <f t="shared" ca="1" si="31"/>
        <v>0.54610299901379289</v>
      </c>
      <c r="N146">
        <f t="shared" ca="1" si="32"/>
        <v>0.27889368860673525</v>
      </c>
      <c r="O146" t="str">
        <f t="shared" ca="1" si="33"/>
        <v/>
      </c>
      <c r="P146" t="str">
        <f t="shared" ca="1" si="34"/>
        <v/>
      </c>
    </row>
    <row r="147" spans="1:16">
      <c r="A147">
        <v>71</v>
      </c>
      <c r="B147">
        <v>2</v>
      </c>
      <c r="C147" t="str">
        <f t="shared" ca="1" si="28"/>
        <v/>
      </c>
      <c r="D147" t="str">
        <f t="shared" ca="1" si="29"/>
        <v/>
      </c>
      <c r="E147" t="str">
        <f t="shared" ca="1" si="30"/>
        <v/>
      </c>
      <c r="M147">
        <f t="shared" ca="1" si="31"/>
        <v>0.86588876348546417</v>
      </c>
      <c r="N147" t="str">
        <f t="shared" ca="1" si="32"/>
        <v/>
      </c>
      <c r="O147">
        <f t="shared" ca="1" si="33"/>
        <v>0.68131059784696024</v>
      </c>
      <c r="P147" t="str">
        <f t="shared" ca="1" si="34"/>
        <v/>
      </c>
    </row>
    <row r="148" spans="1:16">
      <c r="A148">
        <v>91</v>
      </c>
      <c r="B148">
        <v>1</v>
      </c>
      <c r="C148">
        <f t="shared" ca="1" si="28"/>
        <v>91</v>
      </c>
      <c r="D148">
        <f t="shared" ca="1" si="29"/>
        <v>91</v>
      </c>
      <c r="E148" t="str">
        <f t="shared" ca="1" si="30"/>
        <v/>
      </c>
      <c r="M148">
        <f t="shared" ca="1" si="31"/>
        <v>0.19160718523518683</v>
      </c>
      <c r="N148">
        <f t="shared" ca="1" si="32"/>
        <v>0.1368280015729777</v>
      </c>
      <c r="O148" t="str">
        <f t="shared" ca="1" si="33"/>
        <v/>
      </c>
      <c r="P148">
        <f t="shared" ca="1" si="34"/>
        <v>1</v>
      </c>
    </row>
    <row r="149" spans="1:16">
      <c r="A149">
        <v>89</v>
      </c>
      <c r="B149">
        <v>1</v>
      </c>
      <c r="C149" t="str">
        <f t="shared" ca="1" si="28"/>
        <v/>
      </c>
      <c r="D149" t="str">
        <f t="shared" ca="1" si="29"/>
        <v/>
      </c>
      <c r="E149" t="str">
        <f t="shared" ca="1" si="30"/>
        <v/>
      </c>
      <c r="M149">
        <f t="shared" ca="1" si="31"/>
        <v>0.68077666602823506</v>
      </c>
      <c r="N149">
        <f t="shared" ca="1" si="32"/>
        <v>0.41246663670247763</v>
      </c>
      <c r="O149" t="str">
        <f t="shared" ca="1" si="33"/>
        <v/>
      </c>
      <c r="P149" t="str">
        <f t="shared" ca="1" si="34"/>
        <v/>
      </c>
    </row>
    <row r="150" spans="1:16">
      <c r="A150">
        <v>68</v>
      </c>
      <c r="B150">
        <v>1</v>
      </c>
      <c r="C150" t="str">
        <f t="shared" ca="1" si="28"/>
        <v/>
      </c>
      <c r="D150">
        <f t="shared" ca="1" si="29"/>
        <v>68</v>
      </c>
      <c r="E150" t="str">
        <f t="shared" ca="1" si="30"/>
        <v/>
      </c>
      <c r="M150">
        <f t="shared" ca="1" si="31"/>
        <v>0.67170470626256318</v>
      </c>
      <c r="N150">
        <f t="shared" ca="1" si="32"/>
        <v>1.6530385128413316E-2</v>
      </c>
      <c r="O150" t="str">
        <f t="shared" ca="1" si="33"/>
        <v/>
      </c>
      <c r="P150" t="str">
        <f t="shared" ca="1" si="34"/>
        <v/>
      </c>
    </row>
    <row r="151" spans="1:16">
      <c r="A151">
        <v>35</v>
      </c>
      <c r="B151">
        <v>1</v>
      </c>
      <c r="C151">
        <f t="shared" ca="1" si="28"/>
        <v>35</v>
      </c>
      <c r="D151" t="str">
        <f t="shared" ca="1" si="29"/>
        <v/>
      </c>
      <c r="E151" t="str">
        <f t="shared" ca="1" si="30"/>
        <v/>
      </c>
      <c r="M151">
        <f t="shared" ca="1" si="31"/>
        <v>9.8819541106388131E-2</v>
      </c>
      <c r="N151">
        <f t="shared" ca="1" si="32"/>
        <v>0.56189032656866988</v>
      </c>
      <c r="O151" t="str">
        <f t="shared" ca="1" si="33"/>
        <v/>
      </c>
      <c r="P151">
        <f t="shared" ca="1" si="34"/>
        <v>1</v>
      </c>
    </row>
    <row r="152" spans="1:16">
      <c r="A152">
        <v>82</v>
      </c>
      <c r="B152">
        <v>1</v>
      </c>
      <c r="C152" t="str">
        <f t="shared" ca="1" si="28"/>
        <v/>
      </c>
      <c r="D152" t="str">
        <f t="shared" ca="1" si="29"/>
        <v/>
      </c>
      <c r="E152" t="str">
        <f t="shared" ca="1" si="30"/>
        <v/>
      </c>
      <c r="M152">
        <f t="shared" ca="1" si="31"/>
        <v>0.38145969054243434</v>
      </c>
      <c r="N152">
        <f t="shared" ca="1" si="32"/>
        <v>0.57657934176926928</v>
      </c>
      <c r="O152" t="str">
        <f t="shared" ca="1" si="33"/>
        <v/>
      </c>
      <c r="P152" t="str">
        <f t="shared" ca="1" si="34"/>
        <v/>
      </c>
    </row>
    <row r="153" spans="1:16">
      <c r="A153">
        <v>130</v>
      </c>
      <c r="B153">
        <v>2</v>
      </c>
      <c r="C153" t="str">
        <f t="shared" ca="1" si="28"/>
        <v/>
      </c>
      <c r="D153" t="str">
        <f t="shared" ca="1" si="29"/>
        <v/>
      </c>
      <c r="E153" t="str">
        <f t="shared" ca="1" si="30"/>
        <v/>
      </c>
      <c r="M153">
        <f t="shared" ca="1" si="31"/>
        <v>0.81396660983662061</v>
      </c>
      <c r="N153" t="str">
        <f t="shared" ca="1" si="32"/>
        <v/>
      </c>
      <c r="O153">
        <f t="shared" ca="1" si="33"/>
        <v>0.39535880652088906</v>
      </c>
      <c r="P153" t="str">
        <f t="shared" ca="1" si="34"/>
        <v/>
      </c>
    </row>
    <row r="154" spans="1:16">
      <c r="A154">
        <v>69</v>
      </c>
      <c r="B154">
        <v>1</v>
      </c>
      <c r="C154">
        <f t="shared" ca="1" si="28"/>
        <v>69</v>
      </c>
      <c r="D154" t="str">
        <f t="shared" ca="1" si="29"/>
        <v/>
      </c>
      <c r="E154" t="str">
        <f t="shared" ca="1" si="30"/>
        <v/>
      </c>
      <c r="M154">
        <f t="shared" ca="1" si="31"/>
        <v>0.10199170414757752</v>
      </c>
      <c r="N154">
        <f t="shared" ca="1" si="32"/>
        <v>0.80644994688084459</v>
      </c>
      <c r="O154" t="str">
        <f t="shared" ca="1" si="33"/>
        <v/>
      </c>
      <c r="P154">
        <f t="shared" ca="1" si="34"/>
        <v>1</v>
      </c>
    </row>
    <row r="155" spans="1:16">
      <c r="A155">
        <v>80</v>
      </c>
      <c r="B155">
        <v>1</v>
      </c>
      <c r="C155" t="str">
        <f t="shared" ca="1" si="28"/>
        <v/>
      </c>
      <c r="D155">
        <f t="shared" ca="1" si="29"/>
        <v>80</v>
      </c>
      <c r="E155" t="str">
        <f t="shared" ca="1" si="30"/>
        <v/>
      </c>
      <c r="M155">
        <f t="shared" ca="1" si="31"/>
        <v>0.59994801102451079</v>
      </c>
      <c r="N155">
        <f t="shared" ca="1" si="32"/>
        <v>0.24189121999499363</v>
      </c>
      <c r="O155" t="str">
        <f t="shared" ca="1" si="33"/>
        <v/>
      </c>
      <c r="P155" t="str">
        <f t="shared" ca="1" si="34"/>
        <v/>
      </c>
    </row>
    <row r="156" spans="1:16">
      <c r="A156">
        <v>94</v>
      </c>
      <c r="B156">
        <v>2</v>
      </c>
      <c r="C156">
        <f t="shared" ca="1" si="28"/>
        <v>94</v>
      </c>
      <c r="D156" t="str">
        <f t="shared" ca="1" si="29"/>
        <v/>
      </c>
      <c r="E156" t="str">
        <f t="shared" ca="1" si="30"/>
        <v/>
      </c>
      <c r="M156">
        <f t="shared" ca="1" si="31"/>
        <v>8.7106350618776363E-2</v>
      </c>
      <c r="N156" t="str">
        <f t="shared" ca="1" si="32"/>
        <v/>
      </c>
      <c r="O156">
        <f t="shared" ca="1" si="33"/>
        <v>0.19810685877575751</v>
      </c>
      <c r="P156" t="str">
        <f t="shared" ca="1" si="34"/>
        <v/>
      </c>
    </row>
    <row r="157" spans="1:16">
      <c r="A157">
        <v>75</v>
      </c>
      <c r="B157">
        <v>1</v>
      </c>
      <c r="C157" t="str">
        <f t="shared" ca="1" si="28"/>
        <v/>
      </c>
      <c r="D157" t="str">
        <f t="shared" ca="1" si="29"/>
        <v/>
      </c>
      <c r="E157" t="str">
        <f t="shared" ca="1" si="30"/>
        <v/>
      </c>
      <c r="M157">
        <f t="shared" ca="1" si="31"/>
        <v>0.32361987711192697</v>
      </c>
      <c r="N157">
        <f t="shared" ca="1" si="32"/>
        <v>0.88896553054736582</v>
      </c>
      <c r="O157" t="str">
        <f t="shared" ca="1" si="33"/>
        <v/>
      </c>
      <c r="P157" t="str">
        <f t="shared" ca="1" si="34"/>
        <v/>
      </c>
    </row>
    <row r="158" spans="1:16">
      <c r="A158">
        <v>49</v>
      </c>
      <c r="B158">
        <v>1</v>
      </c>
      <c r="C158">
        <f t="shared" ca="1" si="28"/>
        <v>49</v>
      </c>
      <c r="D158" t="str">
        <f t="shared" ca="1" si="29"/>
        <v/>
      </c>
      <c r="E158" t="str">
        <f t="shared" ca="1" si="30"/>
        <v/>
      </c>
      <c r="M158">
        <f t="shared" ca="1" si="31"/>
        <v>0.11604125513743169</v>
      </c>
      <c r="N158">
        <f t="shared" ca="1" si="32"/>
        <v>0.8300828874515469</v>
      </c>
      <c r="O158" t="str">
        <f t="shared" ca="1" si="33"/>
        <v/>
      </c>
      <c r="P158">
        <f t="shared" ca="1" si="34"/>
        <v>1</v>
      </c>
    </row>
    <row r="159" spans="1:16">
      <c r="A159">
        <v>96</v>
      </c>
      <c r="B159">
        <v>1</v>
      </c>
      <c r="C159">
        <f t="shared" ca="1" si="28"/>
        <v>96</v>
      </c>
      <c r="D159" t="str">
        <f t="shared" ca="1" si="29"/>
        <v/>
      </c>
      <c r="E159" t="str">
        <f t="shared" ca="1" si="30"/>
        <v/>
      </c>
      <c r="M159">
        <f t="shared" ca="1" si="31"/>
        <v>0.10741090013596644</v>
      </c>
      <c r="N159">
        <f t="shared" ca="1" si="32"/>
        <v>0.61827369732441717</v>
      </c>
      <c r="O159" t="str">
        <f t="shared" ca="1" si="33"/>
        <v/>
      </c>
      <c r="P159">
        <f t="shared" ca="1" si="34"/>
        <v>1</v>
      </c>
    </row>
    <row r="160" spans="1:16">
      <c r="A160">
        <v>72</v>
      </c>
      <c r="B160">
        <v>1</v>
      </c>
      <c r="C160" t="str">
        <f t="shared" ca="1" si="28"/>
        <v/>
      </c>
      <c r="D160" t="str">
        <f t="shared" ca="1" si="29"/>
        <v/>
      </c>
      <c r="E160" t="str">
        <f t="shared" ca="1" si="30"/>
        <v/>
      </c>
      <c r="M160">
        <f t="shared" ca="1" si="31"/>
        <v>0.390845031896915</v>
      </c>
      <c r="N160">
        <f t="shared" ca="1" si="32"/>
        <v>0.45309935731511808</v>
      </c>
      <c r="O160" t="str">
        <f t="shared" ca="1" si="33"/>
        <v/>
      </c>
      <c r="P160" t="str">
        <f t="shared" ca="1" si="34"/>
        <v/>
      </c>
    </row>
    <row r="161" spans="1:16">
      <c r="A161">
        <v>74</v>
      </c>
      <c r="B161">
        <v>1</v>
      </c>
      <c r="C161" t="str">
        <f t="shared" ca="1" si="28"/>
        <v/>
      </c>
      <c r="D161">
        <f t="shared" ca="1" si="29"/>
        <v>74</v>
      </c>
      <c r="E161" t="str">
        <f t="shared" ca="1" si="30"/>
        <v/>
      </c>
      <c r="M161">
        <f t="shared" ca="1" si="31"/>
        <v>0.68568580943067836</v>
      </c>
      <c r="N161">
        <f t="shared" ca="1" si="32"/>
        <v>6.0183037101354531E-2</v>
      </c>
      <c r="O161" t="str">
        <f t="shared" ca="1" si="33"/>
        <v/>
      </c>
      <c r="P161" t="str">
        <f t="shared" ca="1" si="34"/>
        <v/>
      </c>
    </row>
    <row r="162" spans="1:16">
      <c r="A162">
        <v>220</v>
      </c>
      <c r="B162">
        <v>2</v>
      </c>
      <c r="C162" t="str">
        <f t="shared" ca="1" si="28"/>
        <v/>
      </c>
      <c r="D162" t="str">
        <f t="shared" ca="1" si="29"/>
        <v/>
      </c>
      <c r="E162">
        <f t="shared" ca="1" si="30"/>
        <v>220</v>
      </c>
      <c r="M162">
        <f t="shared" ca="1" si="31"/>
        <v>0.90370442173253296</v>
      </c>
      <c r="N162" t="str">
        <f t="shared" ca="1" si="32"/>
        <v/>
      </c>
      <c r="O162">
        <f t="shared" ca="1" si="33"/>
        <v>7.7765910205253475E-2</v>
      </c>
      <c r="P162" t="str">
        <f t="shared" ca="1" si="34"/>
        <v/>
      </c>
    </row>
    <row r="163" spans="1:16">
      <c r="A163">
        <v>256</v>
      </c>
      <c r="B163">
        <v>2</v>
      </c>
      <c r="C163" t="str">
        <f t="shared" ca="1" si="28"/>
        <v/>
      </c>
      <c r="D163" t="str">
        <f t="shared" ca="1" si="29"/>
        <v/>
      </c>
      <c r="E163" t="str">
        <f t="shared" ca="1" si="30"/>
        <v/>
      </c>
      <c r="M163">
        <f t="shared" ca="1" si="31"/>
        <v>0.38284547688157833</v>
      </c>
      <c r="N163" t="str">
        <f t="shared" ca="1" si="32"/>
        <v/>
      </c>
      <c r="O163">
        <f t="shared" ca="1" si="33"/>
        <v>0.53254263646653333</v>
      </c>
      <c r="P163" t="str">
        <f t="shared" ca="1" si="34"/>
        <v/>
      </c>
    </row>
    <row r="164" spans="1:16">
      <c r="A164">
        <v>46</v>
      </c>
      <c r="B164">
        <v>1</v>
      </c>
      <c r="C164">
        <f t="shared" ca="1" si="28"/>
        <v>46</v>
      </c>
      <c r="D164" t="str">
        <f t="shared" ca="1" si="29"/>
        <v/>
      </c>
      <c r="E164" t="str">
        <f t="shared" ca="1" si="30"/>
        <v/>
      </c>
      <c r="M164">
        <f t="shared" ca="1" si="31"/>
        <v>0.2289560488502147</v>
      </c>
      <c r="N164">
        <f t="shared" ca="1" si="32"/>
        <v>0.93089668138532211</v>
      </c>
      <c r="O164" t="str">
        <f t="shared" ca="1" si="33"/>
        <v/>
      </c>
      <c r="P164">
        <f t="shared" ca="1" si="34"/>
        <v>1</v>
      </c>
    </row>
    <row r="165" spans="1:16">
      <c r="A165">
        <v>85</v>
      </c>
      <c r="B165">
        <v>1</v>
      </c>
      <c r="C165" t="str">
        <f t="shared" ca="1" si="28"/>
        <v/>
      </c>
      <c r="D165" t="str">
        <f t="shared" ca="1" si="29"/>
        <v/>
      </c>
      <c r="E165" t="str">
        <f t="shared" ca="1" si="30"/>
        <v/>
      </c>
      <c r="M165">
        <f t="shared" ca="1" si="31"/>
        <v>0.84236829224904142</v>
      </c>
      <c r="N165">
        <f t="shared" ca="1" si="32"/>
        <v>0.72481921646755776</v>
      </c>
      <c r="O165" t="str">
        <f t="shared" ca="1" si="33"/>
        <v/>
      </c>
      <c r="P165" t="str">
        <f t="shared" ca="1" si="34"/>
        <v/>
      </c>
    </row>
    <row r="166" spans="1:16">
      <c r="A166">
        <v>67</v>
      </c>
      <c r="B166">
        <v>1</v>
      </c>
      <c r="C166" t="str">
        <f t="shared" ca="1" si="28"/>
        <v/>
      </c>
      <c r="D166" t="str">
        <f t="shared" ca="1" si="29"/>
        <v/>
      </c>
      <c r="E166" t="str">
        <f t="shared" ca="1" si="30"/>
        <v/>
      </c>
      <c r="M166">
        <f t="shared" ca="1" si="31"/>
        <v>0.65248182331005022</v>
      </c>
      <c r="N166">
        <f t="shared" ca="1" si="32"/>
        <v>0.34626461618831872</v>
      </c>
      <c r="O166" t="str">
        <f t="shared" ca="1" si="33"/>
        <v/>
      </c>
      <c r="P166" t="str">
        <f t="shared" ca="1" si="34"/>
        <v/>
      </c>
    </row>
    <row r="167" spans="1:16">
      <c r="A167">
        <v>65</v>
      </c>
      <c r="B167">
        <v>2</v>
      </c>
      <c r="C167">
        <f t="shared" ca="1" si="28"/>
        <v>65</v>
      </c>
      <c r="D167" t="str">
        <f t="shared" ca="1" si="29"/>
        <v/>
      </c>
      <c r="E167" t="str">
        <f t="shared" ca="1" si="30"/>
        <v/>
      </c>
      <c r="M167">
        <f t="shared" ca="1" si="31"/>
        <v>0.25317879550390909</v>
      </c>
      <c r="N167" t="str">
        <f t="shared" ca="1" si="32"/>
        <v/>
      </c>
      <c r="O167">
        <f t="shared" ca="1" si="33"/>
        <v>0.4066400071604912</v>
      </c>
      <c r="P167" t="str">
        <f t="shared" ca="1" si="34"/>
        <v/>
      </c>
    </row>
    <row r="168" spans="1:16">
      <c r="A168">
        <v>67</v>
      </c>
      <c r="B168">
        <v>1</v>
      </c>
      <c r="C168" t="str">
        <f t="shared" ca="1" si="28"/>
        <v/>
      </c>
      <c r="D168" t="str">
        <f t="shared" ca="1" si="29"/>
        <v/>
      </c>
      <c r="E168" t="str">
        <f t="shared" ca="1" si="30"/>
        <v/>
      </c>
      <c r="M168">
        <f t="shared" ca="1" si="31"/>
        <v>0.90836910858605968</v>
      </c>
      <c r="N168">
        <f t="shared" ca="1" si="32"/>
        <v>0.92305358404190607</v>
      </c>
      <c r="O168" t="str">
        <f t="shared" ca="1" si="33"/>
        <v/>
      </c>
      <c r="P168" t="str">
        <f t="shared" ca="1" si="34"/>
        <v/>
      </c>
    </row>
    <row r="169" spans="1:16">
      <c r="A169">
        <v>132</v>
      </c>
      <c r="B169">
        <v>2</v>
      </c>
      <c r="C169" t="str">
        <f t="shared" ca="1" si="28"/>
        <v/>
      </c>
      <c r="D169" t="str">
        <f t="shared" ca="1" si="29"/>
        <v/>
      </c>
      <c r="E169">
        <f t="shared" ca="1" si="30"/>
        <v>132</v>
      </c>
      <c r="M169">
        <f t="shared" ca="1" si="31"/>
        <v>0.49011224338613779</v>
      </c>
      <c r="N169" t="str">
        <f t="shared" ca="1" si="32"/>
        <v/>
      </c>
      <c r="O169">
        <f t="shared" ca="1" si="33"/>
        <v>0.13534632348545039</v>
      </c>
      <c r="P169" t="str">
        <f t="shared" ca="1" si="34"/>
        <v/>
      </c>
    </row>
    <row r="170" spans="1:16">
      <c r="A170">
        <v>87</v>
      </c>
      <c r="B170">
        <v>1</v>
      </c>
      <c r="C170" t="str">
        <f t="shared" ca="1" si="28"/>
        <v/>
      </c>
      <c r="D170" t="str">
        <f t="shared" ca="1" si="29"/>
        <v/>
      </c>
      <c r="E170" t="str">
        <f t="shared" ca="1" si="30"/>
        <v/>
      </c>
      <c r="M170">
        <f t="shared" ca="1" si="31"/>
        <v>0.76358628751316115</v>
      </c>
      <c r="N170">
        <f t="shared" ca="1" si="32"/>
        <v>0.85903974823066287</v>
      </c>
      <c r="O170" t="str">
        <f t="shared" ca="1" si="33"/>
        <v/>
      </c>
      <c r="P170" t="str">
        <f t="shared" ca="1" si="34"/>
        <v/>
      </c>
    </row>
    <row r="171" spans="1:16">
      <c r="A171">
        <v>77</v>
      </c>
      <c r="B171">
        <v>1</v>
      </c>
      <c r="C171">
        <f t="shared" ref="C171:C202" ca="1" si="35">IF(M171&lt;=PERCENTILE($M$11:$M$210,$C$7/COUNT($B$11:$B$210)),A171,"")</f>
        <v>77</v>
      </c>
      <c r="D171" t="str">
        <f t="shared" ref="D171:D202" ca="1" si="36">IF(N171&lt;=PERCENTILE($N$11:$N$210,$D$7/$D$4),A171,"")</f>
        <v/>
      </c>
      <c r="E171" t="str">
        <f t="shared" ref="E171:E202" ca="1" si="37">IF(O171&lt;=PERCENTILE($O$11:$O$210,$E$7/$E$4),A171,"")</f>
        <v/>
      </c>
      <c r="M171">
        <f t="shared" ref="M171:M202" ca="1" si="38">RAND()</f>
        <v>0.12478584999634013</v>
      </c>
      <c r="N171">
        <f t="shared" ref="N171:N202" ca="1" si="39">IF(B171=$D$2,RAND(),"")</f>
        <v>0.70875668753020982</v>
      </c>
      <c r="O171" t="str">
        <f t="shared" ref="O171:O202" ca="1" si="40">IF(B171=$E$2,RAND(),"")</f>
        <v/>
      </c>
      <c r="P171">
        <f t="shared" ref="P171:P202" ca="1" si="41">IF(AND(C171&lt;&gt;"",B171=1),B171,"")</f>
        <v>1</v>
      </c>
    </row>
    <row r="172" spans="1:16">
      <c r="A172">
        <v>125</v>
      </c>
      <c r="B172">
        <v>2</v>
      </c>
      <c r="C172" t="str">
        <f t="shared" ca="1" si="35"/>
        <v/>
      </c>
      <c r="D172" t="str">
        <f t="shared" ca="1" si="36"/>
        <v/>
      </c>
      <c r="E172">
        <f t="shared" ca="1" si="37"/>
        <v>125</v>
      </c>
      <c r="M172">
        <f t="shared" ca="1" si="38"/>
        <v>0.51335622844085349</v>
      </c>
      <c r="N172" t="str">
        <f t="shared" ca="1" si="39"/>
        <v/>
      </c>
      <c r="O172">
        <f t="shared" ca="1" si="40"/>
        <v>5.0576988993607408E-2</v>
      </c>
      <c r="P172" t="str">
        <f t="shared" ca="1" si="41"/>
        <v/>
      </c>
    </row>
    <row r="173" spans="1:16">
      <c r="A173">
        <v>52</v>
      </c>
      <c r="B173">
        <v>1</v>
      </c>
      <c r="C173">
        <f t="shared" ca="1" si="35"/>
        <v>52</v>
      </c>
      <c r="D173" t="str">
        <f t="shared" ca="1" si="36"/>
        <v/>
      </c>
      <c r="E173" t="str">
        <f t="shared" ca="1" si="37"/>
        <v/>
      </c>
      <c r="M173">
        <f t="shared" ca="1" si="38"/>
        <v>1.8414828952767692E-2</v>
      </c>
      <c r="N173">
        <f t="shared" ca="1" si="39"/>
        <v>0.32670521957555199</v>
      </c>
      <c r="O173" t="str">
        <f t="shared" ca="1" si="40"/>
        <v/>
      </c>
      <c r="P173">
        <f t="shared" ca="1" si="41"/>
        <v>1</v>
      </c>
    </row>
    <row r="174" spans="1:16">
      <c r="A174">
        <v>68</v>
      </c>
      <c r="B174">
        <v>2</v>
      </c>
      <c r="C174">
        <f t="shared" ca="1" si="35"/>
        <v>68</v>
      </c>
      <c r="D174" t="str">
        <f t="shared" ca="1" si="36"/>
        <v/>
      </c>
      <c r="E174" t="str">
        <f t="shared" ca="1" si="37"/>
        <v/>
      </c>
      <c r="M174">
        <f t="shared" ca="1" si="38"/>
        <v>0.22992475786584698</v>
      </c>
      <c r="N174" t="str">
        <f t="shared" ca="1" si="39"/>
        <v/>
      </c>
      <c r="O174">
        <f t="shared" ca="1" si="40"/>
        <v>0.82696401374227158</v>
      </c>
      <c r="P174" t="str">
        <f t="shared" ca="1" si="41"/>
        <v/>
      </c>
    </row>
    <row r="175" spans="1:16">
      <c r="A175">
        <v>63</v>
      </c>
      <c r="B175">
        <v>1</v>
      </c>
      <c r="C175" t="str">
        <f t="shared" ca="1" si="35"/>
        <v/>
      </c>
      <c r="D175" t="str">
        <f t="shared" ca="1" si="36"/>
        <v/>
      </c>
      <c r="E175" t="str">
        <f t="shared" ca="1" si="37"/>
        <v/>
      </c>
      <c r="M175">
        <f t="shared" ca="1" si="38"/>
        <v>0.68209251136369708</v>
      </c>
      <c r="N175">
        <f t="shared" ca="1" si="39"/>
        <v>0.63951651996701053</v>
      </c>
      <c r="O175" t="str">
        <f t="shared" ca="1" si="40"/>
        <v/>
      </c>
      <c r="P175" t="str">
        <f t="shared" ca="1" si="41"/>
        <v/>
      </c>
    </row>
    <row r="176" spans="1:16">
      <c r="A176">
        <v>78</v>
      </c>
      <c r="B176">
        <v>1</v>
      </c>
      <c r="C176">
        <f t="shared" ca="1" si="35"/>
        <v>78</v>
      </c>
      <c r="D176" t="str">
        <f t="shared" ca="1" si="36"/>
        <v/>
      </c>
      <c r="E176" t="str">
        <f t="shared" ca="1" si="37"/>
        <v/>
      </c>
      <c r="M176">
        <f t="shared" ca="1" si="38"/>
        <v>0.23824703209944875</v>
      </c>
      <c r="N176">
        <f t="shared" ca="1" si="39"/>
        <v>0.62536529251995843</v>
      </c>
      <c r="O176" t="str">
        <f t="shared" ca="1" si="40"/>
        <v/>
      </c>
      <c r="P176">
        <f t="shared" ca="1" si="41"/>
        <v>1</v>
      </c>
    </row>
    <row r="177" spans="1:16">
      <c r="A177">
        <v>77</v>
      </c>
      <c r="B177">
        <v>1</v>
      </c>
      <c r="C177" t="str">
        <f t="shared" ca="1" si="35"/>
        <v/>
      </c>
      <c r="D177" t="str">
        <f t="shared" ca="1" si="36"/>
        <v/>
      </c>
      <c r="E177" t="str">
        <f t="shared" ca="1" si="37"/>
        <v/>
      </c>
      <c r="M177">
        <f t="shared" ca="1" si="38"/>
        <v>0.62194504196361411</v>
      </c>
      <c r="N177">
        <f t="shared" ca="1" si="39"/>
        <v>0.64111466260551886</v>
      </c>
      <c r="O177" t="str">
        <f t="shared" ca="1" si="40"/>
        <v/>
      </c>
      <c r="P177" t="str">
        <f t="shared" ca="1" si="41"/>
        <v/>
      </c>
    </row>
    <row r="178" spans="1:16">
      <c r="A178">
        <v>68</v>
      </c>
      <c r="B178">
        <v>1</v>
      </c>
      <c r="C178" t="str">
        <f t="shared" ca="1" si="35"/>
        <v/>
      </c>
      <c r="D178">
        <f t="shared" ca="1" si="36"/>
        <v>68</v>
      </c>
      <c r="E178" t="str">
        <f t="shared" ca="1" si="37"/>
        <v/>
      </c>
      <c r="M178">
        <f t="shared" ca="1" si="38"/>
        <v>0.64606335210359256</v>
      </c>
      <c r="N178">
        <f t="shared" ca="1" si="39"/>
        <v>0.15085503164029435</v>
      </c>
      <c r="O178" t="str">
        <f t="shared" ca="1" si="40"/>
        <v/>
      </c>
      <c r="P178" t="str">
        <f t="shared" ca="1" si="41"/>
        <v/>
      </c>
    </row>
    <row r="179" spans="1:16">
      <c r="A179">
        <v>89</v>
      </c>
      <c r="B179">
        <v>1</v>
      </c>
      <c r="C179" t="str">
        <f t="shared" ca="1" si="35"/>
        <v/>
      </c>
      <c r="D179" t="str">
        <f t="shared" ca="1" si="36"/>
        <v/>
      </c>
      <c r="E179" t="str">
        <f t="shared" ca="1" si="37"/>
        <v/>
      </c>
      <c r="M179">
        <f t="shared" ca="1" si="38"/>
        <v>0.82366817674004289</v>
      </c>
      <c r="N179">
        <f t="shared" ca="1" si="39"/>
        <v>0.89854913032499195</v>
      </c>
      <c r="O179" t="str">
        <f t="shared" ca="1" si="40"/>
        <v/>
      </c>
      <c r="P179" t="str">
        <f t="shared" ca="1" si="41"/>
        <v/>
      </c>
    </row>
    <row r="180" spans="1:16">
      <c r="A180">
        <v>58</v>
      </c>
      <c r="B180">
        <v>1</v>
      </c>
      <c r="C180" t="str">
        <f t="shared" ca="1" si="35"/>
        <v/>
      </c>
      <c r="D180" t="str">
        <f t="shared" ca="1" si="36"/>
        <v/>
      </c>
      <c r="E180" t="str">
        <f t="shared" ca="1" si="37"/>
        <v/>
      </c>
      <c r="M180">
        <f t="shared" ca="1" si="38"/>
        <v>0.91458956887665543</v>
      </c>
      <c r="N180">
        <f t="shared" ca="1" si="39"/>
        <v>0.92760412357950406</v>
      </c>
      <c r="O180" t="str">
        <f t="shared" ca="1" si="40"/>
        <v/>
      </c>
      <c r="P180" t="str">
        <f t="shared" ca="1" si="41"/>
        <v/>
      </c>
    </row>
    <row r="181" spans="1:16">
      <c r="A181">
        <v>162</v>
      </c>
      <c r="B181">
        <v>2</v>
      </c>
      <c r="C181">
        <f t="shared" ca="1" si="35"/>
        <v>162</v>
      </c>
      <c r="D181" t="str">
        <f t="shared" ca="1" si="36"/>
        <v/>
      </c>
      <c r="E181" t="str">
        <f t="shared" ca="1" si="37"/>
        <v/>
      </c>
      <c r="M181">
        <f t="shared" ca="1" si="38"/>
        <v>0.24309339517250272</v>
      </c>
      <c r="N181" t="str">
        <f t="shared" ca="1" si="39"/>
        <v/>
      </c>
      <c r="O181">
        <f t="shared" ca="1" si="40"/>
        <v>0.36494199874229061</v>
      </c>
      <c r="P181" t="str">
        <f t="shared" ca="1" si="41"/>
        <v/>
      </c>
    </row>
    <row r="182" spans="1:16">
      <c r="A182">
        <v>84</v>
      </c>
      <c r="B182">
        <v>1</v>
      </c>
      <c r="C182" t="str">
        <f t="shared" ca="1" si="35"/>
        <v/>
      </c>
      <c r="D182" t="str">
        <f t="shared" ca="1" si="36"/>
        <v/>
      </c>
      <c r="E182" t="str">
        <f t="shared" ca="1" si="37"/>
        <v/>
      </c>
      <c r="M182">
        <f t="shared" ca="1" si="38"/>
        <v>0.38619292812883632</v>
      </c>
      <c r="N182">
        <f t="shared" ca="1" si="39"/>
        <v>0.29394292405949568</v>
      </c>
      <c r="O182" t="str">
        <f t="shared" ca="1" si="40"/>
        <v/>
      </c>
      <c r="P182" t="str">
        <f t="shared" ca="1" si="41"/>
        <v/>
      </c>
    </row>
    <row r="183" spans="1:16">
      <c r="A183">
        <v>54</v>
      </c>
      <c r="B183">
        <v>1</v>
      </c>
      <c r="C183" t="str">
        <f t="shared" ca="1" si="35"/>
        <v/>
      </c>
      <c r="D183">
        <f t="shared" ca="1" si="36"/>
        <v>54</v>
      </c>
      <c r="E183" t="str">
        <f t="shared" ca="1" si="37"/>
        <v/>
      </c>
      <c r="M183">
        <f t="shared" ca="1" si="38"/>
        <v>0.95205103648487932</v>
      </c>
      <c r="N183">
        <f t="shared" ca="1" si="39"/>
        <v>2.7060003500639862E-2</v>
      </c>
      <c r="O183" t="str">
        <f t="shared" ca="1" si="40"/>
        <v/>
      </c>
      <c r="P183" t="str">
        <f t="shared" ca="1" si="41"/>
        <v/>
      </c>
    </row>
    <row r="184" spans="1:16">
      <c r="A184">
        <v>104</v>
      </c>
      <c r="B184">
        <v>2</v>
      </c>
      <c r="C184" t="str">
        <f t="shared" ca="1" si="35"/>
        <v/>
      </c>
      <c r="D184" t="str">
        <f t="shared" ca="1" si="36"/>
        <v/>
      </c>
      <c r="E184" t="str">
        <f t="shared" ca="1" si="37"/>
        <v/>
      </c>
      <c r="M184">
        <f t="shared" ca="1" si="38"/>
        <v>0.55132109079437441</v>
      </c>
      <c r="N184" t="str">
        <f t="shared" ca="1" si="39"/>
        <v/>
      </c>
      <c r="O184">
        <f t="shared" ca="1" si="40"/>
        <v>0.29130889585065955</v>
      </c>
      <c r="P184" t="str">
        <f t="shared" ca="1" si="41"/>
        <v/>
      </c>
    </row>
    <row r="185" spans="1:16">
      <c r="A185">
        <v>82</v>
      </c>
      <c r="B185">
        <v>1</v>
      </c>
      <c r="C185" t="str">
        <f t="shared" ca="1" si="35"/>
        <v/>
      </c>
      <c r="D185" t="str">
        <f t="shared" ca="1" si="36"/>
        <v/>
      </c>
      <c r="E185" t="str">
        <f t="shared" ca="1" si="37"/>
        <v/>
      </c>
      <c r="M185">
        <f t="shared" ca="1" si="38"/>
        <v>0.71734476871773278</v>
      </c>
      <c r="N185">
        <f t="shared" ca="1" si="39"/>
        <v>0.3890190359864012</v>
      </c>
      <c r="O185" t="str">
        <f t="shared" ca="1" si="40"/>
        <v/>
      </c>
      <c r="P185" t="str">
        <f t="shared" ca="1" si="41"/>
        <v/>
      </c>
    </row>
    <row r="186" spans="1:16">
      <c r="A186">
        <v>156</v>
      </c>
      <c r="B186">
        <v>2</v>
      </c>
      <c r="C186" t="str">
        <f t="shared" ca="1" si="35"/>
        <v/>
      </c>
      <c r="D186" t="str">
        <f t="shared" ca="1" si="36"/>
        <v/>
      </c>
      <c r="E186">
        <f t="shared" ca="1" si="37"/>
        <v>156</v>
      </c>
      <c r="M186">
        <f t="shared" ca="1" si="38"/>
        <v>0.83172782299273518</v>
      </c>
      <c r="N186" t="str">
        <f t="shared" ca="1" si="39"/>
        <v/>
      </c>
      <c r="O186">
        <f t="shared" ca="1" si="40"/>
        <v>1.6097739981861814E-2</v>
      </c>
      <c r="P186" t="str">
        <f t="shared" ca="1" si="41"/>
        <v/>
      </c>
    </row>
    <row r="187" spans="1:16">
      <c r="A187">
        <v>172</v>
      </c>
      <c r="B187">
        <v>2</v>
      </c>
      <c r="C187" t="str">
        <f t="shared" ca="1" si="35"/>
        <v/>
      </c>
      <c r="D187" t="str">
        <f t="shared" ca="1" si="36"/>
        <v/>
      </c>
      <c r="E187" t="str">
        <f t="shared" ca="1" si="37"/>
        <v/>
      </c>
      <c r="M187">
        <f t="shared" ca="1" si="38"/>
        <v>0.97483233849993844</v>
      </c>
      <c r="N187" t="str">
        <f t="shared" ca="1" si="39"/>
        <v/>
      </c>
      <c r="O187">
        <f t="shared" ca="1" si="40"/>
        <v>0.59421794025872043</v>
      </c>
      <c r="P187" t="str">
        <f t="shared" ca="1" si="41"/>
        <v/>
      </c>
    </row>
    <row r="188" spans="1:16">
      <c r="A188">
        <v>74</v>
      </c>
      <c r="B188">
        <v>1</v>
      </c>
      <c r="C188" t="str">
        <f t="shared" ca="1" si="35"/>
        <v/>
      </c>
      <c r="D188">
        <f t="shared" ca="1" si="36"/>
        <v>74</v>
      </c>
      <c r="E188" t="str">
        <f t="shared" ca="1" si="37"/>
        <v/>
      </c>
      <c r="M188">
        <f t="shared" ca="1" si="38"/>
        <v>0.84129050573329267</v>
      </c>
      <c r="N188">
        <f t="shared" ca="1" si="39"/>
        <v>0.23064770881012198</v>
      </c>
      <c r="O188" t="str">
        <f t="shared" ca="1" si="40"/>
        <v/>
      </c>
      <c r="P188" t="str">
        <f t="shared" ca="1" si="41"/>
        <v/>
      </c>
    </row>
    <row r="189" spans="1:16">
      <c r="A189">
        <v>95</v>
      </c>
      <c r="B189">
        <v>1</v>
      </c>
      <c r="C189" t="str">
        <f t="shared" ca="1" si="35"/>
        <v/>
      </c>
      <c r="D189" t="str">
        <f t="shared" ca="1" si="36"/>
        <v/>
      </c>
      <c r="E189" t="str">
        <f t="shared" ca="1" si="37"/>
        <v/>
      </c>
      <c r="M189">
        <f t="shared" ca="1" si="38"/>
        <v>0.94275147882212895</v>
      </c>
      <c r="N189">
        <f t="shared" ca="1" si="39"/>
        <v>0.76903504745568241</v>
      </c>
      <c r="O189" t="str">
        <f t="shared" ca="1" si="40"/>
        <v/>
      </c>
      <c r="P189" t="str">
        <f t="shared" ca="1" si="41"/>
        <v/>
      </c>
    </row>
    <row r="190" spans="1:16">
      <c r="A190">
        <v>63</v>
      </c>
      <c r="B190">
        <v>1</v>
      </c>
      <c r="C190" t="str">
        <f t="shared" ca="1" si="35"/>
        <v/>
      </c>
      <c r="D190" t="str">
        <f t="shared" ca="1" si="36"/>
        <v/>
      </c>
      <c r="E190" t="str">
        <f t="shared" ca="1" si="37"/>
        <v/>
      </c>
      <c r="M190">
        <f t="shared" ca="1" si="38"/>
        <v>0.94531986757277409</v>
      </c>
      <c r="N190">
        <f t="shared" ca="1" si="39"/>
        <v>0.31188017256278711</v>
      </c>
      <c r="O190" t="str">
        <f t="shared" ca="1" si="40"/>
        <v/>
      </c>
      <c r="P190" t="str">
        <f t="shared" ca="1" si="41"/>
        <v/>
      </c>
    </row>
    <row r="191" spans="1:16">
      <c r="A191">
        <v>83</v>
      </c>
      <c r="B191">
        <v>1</v>
      </c>
      <c r="C191">
        <f t="shared" ca="1" si="35"/>
        <v>83</v>
      </c>
      <c r="D191">
        <f t="shared" ca="1" si="36"/>
        <v>83</v>
      </c>
      <c r="E191" t="str">
        <f t="shared" ca="1" si="37"/>
        <v/>
      </c>
      <c r="M191">
        <f t="shared" ca="1" si="38"/>
        <v>7.1790760140981291E-2</v>
      </c>
      <c r="N191">
        <f t="shared" ca="1" si="39"/>
        <v>9.3652080210800293E-2</v>
      </c>
      <c r="O191" t="str">
        <f t="shared" ca="1" si="40"/>
        <v/>
      </c>
      <c r="P191">
        <f t="shared" ca="1" si="41"/>
        <v>1</v>
      </c>
    </row>
    <row r="192" spans="1:16">
      <c r="A192">
        <v>61</v>
      </c>
      <c r="B192">
        <v>2</v>
      </c>
      <c r="C192" t="str">
        <f t="shared" ca="1" si="35"/>
        <v/>
      </c>
      <c r="D192" t="str">
        <f t="shared" ca="1" si="36"/>
        <v/>
      </c>
      <c r="E192" t="str">
        <f t="shared" ca="1" si="37"/>
        <v/>
      </c>
      <c r="M192">
        <f t="shared" ca="1" si="38"/>
        <v>0.65865645447305998</v>
      </c>
      <c r="N192" t="str">
        <f t="shared" ca="1" si="39"/>
        <v/>
      </c>
      <c r="O192">
        <f t="shared" ca="1" si="40"/>
        <v>0.44262003421671103</v>
      </c>
      <c r="P192" t="str">
        <f t="shared" ca="1" si="41"/>
        <v/>
      </c>
    </row>
    <row r="193" spans="1:16">
      <c r="A193">
        <v>90</v>
      </c>
      <c r="B193">
        <v>1</v>
      </c>
      <c r="C193" t="str">
        <f t="shared" ca="1" si="35"/>
        <v/>
      </c>
      <c r="D193" t="str">
        <f t="shared" ca="1" si="36"/>
        <v/>
      </c>
      <c r="E193" t="str">
        <f t="shared" ca="1" si="37"/>
        <v/>
      </c>
      <c r="M193">
        <f t="shared" ca="1" si="38"/>
        <v>0.88419005665535533</v>
      </c>
      <c r="N193">
        <f t="shared" ca="1" si="39"/>
        <v>0.67448447496487862</v>
      </c>
      <c r="O193" t="str">
        <f t="shared" ca="1" si="40"/>
        <v/>
      </c>
      <c r="P193" t="str">
        <f t="shared" ca="1" si="41"/>
        <v/>
      </c>
    </row>
    <row r="194" spans="1:16">
      <c r="A194">
        <v>136</v>
      </c>
      <c r="B194">
        <v>2</v>
      </c>
      <c r="C194">
        <f t="shared" ca="1" si="35"/>
        <v>136</v>
      </c>
      <c r="D194" t="str">
        <f t="shared" ca="1" si="36"/>
        <v/>
      </c>
      <c r="E194" t="str">
        <f t="shared" ca="1" si="37"/>
        <v/>
      </c>
      <c r="M194">
        <f t="shared" ca="1" si="38"/>
        <v>0.25720030397159821</v>
      </c>
      <c r="N194" t="str">
        <f t="shared" ca="1" si="39"/>
        <v/>
      </c>
      <c r="O194">
        <f t="shared" ca="1" si="40"/>
        <v>0.52330861154341779</v>
      </c>
      <c r="P194" t="str">
        <f t="shared" ca="1" si="41"/>
        <v/>
      </c>
    </row>
    <row r="195" spans="1:16">
      <c r="A195">
        <v>56</v>
      </c>
      <c r="B195">
        <v>1</v>
      </c>
      <c r="C195" t="str">
        <f t="shared" ca="1" si="35"/>
        <v/>
      </c>
      <c r="D195" t="str">
        <f t="shared" ca="1" si="36"/>
        <v/>
      </c>
      <c r="E195" t="str">
        <f t="shared" ca="1" si="37"/>
        <v/>
      </c>
      <c r="M195">
        <f t="shared" ca="1" si="38"/>
        <v>0.67181736718928242</v>
      </c>
      <c r="N195">
        <f t="shared" ca="1" si="39"/>
        <v>0.71014224019385352</v>
      </c>
      <c r="O195" t="str">
        <f t="shared" ca="1" si="40"/>
        <v/>
      </c>
      <c r="P195" t="str">
        <f t="shared" ca="1" si="41"/>
        <v/>
      </c>
    </row>
    <row r="196" spans="1:16">
      <c r="A196">
        <v>93</v>
      </c>
      <c r="B196">
        <v>1</v>
      </c>
      <c r="C196" t="str">
        <f t="shared" ca="1" si="35"/>
        <v/>
      </c>
      <c r="D196" t="str">
        <f t="shared" ca="1" si="36"/>
        <v/>
      </c>
      <c r="E196" t="str">
        <f t="shared" ca="1" si="37"/>
        <v/>
      </c>
      <c r="M196">
        <f t="shared" ca="1" si="38"/>
        <v>0.47485653807039441</v>
      </c>
      <c r="N196">
        <f t="shared" ca="1" si="39"/>
        <v>0.77941612299060781</v>
      </c>
      <c r="O196" t="str">
        <f t="shared" ca="1" si="40"/>
        <v/>
      </c>
      <c r="P196" t="str">
        <f t="shared" ca="1" si="41"/>
        <v/>
      </c>
    </row>
    <row r="197" spans="1:16">
      <c r="A197">
        <v>51</v>
      </c>
      <c r="B197">
        <v>1</v>
      </c>
      <c r="C197" t="str">
        <f t="shared" ca="1" si="35"/>
        <v/>
      </c>
      <c r="D197">
        <f t="shared" ca="1" si="36"/>
        <v>51</v>
      </c>
      <c r="E197" t="str">
        <f t="shared" ca="1" si="37"/>
        <v/>
      </c>
      <c r="M197">
        <f t="shared" ca="1" si="38"/>
        <v>0.980154629176611</v>
      </c>
      <c r="N197">
        <f t="shared" ca="1" si="39"/>
        <v>0.11168983959091872</v>
      </c>
      <c r="O197" t="str">
        <f t="shared" ca="1" si="40"/>
        <v/>
      </c>
      <c r="P197" t="str">
        <f t="shared" ca="1" si="41"/>
        <v/>
      </c>
    </row>
    <row r="198" spans="1:16">
      <c r="A198">
        <v>86</v>
      </c>
      <c r="B198">
        <v>2</v>
      </c>
      <c r="C198">
        <f t="shared" ca="1" si="35"/>
        <v>86</v>
      </c>
      <c r="D198" t="str">
        <f t="shared" ca="1" si="36"/>
        <v/>
      </c>
      <c r="E198" t="str">
        <f t="shared" ca="1" si="37"/>
        <v/>
      </c>
      <c r="M198">
        <f t="shared" ca="1" si="38"/>
        <v>0.18009295443842088</v>
      </c>
      <c r="N198" t="str">
        <f t="shared" ca="1" si="39"/>
        <v/>
      </c>
      <c r="O198">
        <f t="shared" ca="1" si="40"/>
        <v>0.28824626993953828</v>
      </c>
      <c r="P198" t="str">
        <f t="shared" ca="1" si="41"/>
        <v/>
      </c>
    </row>
    <row r="199" spans="1:16">
      <c r="A199">
        <v>76</v>
      </c>
      <c r="B199">
        <v>1</v>
      </c>
      <c r="C199">
        <f t="shared" ca="1" si="35"/>
        <v>76</v>
      </c>
      <c r="D199" t="str">
        <f t="shared" ca="1" si="36"/>
        <v/>
      </c>
      <c r="E199" t="str">
        <f t="shared" ca="1" si="37"/>
        <v/>
      </c>
      <c r="M199">
        <f t="shared" ca="1" si="38"/>
        <v>0.19549159613337963</v>
      </c>
      <c r="N199">
        <f t="shared" ca="1" si="39"/>
        <v>0.271709026534241</v>
      </c>
      <c r="O199" t="str">
        <f t="shared" ca="1" si="40"/>
        <v/>
      </c>
      <c r="P199">
        <f t="shared" ca="1" si="41"/>
        <v>1</v>
      </c>
    </row>
    <row r="200" spans="1:16">
      <c r="A200">
        <v>69</v>
      </c>
      <c r="B200">
        <v>1</v>
      </c>
      <c r="C200" t="str">
        <f t="shared" ca="1" si="35"/>
        <v/>
      </c>
      <c r="D200" t="str">
        <f t="shared" ca="1" si="36"/>
        <v/>
      </c>
      <c r="E200" t="str">
        <f t="shared" ca="1" si="37"/>
        <v/>
      </c>
      <c r="M200">
        <f t="shared" ca="1" si="38"/>
        <v>0.40820001860283228</v>
      </c>
      <c r="N200">
        <f t="shared" ca="1" si="39"/>
        <v>0.96594980502609706</v>
      </c>
      <c r="O200" t="str">
        <f t="shared" ca="1" si="40"/>
        <v/>
      </c>
      <c r="P200" t="str">
        <f t="shared" ca="1" si="41"/>
        <v/>
      </c>
    </row>
    <row r="201" spans="1:16">
      <c r="A201">
        <v>63</v>
      </c>
      <c r="B201">
        <v>1</v>
      </c>
      <c r="C201" t="str">
        <f t="shared" ca="1" si="35"/>
        <v/>
      </c>
      <c r="D201" t="str">
        <f t="shared" ca="1" si="36"/>
        <v/>
      </c>
      <c r="E201" t="str">
        <f t="shared" ca="1" si="37"/>
        <v/>
      </c>
      <c r="M201">
        <f t="shared" ca="1" si="38"/>
        <v>0.36902066423235458</v>
      </c>
      <c r="N201">
        <f t="shared" ca="1" si="39"/>
        <v>0.49439506714854287</v>
      </c>
      <c r="O201" t="str">
        <f t="shared" ca="1" si="40"/>
        <v/>
      </c>
      <c r="P201" t="str">
        <f t="shared" ca="1" si="41"/>
        <v/>
      </c>
    </row>
    <row r="202" spans="1:16">
      <c r="A202">
        <v>140</v>
      </c>
      <c r="B202">
        <v>2</v>
      </c>
      <c r="C202" t="str">
        <f t="shared" ca="1" si="35"/>
        <v/>
      </c>
      <c r="D202" t="str">
        <f t="shared" ca="1" si="36"/>
        <v/>
      </c>
      <c r="E202" t="str">
        <f t="shared" ca="1" si="37"/>
        <v/>
      </c>
      <c r="M202">
        <f t="shared" ca="1" si="38"/>
        <v>0.64241200099095197</v>
      </c>
      <c r="N202" t="str">
        <f t="shared" ca="1" si="39"/>
        <v/>
      </c>
      <c r="O202">
        <f t="shared" ca="1" si="40"/>
        <v>0.53618568792457832</v>
      </c>
      <c r="P202" t="str">
        <f t="shared" ca="1" si="41"/>
        <v/>
      </c>
    </row>
    <row r="203" spans="1:16">
      <c r="A203">
        <v>49</v>
      </c>
      <c r="B203">
        <v>2</v>
      </c>
      <c r="C203" t="str">
        <f t="shared" ref="C203:C210" ca="1" si="42">IF(M203&lt;=PERCENTILE($M$11:$M$210,$C$7/COUNT($B$11:$B$210)),A203,"")</f>
        <v/>
      </c>
      <c r="D203" t="str">
        <f t="shared" ref="D203:D210" ca="1" si="43">IF(N203&lt;=PERCENTILE($N$11:$N$210,$D$7/$D$4),A203,"")</f>
        <v/>
      </c>
      <c r="E203" t="str">
        <f t="shared" ref="E203:E210" ca="1" si="44">IF(O203&lt;=PERCENTILE($O$11:$O$210,$E$7/$E$4),A203,"")</f>
        <v/>
      </c>
      <c r="M203">
        <f t="shared" ref="M203:M210" ca="1" si="45">RAND()</f>
        <v>0.55157955900713862</v>
      </c>
      <c r="N203" t="str">
        <f t="shared" ref="N203:N210" ca="1" si="46">IF(B203=$D$2,RAND(),"")</f>
        <v/>
      </c>
      <c r="O203">
        <f t="shared" ref="O203:O210" ca="1" si="47">IF(B203=$E$2,RAND(),"")</f>
        <v>0.24601588569210775</v>
      </c>
      <c r="P203" t="str">
        <f t="shared" ref="P203:P210" ca="1" si="48">IF(AND(C203&lt;&gt;"",B203=1),B203,"")</f>
        <v/>
      </c>
    </row>
    <row r="204" spans="1:16">
      <c r="A204">
        <v>117</v>
      </c>
      <c r="B204">
        <v>1</v>
      </c>
      <c r="C204" t="str">
        <f t="shared" ca="1" si="42"/>
        <v/>
      </c>
      <c r="D204">
        <f t="shared" ca="1" si="43"/>
        <v>117</v>
      </c>
      <c r="E204" t="str">
        <f t="shared" ca="1" si="44"/>
        <v/>
      </c>
      <c r="M204">
        <f t="shared" ca="1" si="45"/>
        <v>0.72059832574474925</v>
      </c>
      <c r="N204">
        <f t="shared" ca="1" si="46"/>
        <v>0.2317132486310336</v>
      </c>
      <c r="O204" t="str">
        <f t="shared" ca="1" si="47"/>
        <v/>
      </c>
      <c r="P204" t="str">
        <f t="shared" ca="1" si="48"/>
        <v/>
      </c>
    </row>
    <row r="205" spans="1:16">
      <c r="A205">
        <v>28</v>
      </c>
      <c r="B205">
        <v>1</v>
      </c>
      <c r="C205">
        <f t="shared" ca="1" si="42"/>
        <v>28</v>
      </c>
      <c r="D205">
        <f t="shared" ca="1" si="43"/>
        <v>28</v>
      </c>
      <c r="E205" t="str">
        <f t="shared" ca="1" si="44"/>
        <v/>
      </c>
      <c r="M205">
        <f t="shared" ca="1" si="45"/>
        <v>5.3934045245014772E-2</v>
      </c>
      <c r="N205">
        <f t="shared" ca="1" si="46"/>
        <v>1.2529756038728745E-2</v>
      </c>
      <c r="O205" t="str">
        <f t="shared" ca="1" si="47"/>
        <v/>
      </c>
      <c r="P205">
        <f t="shared" ca="1" si="48"/>
        <v>1</v>
      </c>
    </row>
    <row r="206" spans="1:16">
      <c r="A206">
        <v>53</v>
      </c>
      <c r="B206">
        <v>1</v>
      </c>
      <c r="C206">
        <f t="shared" ca="1" si="42"/>
        <v>53</v>
      </c>
      <c r="D206" t="str">
        <f t="shared" ca="1" si="43"/>
        <v/>
      </c>
      <c r="E206" t="str">
        <f t="shared" ca="1" si="44"/>
        <v/>
      </c>
      <c r="M206">
        <f t="shared" ca="1" si="45"/>
        <v>0.11478242097117342</v>
      </c>
      <c r="N206">
        <f t="shared" ca="1" si="46"/>
        <v>0.28693347403444447</v>
      </c>
      <c r="O206" t="str">
        <f t="shared" ca="1" si="47"/>
        <v/>
      </c>
      <c r="P206">
        <f t="shared" ca="1" si="48"/>
        <v>1</v>
      </c>
    </row>
    <row r="207" spans="1:16">
      <c r="A207">
        <v>152</v>
      </c>
      <c r="B207">
        <v>2</v>
      </c>
      <c r="C207">
        <f t="shared" ca="1" si="42"/>
        <v>152</v>
      </c>
      <c r="D207" t="str">
        <f t="shared" ca="1" si="43"/>
        <v/>
      </c>
      <c r="E207" t="str">
        <f t="shared" ca="1" si="44"/>
        <v/>
      </c>
      <c r="M207">
        <f t="shared" ca="1" si="45"/>
        <v>8.4839124502511076E-2</v>
      </c>
      <c r="N207" t="str">
        <f t="shared" ca="1" si="46"/>
        <v/>
      </c>
      <c r="O207">
        <f t="shared" ca="1" si="47"/>
        <v>0.68842053970859673</v>
      </c>
      <c r="P207" t="str">
        <f t="shared" ca="1" si="48"/>
        <v/>
      </c>
    </row>
    <row r="208" spans="1:16">
      <c r="A208">
        <v>179</v>
      </c>
      <c r="B208">
        <v>2</v>
      </c>
      <c r="C208" t="str">
        <f t="shared" ca="1" si="42"/>
        <v/>
      </c>
      <c r="D208" t="str">
        <f t="shared" ca="1" si="43"/>
        <v/>
      </c>
      <c r="E208" t="str">
        <f t="shared" ca="1" si="44"/>
        <v/>
      </c>
      <c r="M208">
        <f t="shared" ca="1" si="45"/>
        <v>0.6507113757778078</v>
      </c>
      <c r="N208" t="str">
        <f t="shared" ca="1" si="46"/>
        <v/>
      </c>
      <c r="O208">
        <f t="shared" ca="1" si="47"/>
        <v>0.97781980544389868</v>
      </c>
      <c r="P208" t="str">
        <f t="shared" ca="1" si="48"/>
        <v/>
      </c>
    </row>
    <row r="209" spans="1:16">
      <c r="A209">
        <v>79</v>
      </c>
      <c r="B209">
        <v>1</v>
      </c>
      <c r="C209" t="str">
        <f t="shared" ca="1" si="42"/>
        <v/>
      </c>
      <c r="D209" t="str">
        <f t="shared" ca="1" si="43"/>
        <v/>
      </c>
      <c r="E209" t="str">
        <f t="shared" ca="1" si="44"/>
        <v/>
      </c>
      <c r="M209">
        <f t="shared" ca="1" si="45"/>
        <v>0.55639584497171901</v>
      </c>
      <c r="N209">
        <f t="shared" ca="1" si="46"/>
        <v>0.78371908138242041</v>
      </c>
      <c r="O209" t="str">
        <f t="shared" ca="1" si="47"/>
        <v/>
      </c>
      <c r="P209" t="str">
        <f t="shared" ca="1" si="48"/>
        <v/>
      </c>
    </row>
    <row r="210" spans="1:16">
      <c r="A210">
        <v>83</v>
      </c>
      <c r="B210">
        <v>1</v>
      </c>
      <c r="C210">
        <f t="shared" ca="1" si="42"/>
        <v>83</v>
      </c>
      <c r="D210" t="str">
        <f t="shared" ca="1" si="43"/>
        <v/>
      </c>
      <c r="E210" t="str">
        <f t="shared" ca="1" si="44"/>
        <v/>
      </c>
      <c r="M210">
        <f t="shared" ca="1" si="45"/>
        <v>1.0857279929342489E-2</v>
      </c>
      <c r="N210">
        <f t="shared" ca="1" si="46"/>
        <v>0.67801018289764459</v>
      </c>
      <c r="O210" t="str">
        <f t="shared" ca="1" si="47"/>
        <v/>
      </c>
      <c r="P210">
        <f t="shared" ca="1" si="48"/>
        <v>1</v>
      </c>
    </row>
  </sheetData>
  <mergeCells count="9">
    <mergeCell ref="I20:J20"/>
    <mergeCell ref="I21:J21"/>
    <mergeCell ref="I18:J18"/>
    <mergeCell ref="A9:B9"/>
    <mergeCell ref="M10:O10"/>
    <mergeCell ref="C9:E9"/>
    <mergeCell ref="I9:J9"/>
    <mergeCell ref="I19:J19"/>
    <mergeCell ref="M9:O9"/>
  </mergeCells>
  <phoneticPr fontId="11" type="noConversion"/>
  <printOptions gridLines="1"/>
  <pageMargins left="0.78740157499999996" right="0.78740157499999996" top="0.984251969" bottom="0.984251969" header="0.4921259845" footer="0.492125984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dimension ref="A1:H25"/>
  <sheetViews>
    <sheetView workbookViewId="0"/>
  </sheetViews>
  <sheetFormatPr defaultColWidth="11.42578125" defaultRowHeight="12.75"/>
  <cols>
    <col min="1" max="6" width="11.42578125" customWidth="1"/>
    <col min="7" max="7" width="6" customWidth="1"/>
  </cols>
  <sheetData>
    <row r="1" spans="1:8">
      <c r="A1" s="1" t="s">
        <v>202</v>
      </c>
    </row>
    <row r="3" spans="1:8">
      <c r="A3" t="s">
        <v>216</v>
      </c>
      <c r="D3">
        <f>SUM(B8:B22)</f>
        <v>100</v>
      </c>
    </row>
    <row r="4" spans="1:8">
      <c r="A4" t="s">
        <v>222</v>
      </c>
      <c r="D4">
        <f>COUNT(A8:A22)</f>
        <v>15</v>
      </c>
    </row>
    <row r="5" spans="1:8">
      <c r="A5" t="s">
        <v>223</v>
      </c>
      <c r="D5" s="3">
        <v>450</v>
      </c>
    </row>
    <row r="6" spans="1:8">
      <c r="A6" s="1"/>
    </row>
    <row r="7" spans="1:8" ht="29.25" customHeight="1">
      <c r="A7" s="3" t="s">
        <v>224</v>
      </c>
      <c r="B7" s="13" t="s">
        <v>218</v>
      </c>
      <c r="C7" s="13" t="s">
        <v>219</v>
      </c>
      <c r="D7" s="13" t="s">
        <v>220</v>
      </c>
      <c r="H7" s="13" t="s">
        <v>221</v>
      </c>
    </row>
    <row r="8" spans="1:8">
      <c r="A8">
        <v>1</v>
      </c>
      <c r="B8">
        <v>8</v>
      </c>
      <c r="C8" s="20">
        <v>90</v>
      </c>
      <c r="D8">
        <f t="shared" ref="D8:D22" si="0">(B8*(C8-$G$8)/$D$3)^2</f>
        <v>2.5600000000000001E-2</v>
      </c>
      <c r="F8" t="s">
        <v>28</v>
      </c>
      <c r="G8" s="20">
        <f>SUMPRODUCT(B8:B22,C8:C22)/SUM(B8:B22)</f>
        <v>92</v>
      </c>
    </row>
    <row r="9" spans="1:8">
      <c r="A9">
        <v>2</v>
      </c>
      <c r="B9">
        <v>2</v>
      </c>
      <c r="C9" s="20">
        <v>105</v>
      </c>
      <c r="D9">
        <f t="shared" si="0"/>
        <v>6.7600000000000007E-2</v>
      </c>
      <c r="F9" t="s">
        <v>207</v>
      </c>
      <c r="G9" s="14">
        <f>SQRT(SUM(D8:D22))</f>
        <v>0.985190336940025</v>
      </c>
      <c r="H9" s="14">
        <f>SQRT((1-D4/D5)*(D4/(D4-1))*SUM(D8:D22))</f>
        <v>1.0026286878572175</v>
      </c>
    </row>
    <row r="10" spans="1:8">
      <c r="A10">
        <v>3</v>
      </c>
      <c r="B10">
        <v>10</v>
      </c>
      <c r="C10" s="20">
        <v>95</v>
      </c>
      <c r="D10">
        <f t="shared" si="0"/>
        <v>0.09</v>
      </c>
      <c r="F10" s="3" t="s">
        <v>208</v>
      </c>
      <c r="G10" s="20">
        <f>$G$8+NORMSINV(0.025)*G$9</f>
        <v>90.06906242168067</v>
      </c>
      <c r="H10" s="20">
        <f>$G$8+NORMSINV(0.025)*H$9</f>
        <v>90.034883881933197</v>
      </c>
    </row>
    <row r="11" spans="1:8">
      <c r="A11">
        <v>4</v>
      </c>
      <c r="B11">
        <v>9</v>
      </c>
      <c r="C11" s="20">
        <v>93</v>
      </c>
      <c r="D11">
        <f t="shared" si="0"/>
        <v>8.0999999999999996E-3</v>
      </c>
      <c r="F11" s="3" t="s">
        <v>209</v>
      </c>
      <c r="G11" s="20">
        <f>$G$8+NORMSINV(0.975)*G$9</f>
        <v>93.93093757831933</v>
      </c>
      <c r="H11" s="20">
        <f>$G$8+NORMSINV(0.975)*H$9</f>
        <v>93.965116118066803</v>
      </c>
    </row>
    <row r="12" spans="1:8">
      <c r="A12">
        <v>5</v>
      </c>
      <c r="B12">
        <v>7</v>
      </c>
      <c r="C12" s="20">
        <v>94</v>
      </c>
      <c r="D12">
        <f t="shared" si="0"/>
        <v>1.9600000000000003E-2</v>
      </c>
    </row>
    <row r="13" spans="1:8">
      <c r="A13">
        <v>6</v>
      </c>
      <c r="B13">
        <v>9</v>
      </c>
      <c r="C13" s="20">
        <v>91</v>
      </c>
      <c r="D13">
        <f t="shared" si="0"/>
        <v>8.0999999999999996E-3</v>
      </c>
    </row>
    <row r="14" spans="1:8">
      <c r="A14">
        <v>7</v>
      </c>
      <c r="B14">
        <v>6</v>
      </c>
      <c r="C14" s="20">
        <v>92</v>
      </c>
      <c r="D14">
        <f t="shared" si="0"/>
        <v>0</v>
      </c>
    </row>
    <row r="15" spans="1:8">
      <c r="A15">
        <v>8</v>
      </c>
      <c r="B15">
        <v>1</v>
      </c>
      <c r="C15" s="20">
        <v>124</v>
      </c>
      <c r="D15">
        <f t="shared" si="0"/>
        <v>0.1024</v>
      </c>
    </row>
    <row r="16" spans="1:8">
      <c r="A16">
        <v>9</v>
      </c>
      <c r="B16">
        <v>7</v>
      </c>
      <c r="C16" s="20">
        <v>88</v>
      </c>
      <c r="D16">
        <f t="shared" si="0"/>
        <v>7.8400000000000011E-2</v>
      </c>
    </row>
    <row r="17" spans="1:4">
      <c r="A17">
        <v>10</v>
      </c>
      <c r="B17">
        <v>11</v>
      </c>
      <c r="C17" s="20">
        <v>86</v>
      </c>
      <c r="D17">
        <f t="shared" si="0"/>
        <v>0.43560000000000004</v>
      </c>
    </row>
    <row r="18" spans="1:4">
      <c r="A18">
        <v>11</v>
      </c>
      <c r="B18">
        <v>5</v>
      </c>
      <c r="C18" s="20">
        <v>91</v>
      </c>
      <c r="D18">
        <f t="shared" si="0"/>
        <v>2.5000000000000005E-3</v>
      </c>
    </row>
    <row r="19" spans="1:4">
      <c r="A19">
        <v>12</v>
      </c>
      <c r="B19">
        <v>9</v>
      </c>
      <c r="C19" s="20">
        <v>89</v>
      </c>
      <c r="D19">
        <f t="shared" si="0"/>
        <v>7.2900000000000006E-2</v>
      </c>
    </row>
    <row r="20" spans="1:4">
      <c r="A20">
        <v>13</v>
      </c>
      <c r="B20">
        <v>3</v>
      </c>
      <c r="C20" s="20">
        <v>97</v>
      </c>
      <c r="D20">
        <f t="shared" si="0"/>
        <v>2.2499999999999999E-2</v>
      </c>
    </row>
    <row r="21" spans="1:4">
      <c r="A21">
        <v>14</v>
      </c>
      <c r="B21">
        <v>6</v>
      </c>
      <c r="C21" s="20">
        <v>95</v>
      </c>
      <c r="D21">
        <f t="shared" si="0"/>
        <v>3.2399999999999998E-2</v>
      </c>
    </row>
    <row r="22" spans="1:4">
      <c r="A22">
        <v>15</v>
      </c>
      <c r="B22">
        <v>7</v>
      </c>
      <c r="C22" s="20">
        <v>93</v>
      </c>
      <c r="D22">
        <f t="shared" si="0"/>
        <v>4.9000000000000007E-3</v>
      </c>
    </row>
    <row r="23" spans="1:4">
      <c r="A23" t="s">
        <v>28</v>
      </c>
      <c r="B23" s="8">
        <f>AVERAGE(B8:B22)</f>
        <v>6.666666666666667</v>
      </c>
      <c r="C23" s="20"/>
    </row>
    <row r="24" spans="1:4">
      <c r="A24" t="s">
        <v>207</v>
      </c>
      <c r="B24" s="8">
        <f>STDEV(B8:B22)/SQRT(D4)</f>
        <v>0.75382621886875789</v>
      </c>
    </row>
    <row r="25" spans="1:4">
      <c r="A25" t="s">
        <v>217</v>
      </c>
      <c r="B25" s="8">
        <f>B24/B23</f>
        <v>0.11307393283031368</v>
      </c>
    </row>
  </sheetData>
  <phoneticPr fontId="11" type="noConversion"/>
  <printOptions gridLines="1"/>
  <pageMargins left="0.78740157499999996" right="0.78740157499999996" top="0.984251969" bottom="0.984251969" header="0.4921259845" footer="0.4921259845"/>
  <pageSetup paperSize="9" orientation="portrait" r:id="rId1"/>
  <headerFooter alignWithMargins="0"/>
  <legacyDrawing r:id="rId2"/>
</worksheet>
</file>

<file path=xl/worksheets/sheet26.xml><?xml version="1.0" encoding="utf-8"?>
<worksheet xmlns="http://schemas.openxmlformats.org/spreadsheetml/2006/main" xmlns:r="http://schemas.openxmlformats.org/officeDocument/2006/relationships">
  <sheetPr>
    <pageSetUpPr fitToPage="1"/>
  </sheetPr>
  <dimension ref="A1:R33"/>
  <sheetViews>
    <sheetView workbookViewId="0"/>
  </sheetViews>
  <sheetFormatPr defaultColWidth="9.140625" defaultRowHeight="12.75"/>
  <cols>
    <col min="6" max="6" width="12.42578125" customWidth="1"/>
  </cols>
  <sheetData>
    <row r="1" spans="1:18">
      <c r="A1" s="1" t="s">
        <v>407</v>
      </c>
    </row>
    <row r="3" spans="1:18">
      <c r="A3" s="3" t="s">
        <v>343</v>
      </c>
      <c r="B3" s="3" t="s">
        <v>347</v>
      </c>
      <c r="J3" s="3"/>
      <c r="K3" s="3" t="s">
        <v>408</v>
      </c>
      <c r="L3" s="3" t="s">
        <v>54</v>
      </c>
      <c r="M3" s="3" t="s">
        <v>409</v>
      </c>
      <c r="N3" s="3" t="s">
        <v>410</v>
      </c>
      <c r="O3" s="3" t="s">
        <v>411</v>
      </c>
      <c r="P3" s="3" t="s">
        <v>412</v>
      </c>
      <c r="Q3" s="3" t="s">
        <v>413</v>
      </c>
      <c r="R3" s="3" t="s">
        <v>414</v>
      </c>
    </row>
    <row r="4" spans="1:18">
      <c r="A4">
        <v>58</v>
      </c>
      <c r="B4" s="161">
        <v>65400</v>
      </c>
      <c r="K4" s="20">
        <v>65400</v>
      </c>
      <c r="L4">
        <v>58</v>
      </c>
      <c r="M4" s="20">
        <f t="shared" ref="M4:M13" si="0">K4-$K$14</f>
        <v>8060</v>
      </c>
      <c r="N4">
        <f t="shared" ref="N4:N13" si="1">L4-$L$14</f>
        <v>4.2000000000000028</v>
      </c>
      <c r="O4" s="20">
        <f t="shared" ref="O4:O13" si="2">M4*N4</f>
        <v>33852.000000000022</v>
      </c>
      <c r="P4">
        <f t="shared" ref="P4:P13" si="3">RANK(K4,K$4:K$13)</f>
        <v>2</v>
      </c>
      <c r="Q4">
        <f t="shared" ref="Q4:Q13" si="4">RANK(L4,L$4:L$13)</f>
        <v>4</v>
      </c>
      <c r="R4">
        <f t="shared" ref="R4:R13" si="5">P4-Q4</f>
        <v>-2</v>
      </c>
    </row>
    <row r="5" spans="1:18">
      <c r="A5">
        <v>48</v>
      </c>
      <c r="B5" s="161">
        <v>62000</v>
      </c>
      <c r="K5" s="20">
        <v>62000</v>
      </c>
      <c r="L5">
        <v>48</v>
      </c>
      <c r="M5" s="20">
        <f t="shared" si="0"/>
        <v>4660</v>
      </c>
      <c r="N5">
        <f t="shared" si="1"/>
        <v>-5.7999999999999972</v>
      </c>
      <c r="O5" s="20">
        <f t="shared" si="2"/>
        <v>-27027.999999999985</v>
      </c>
      <c r="P5">
        <f t="shared" si="3"/>
        <v>4</v>
      </c>
      <c r="Q5">
        <f t="shared" si="4"/>
        <v>8</v>
      </c>
      <c r="R5">
        <f t="shared" si="5"/>
        <v>-4</v>
      </c>
    </row>
    <row r="6" spans="1:18">
      <c r="A6">
        <v>58</v>
      </c>
      <c r="B6" s="161">
        <v>63200</v>
      </c>
      <c r="K6" s="20">
        <v>63200</v>
      </c>
      <c r="L6">
        <v>58</v>
      </c>
      <c r="M6" s="20">
        <f t="shared" si="0"/>
        <v>5860</v>
      </c>
      <c r="N6">
        <f t="shared" si="1"/>
        <v>4.2000000000000028</v>
      </c>
      <c r="O6" s="20">
        <f t="shared" si="2"/>
        <v>24612.000000000018</v>
      </c>
      <c r="P6">
        <f t="shared" si="3"/>
        <v>3</v>
      </c>
      <c r="Q6">
        <f t="shared" si="4"/>
        <v>4</v>
      </c>
      <c r="R6">
        <f t="shared" si="5"/>
        <v>-1</v>
      </c>
    </row>
    <row r="7" spans="1:18">
      <c r="A7">
        <v>56</v>
      </c>
      <c r="B7" s="161">
        <v>52000</v>
      </c>
      <c r="K7" s="20">
        <v>52000</v>
      </c>
      <c r="L7">
        <v>56</v>
      </c>
      <c r="M7" s="20">
        <f t="shared" si="0"/>
        <v>-5340</v>
      </c>
      <c r="N7">
        <f t="shared" si="1"/>
        <v>2.2000000000000028</v>
      </c>
      <c r="O7" s="20">
        <f t="shared" si="2"/>
        <v>-11748.000000000015</v>
      </c>
      <c r="P7">
        <f t="shared" si="3"/>
        <v>6</v>
      </c>
      <c r="Q7">
        <f t="shared" si="4"/>
        <v>6</v>
      </c>
      <c r="R7">
        <f t="shared" si="5"/>
        <v>0</v>
      </c>
    </row>
    <row r="8" spans="1:18">
      <c r="A8">
        <v>68</v>
      </c>
      <c r="B8" s="161">
        <v>81400</v>
      </c>
      <c r="K8" s="20">
        <v>81400</v>
      </c>
      <c r="L8">
        <v>68</v>
      </c>
      <c r="M8" s="20">
        <f t="shared" si="0"/>
        <v>24060</v>
      </c>
      <c r="N8">
        <f t="shared" si="1"/>
        <v>14.200000000000003</v>
      </c>
      <c r="O8" s="20">
        <f t="shared" si="2"/>
        <v>341652.00000000006</v>
      </c>
      <c r="P8">
        <f t="shared" si="3"/>
        <v>1</v>
      </c>
      <c r="Q8">
        <f t="shared" si="4"/>
        <v>1</v>
      </c>
      <c r="R8">
        <f t="shared" si="5"/>
        <v>0</v>
      </c>
    </row>
    <row r="9" spans="1:18">
      <c r="A9">
        <v>60</v>
      </c>
      <c r="B9" s="161">
        <v>46300</v>
      </c>
      <c r="K9" s="20">
        <v>46300</v>
      </c>
      <c r="L9">
        <v>60</v>
      </c>
      <c r="M9" s="20">
        <f t="shared" si="0"/>
        <v>-11040</v>
      </c>
      <c r="N9">
        <f t="shared" si="1"/>
        <v>6.2000000000000028</v>
      </c>
      <c r="O9" s="20">
        <f t="shared" si="2"/>
        <v>-68448.000000000029</v>
      </c>
      <c r="P9">
        <f t="shared" si="3"/>
        <v>9</v>
      </c>
      <c r="Q9">
        <f t="shared" si="4"/>
        <v>3</v>
      </c>
      <c r="R9">
        <f t="shared" si="5"/>
        <v>6</v>
      </c>
    </row>
    <row r="10" spans="1:18">
      <c r="A10">
        <v>28</v>
      </c>
      <c r="B10" s="161">
        <v>49600</v>
      </c>
      <c r="K10" s="20">
        <v>49600</v>
      </c>
      <c r="L10">
        <v>28</v>
      </c>
      <c r="M10" s="20">
        <f t="shared" si="0"/>
        <v>-7740</v>
      </c>
      <c r="N10">
        <f t="shared" si="1"/>
        <v>-25.799999999999997</v>
      </c>
      <c r="O10" s="20">
        <f t="shared" si="2"/>
        <v>199691.99999999997</v>
      </c>
      <c r="P10">
        <f t="shared" si="3"/>
        <v>7</v>
      </c>
      <c r="Q10">
        <f t="shared" si="4"/>
        <v>10</v>
      </c>
      <c r="R10">
        <f t="shared" si="5"/>
        <v>-3</v>
      </c>
    </row>
    <row r="11" spans="1:18">
      <c r="A11">
        <v>48</v>
      </c>
      <c r="B11" s="161">
        <v>45900</v>
      </c>
      <c r="K11" s="20">
        <v>45900</v>
      </c>
      <c r="L11">
        <v>48</v>
      </c>
      <c r="M11" s="20">
        <f t="shared" si="0"/>
        <v>-11440</v>
      </c>
      <c r="N11">
        <f t="shared" si="1"/>
        <v>-5.7999999999999972</v>
      </c>
      <c r="O11" s="20">
        <f t="shared" si="2"/>
        <v>66351.999999999971</v>
      </c>
      <c r="P11">
        <f t="shared" si="3"/>
        <v>10</v>
      </c>
      <c r="Q11">
        <f t="shared" si="4"/>
        <v>8</v>
      </c>
      <c r="R11">
        <f t="shared" si="5"/>
        <v>2</v>
      </c>
    </row>
    <row r="12" spans="1:18">
      <c r="A12">
        <v>53</v>
      </c>
      <c r="B12" s="161">
        <v>47700</v>
      </c>
      <c r="K12" s="20">
        <v>47700</v>
      </c>
      <c r="L12">
        <v>53</v>
      </c>
      <c r="M12" s="20">
        <f t="shared" si="0"/>
        <v>-9640</v>
      </c>
      <c r="N12">
        <f t="shared" si="1"/>
        <v>-0.79999999999999716</v>
      </c>
      <c r="O12" s="20">
        <f t="shared" si="2"/>
        <v>7711.9999999999727</v>
      </c>
      <c r="P12">
        <f t="shared" si="3"/>
        <v>8</v>
      </c>
      <c r="Q12">
        <f t="shared" si="4"/>
        <v>7</v>
      </c>
      <c r="R12">
        <f t="shared" si="5"/>
        <v>1</v>
      </c>
    </row>
    <row r="13" spans="1:18">
      <c r="A13">
        <v>61</v>
      </c>
      <c r="B13" s="161">
        <v>59900</v>
      </c>
      <c r="K13" s="20">
        <v>59900</v>
      </c>
      <c r="L13">
        <v>61</v>
      </c>
      <c r="M13" s="20">
        <f t="shared" si="0"/>
        <v>2560</v>
      </c>
      <c r="N13">
        <f t="shared" si="1"/>
        <v>7.2000000000000028</v>
      </c>
      <c r="O13" s="20">
        <f t="shared" si="2"/>
        <v>18432.000000000007</v>
      </c>
      <c r="P13">
        <f t="shared" si="3"/>
        <v>5</v>
      </c>
      <c r="Q13">
        <f t="shared" si="4"/>
        <v>2</v>
      </c>
      <c r="R13">
        <f t="shared" si="5"/>
        <v>3</v>
      </c>
    </row>
    <row r="14" spans="1:18">
      <c r="A14">
        <v>36</v>
      </c>
      <c r="B14" s="161">
        <v>48100</v>
      </c>
      <c r="J14" s="3" t="s">
        <v>28</v>
      </c>
      <c r="K14" s="20">
        <f>AVERAGE(K4:K13)</f>
        <v>57340</v>
      </c>
      <c r="L14">
        <f>AVERAGE(L4:L13)</f>
        <v>53.8</v>
      </c>
      <c r="M14" s="21"/>
      <c r="N14" s="39" t="s">
        <v>56</v>
      </c>
      <c r="O14" s="20">
        <f>SUM(O4:O13)</f>
        <v>585080.00000000012</v>
      </c>
    </row>
    <row r="15" spans="1:18">
      <c r="A15">
        <v>55</v>
      </c>
      <c r="B15" s="161">
        <v>58100</v>
      </c>
      <c r="J15" s="3" t="s">
        <v>55</v>
      </c>
      <c r="K15" s="21">
        <f>STDEV(K4:K13)</f>
        <v>11257.41237289162</v>
      </c>
      <c r="L15" s="21">
        <f>STDEV(L4:L13)</f>
        <v>10.881176406988347</v>
      </c>
      <c r="N15" t="s">
        <v>57</v>
      </c>
      <c r="O15" s="20">
        <f>O14/9</f>
        <v>65008.888888888905</v>
      </c>
    </row>
    <row r="16" spans="1:18">
      <c r="A16">
        <v>48</v>
      </c>
      <c r="B16" s="161">
        <v>56000</v>
      </c>
      <c r="N16" t="s">
        <v>58</v>
      </c>
      <c r="O16" s="8">
        <f>O15/(K15*L15)</f>
        <v>0.5307112782005371</v>
      </c>
      <c r="Q16" s="3" t="s">
        <v>415</v>
      </c>
      <c r="R16" s="8">
        <f>1-6*SUMSQ(R4:R13)/(COUNT(R4:R13)^3-COUNT(R4:R13))</f>
        <v>0.51515151515151514</v>
      </c>
    </row>
    <row r="17" spans="1:6">
      <c r="A17">
        <v>51</v>
      </c>
      <c r="B17" s="161">
        <v>53400</v>
      </c>
    </row>
    <row r="18" spans="1:6">
      <c r="A18">
        <v>39</v>
      </c>
      <c r="B18" s="161">
        <v>39000</v>
      </c>
    </row>
    <row r="19" spans="1:6">
      <c r="A19">
        <v>45</v>
      </c>
      <c r="B19" s="161">
        <v>61500</v>
      </c>
      <c r="E19" s="3" t="s">
        <v>416</v>
      </c>
      <c r="F19" s="38">
        <f>CORREL(A4:A33,B4:B33)</f>
        <v>0.58570476090139656</v>
      </c>
    </row>
    <row r="20" spans="1:6">
      <c r="A20">
        <v>43</v>
      </c>
      <c r="B20" s="161">
        <v>37700</v>
      </c>
    </row>
    <row r="21" spans="1:6">
      <c r="A21">
        <v>36</v>
      </c>
      <c r="B21" s="161">
        <v>36700</v>
      </c>
    </row>
    <row r="22" spans="1:6">
      <c r="A22">
        <v>49</v>
      </c>
      <c r="B22" s="161">
        <v>45200</v>
      </c>
    </row>
    <row r="23" spans="1:6">
      <c r="A23">
        <v>53</v>
      </c>
      <c r="B23" s="161">
        <v>59000</v>
      </c>
    </row>
    <row r="24" spans="1:6">
      <c r="A24">
        <v>61</v>
      </c>
      <c r="B24" s="161">
        <v>54300</v>
      </c>
    </row>
    <row r="25" spans="1:6">
      <c r="A25">
        <v>62</v>
      </c>
      <c r="B25" s="161">
        <v>62100</v>
      </c>
    </row>
    <row r="26" spans="1:6">
      <c r="A26">
        <v>59</v>
      </c>
      <c r="B26" s="161">
        <v>78000</v>
      </c>
    </row>
    <row r="27" spans="1:6">
      <c r="A27">
        <v>44</v>
      </c>
      <c r="B27" s="161">
        <v>43200</v>
      </c>
    </row>
    <row r="28" spans="1:6">
      <c r="A28">
        <v>53</v>
      </c>
      <c r="B28" s="161">
        <v>44500</v>
      </c>
    </row>
    <row r="29" spans="1:6">
      <c r="A29">
        <v>55</v>
      </c>
      <c r="B29" s="161">
        <v>43300</v>
      </c>
    </row>
    <row r="30" spans="1:6">
      <c r="A30">
        <v>66</v>
      </c>
      <c r="B30" s="161">
        <v>45400</v>
      </c>
    </row>
    <row r="31" spans="1:6">
      <c r="A31">
        <v>36</v>
      </c>
      <c r="B31" s="161">
        <v>53900</v>
      </c>
    </row>
    <row r="32" spans="1:6">
      <c r="A32">
        <v>41</v>
      </c>
      <c r="B32" s="161">
        <v>44100</v>
      </c>
    </row>
    <row r="33" spans="1:2">
      <c r="A33">
        <v>28</v>
      </c>
      <c r="B33" s="161">
        <v>31000</v>
      </c>
    </row>
  </sheetData>
  <phoneticPr fontId="0" type="noConversion"/>
  <printOptions gridLines="1"/>
  <pageMargins left="0.78740157499999996" right="0.78740157499999996" top="0.984251969" bottom="0.984251969" header="0.5" footer="0.5"/>
  <pageSetup scale="52" orientation="portrait" horizontalDpi="300" verticalDpi="300" r:id="rId1"/>
  <headerFooter alignWithMargins="0"/>
  <drawing r:id="rId2"/>
</worksheet>
</file>

<file path=xl/worksheets/sheet27.xml><?xml version="1.0" encoding="utf-8"?>
<worksheet xmlns="http://schemas.openxmlformats.org/spreadsheetml/2006/main" xmlns:r="http://schemas.openxmlformats.org/officeDocument/2006/relationships">
  <sheetPr>
    <pageSetUpPr fitToPage="1"/>
  </sheetPr>
  <dimension ref="A1:T33"/>
  <sheetViews>
    <sheetView workbookViewId="0"/>
  </sheetViews>
  <sheetFormatPr defaultColWidth="9.140625" defaultRowHeight="12.75"/>
  <cols>
    <col min="1" max="2" width="8.7109375" customWidth="1"/>
    <col min="3" max="3" width="9.5703125" customWidth="1"/>
    <col min="4" max="4" width="8.7109375" customWidth="1"/>
    <col min="5" max="5" width="4.7109375" customWidth="1"/>
    <col min="6" max="6" width="13.7109375" customWidth="1"/>
    <col min="7" max="7" width="9.5703125" customWidth="1"/>
    <col min="8" max="8" width="11.5703125" customWidth="1"/>
    <col min="9" max="9" width="11.42578125" customWidth="1"/>
    <col min="10" max="10" width="9.7109375" customWidth="1"/>
    <col min="11" max="11" width="11.28515625" bestFit="1" customWidth="1"/>
    <col min="12" max="12" width="11" bestFit="1" customWidth="1"/>
  </cols>
  <sheetData>
    <row r="1" spans="1:20">
      <c r="A1" s="1" t="s">
        <v>390</v>
      </c>
    </row>
    <row r="3" spans="1:20" ht="26.25" thickBot="1">
      <c r="A3" s="3" t="s">
        <v>343</v>
      </c>
      <c r="B3" s="3" t="s">
        <v>347</v>
      </c>
      <c r="C3" s="13" t="s">
        <v>391</v>
      </c>
      <c r="D3" s="13" t="s">
        <v>392</v>
      </c>
    </row>
    <row r="4" spans="1:20">
      <c r="A4">
        <v>58</v>
      </c>
      <c r="B4" s="161">
        <v>65400</v>
      </c>
      <c r="C4" s="161">
        <f t="shared" ref="C4:C33" si="0">$G$12+$G$13*A4</f>
        <v>57376.936878160173</v>
      </c>
      <c r="D4" s="161">
        <f t="shared" ref="D4:D33" si="1">B4-C4</f>
        <v>8023.0631218398266</v>
      </c>
      <c r="F4" s="18" t="s">
        <v>393</v>
      </c>
      <c r="G4" s="18"/>
    </row>
    <row r="5" spans="1:20">
      <c r="A5">
        <v>48</v>
      </c>
      <c r="B5" s="161">
        <v>62000</v>
      </c>
      <c r="C5" s="161">
        <f t="shared" si="0"/>
        <v>51037.758930027732</v>
      </c>
      <c r="D5" s="161">
        <f t="shared" si="1"/>
        <v>10962.241069972268</v>
      </c>
      <c r="F5" s="41" t="s">
        <v>394</v>
      </c>
      <c r="G5" s="43">
        <v>0.58570476090139667</v>
      </c>
      <c r="T5" s="3"/>
    </row>
    <row r="6" spans="1:20">
      <c r="A6">
        <v>58</v>
      </c>
      <c r="B6" s="161">
        <v>63200</v>
      </c>
      <c r="C6" s="161">
        <f t="shared" si="0"/>
        <v>57376.936878160173</v>
      </c>
      <c r="D6" s="161">
        <f t="shared" si="1"/>
        <v>5823.0631218398266</v>
      </c>
      <c r="F6" s="41" t="s">
        <v>395</v>
      </c>
      <c r="G6" s="43">
        <v>0.34305006694256224</v>
      </c>
      <c r="O6" s="3"/>
      <c r="P6" s="3"/>
      <c r="Q6" s="3"/>
      <c r="R6" s="3"/>
      <c r="S6" s="3"/>
      <c r="T6" s="21"/>
    </row>
    <row r="7" spans="1:20">
      <c r="A7">
        <v>56</v>
      </c>
      <c r="B7" s="161">
        <v>52000</v>
      </c>
      <c r="C7" s="161">
        <f t="shared" si="0"/>
        <v>56109.101288533682</v>
      </c>
      <c r="D7" s="161">
        <f t="shared" si="1"/>
        <v>-4109.1012885336822</v>
      </c>
      <c r="F7" s="41" t="s">
        <v>396</v>
      </c>
      <c r="G7" s="43">
        <v>0.31958756933336802</v>
      </c>
      <c r="T7" s="21"/>
    </row>
    <row r="8" spans="1:20">
      <c r="A8">
        <v>68</v>
      </c>
      <c r="B8" s="161">
        <v>81400</v>
      </c>
      <c r="C8" s="161">
        <f t="shared" si="0"/>
        <v>63716.114826292614</v>
      </c>
      <c r="D8" s="161">
        <f t="shared" si="1"/>
        <v>17683.885173707386</v>
      </c>
      <c r="F8" s="41" t="s">
        <v>69</v>
      </c>
      <c r="G8" s="162">
        <v>9479.9562180710782</v>
      </c>
      <c r="T8" s="21"/>
    </row>
    <row r="9" spans="1:20" ht="13.5" thickBot="1">
      <c r="A9">
        <v>60</v>
      </c>
      <c r="B9" s="161">
        <v>46300</v>
      </c>
      <c r="C9" s="161">
        <f t="shared" si="0"/>
        <v>58644.772467786664</v>
      </c>
      <c r="D9" s="161">
        <f t="shared" si="1"/>
        <v>-12344.772467786664</v>
      </c>
      <c r="F9" s="17" t="s">
        <v>397</v>
      </c>
      <c r="G9" s="17">
        <v>30</v>
      </c>
      <c r="T9" s="21"/>
    </row>
    <row r="10" spans="1:20" ht="13.5" thickBot="1">
      <c r="A10">
        <v>28</v>
      </c>
      <c r="B10" s="161">
        <v>49600</v>
      </c>
      <c r="C10" s="161">
        <f t="shared" si="0"/>
        <v>38359.403033762843</v>
      </c>
      <c r="D10" s="161">
        <f t="shared" si="1"/>
        <v>11240.596966237157</v>
      </c>
      <c r="T10" s="21"/>
    </row>
    <row r="11" spans="1:20" ht="25.5">
      <c r="A11">
        <v>48</v>
      </c>
      <c r="B11" s="161">
        <v>45900</v>
      </c>
      <c r="C11" s="161">
        <f t="shared" si="0"/>
        <v>51037.758930027732</v>
      </c>
      <c r="D11" s="161">
        <f t="shared" si="1"/>
        <v>-5137.7589300277323</v>
      </c>
      <c r="F11" s="40"/>
      <c r="G11" s="44" t="s">
        <v>398</v>
      </c>
      <c r="H11" s="23" t="s">
        <v>69</v>
      </c>
      <c r="I11" s="40" t="s">
        <v>399</v>
      </c>
      <c r="J11" s="40" t="s">
        <v>400</v>
      </c>
      <c r="K11" s="40" t="s">
        <v>401</v>
      </c>
      <c r="L11" s="40" t="s">
        <v>402</v>
      </c>
      <c r="T11" s="21"/>
    </row>
    <row r="12" spans="1:20">
      <c r="A12">
        <v>53</v>
      </c>
      <c r="B12" s="161">
        <v>47700</v>
      </c>
      <c r="C12" s="161">
        <f t="shared" si="0"/>
        <v>54207.347904093949</v>
      </c>
      <c r="D12" s="161">
        <f t="shared" si="1"/>
        <v>-6507.3479040939492</v>
      </c>
      <c r="F12" s="16" t="s">
        <v>107</v>
      </c>
      <c r="G12" s="162">
        <v>20609.704778992003</v>
      </c>
      <c r="H12" s="162">
        <v>8457.1254323226203</v>
      </c>
      <c r="I12" s="43">
        <v>2.4369633563932922</v>
      </c>
      <c r="J12" s="42">
        <v>2.1421739770947405E-2</v>
      </c>
      <c r="K12" s="162">
        <v>3286.0491906682764</v>
      </c>
      <c r="L12" s="162">
        <v>37933.360367315734</v>
      </c>
      <c r="T12" s="21"/>
    </row>
    <row r="13" spans="1:20" ht="13.5" thickBot="1">
      <c r="A13">
        <v>61</v>
      </c>
      <c r="B13" s="161">
        <v>59900</v>
      </c>
      <c r="C13" s="161">
        <f t="shared" si="0"/>
        <v>59278.690262599906</v>
      </c>
      <c r="D13" s="161">
        <f t="shared" si="1"/>
        <v>621.30973740009358</v>
      </c>
      <c r="F13" s="27" t="s">
        <v>343</v>
      </c>
      <c r="G13" s="163">
        <v>633.91779481324431</v>
      </c>
      <c r="H13" s="163">
        <v>165.78350206620374</v>
      </c>
      <c r="I13" s="45">
        <v>3.8237688727319594</v>
      </c>
      <c r="J13" s="46">
        <v>6.726645643071634E-4</v>
      </c>
      <c r="K13" s="163">
        <v>294.32530384171991</v>
      </c>
      <c r="L13" s="163">
        <v>973.51028578476871</v>
      </c>
      <c r="T13" s="21"/>
    </row>
    <row r="14" spans="1:20">
      <c r="A14">
        <v>36</v>
      </c>
      <c r="B14" s="161">
        <v>48100</v>
      </c>
      <c r="C14" s="161">
        <f t="shared" si="0"/>
        <v>43430.7453922688</v>
      </c>
      <c r="D14" s="161">
        <f t="shared" si="1"/>
        <v>4669.2546077311999</v>
      </c>
      <c r="T14" s="21"/>
    </row>
    <row r="15" spans="1:20" ht="25.5">
      <c r="A15">
        <v>55</v>
      </c>
      <c r="B15" s="161">
        <v>58100</v>
      </c>
      <c r="C15" s="161">
        <f t="shared" si="0"/>
        <v>55475.18349372044</v>
      </c>
      <c r="D15" s="161">
        <f t="shared" si="1"/>
        <v>2624.8165062795597</v>
      </c>
      <c r="G15" s="47" t="s">
        <v>28</v>
      </c>
      <c r="H15" s="48" t="s">
        <v>60</v>
      </c>
      <c r="T15" s="21"/>
    </row>
    <row r="16" spans="1:20">
      <c r="A16">
        <v>48</v>
      </c>
      <c r="B16" s="161">
        <v>56000</v>
      </c>
      <c r="C16" s="161">
        <f t="shared" si="0"/>
        <v>51037.758930027732</v>
      </c>
      <c r="D16" s="161">
        <f t="shared" si="1"/>
        <v>4962.2410699722677</v>
      </c>
      <c r="F16" t="s">
        <v>347</v>
      </c>
      <c r="G16" s="20">
        <f>AVERAGE(B4:B33)</f>
        <v>52263.333333333336</v>
      </c>
      <c r="H16" s="20">
        <f>STDEV(B4:B33)</f>
        <v>11492.650825136294</v>
      </c>
      <c r="T16" s="21"/>
    </row>
    <row r="17" spans="1:20">
      <c r="A17">
        <v>51</v>
      </c>
      <c r="B17" s="161">
        <v>53400</v>
      </c>
      <c r="C17" s="161">
        <f t="shared" si="0"/>
        <v>52939.512314467458</v>
      </c>
      <c r="D17" s="161">
        <f t="shared" si="1"/>
        <v>460.48768553254195</v>
      </c>
      <c r="F17" t="s">
        <v>343</v>
      </c>
      <c r="G17" s="21">
        <f>AVERAGE(A4:A33)</f>
        <v>49.93333333333333</v>
      </c>
      <c r="H17" s="21">
        <f>STDEV(A4:A33)</f>
        <v>10.618569724238091</v>
      </c>
      <c r="R17" s="21"/>
      <c r="S17" s="39"/>
      <c r="T17" s="21"/>
    </row>
    <row r="18" spans="1:20">
      <c r="A18">
        <v>39</v>
      </c>
      <c r="B18" s="161">
        <v>39000</v>
      </c>
      <c r="C18" s="161">
        <f t="shared" si="0"/>
        <v>45332.498776708533</v>
      </c>
      <c r="D18" s="161">
        <f t="shared" si="1"/>
        <v>-6332.4987767085331</v>
      </c>
      <c r="F18" t="s">
        <v>526</v>
      </c>
      <c r="H18" s="65">
        <f>CORREL(B4:B33,A4:A33)</f>
        <v>0.58570476090139656</v>
      </c>
      <c r="P18" s="21"/>
      <c r="Q18" s="21"/>
      <c r="T18" s="21"/>
    </row>
    <row r="19" spans="1:20">
      <c r="A19">
        <v>45</v>
      </c>
      <c r="B19" s="161">
        <v>61500</v>
      </c>
      <c r="C19" s="161">
        <f t="shared" si="0"/>
        <v>49136.005545587999</v>
      </c>
      <c r="D19" s="161">
        <f t="shared" si="1"/>
        <v>12363.994454412001</v>
      </c>
    </row>
    <row r="20" spans="1:20">
      <c r="A20">
        <v>43</v>
      </c>
      <c r="B20" s="161">
        <v>37700</v>
      </c>
      <c r="C20" s="161">
        <f t="shared" si="0"/>
        <v>47868.169955961508</v>
      </c>
      <c r="D20" s="161">
        <f t="shared" si="1"/>
        <v>-10168.169955961508</v>
      </c>
    </row>
    <row r="21" spans="1:20">
      <c r="A21">
        <v>36</v>
      </c>
      <c r="B21" s="161">
        <v>36700</v>
      </c>
      <c r="C21" s="161">
        <f t="shared" si="0"/>
        <v>43430.7453922688</v>
      </c>
      <c r="D21" s="161">
        <f t="shared" si="1"/>
        <v>-6730.7453922688001</v>
      </c>
    </row>
    <row r="22" spans="1:20">
      <c r="A22">
        <v>49</v>
      </c>
      <c r="B22" s="161">
        <v>45200</v>
      </c>
      <c r="C22" s="161">
        <f t="shared" si="0"/>
        <v>51671.676724840974</v>
      </c>
      <c r="D22" s="161">
        <f t="shared" si="1"/>
        <v>-6471.6767248409742</v>
      </c>
    </row>
    <row r="23" spans="1:20">
      <c r="A23">
        <v>53</v>
      </c>
      <c r="B23" s="161">
        <v>59000</v>
      </c>
      <c r="C23" s="161">
        <f t="shared" si="0"/>
        <v>54207.347904093949</v>
      </c>
      <c r="D23" s="161">
        <f t="shared" si="1"/>
        <v>4792.6520959060508</v>
      </c>
    </row>
    <row r="24" spans="1:20">
      <c r="A24">
        <v>61</v>
      </c>
      <c r="B24" s="161">
        <v>54300</v>
      </c>
      <c r="C24" s="161">
        <f t="shared" si="0"/>
        <v>59278.690262599906</v>
      </c>
      <c r="D24" s="161">
        <f t="shared" si="1"/>
        <v>-4978.6902625999064</v>
      </c>
    </row>
    <row r="25" spans="1:20">
      <c r="A25">
        <v>62</v>
      </c>
      <c r="B25" s="161">
        <v>62100</v>
      </c>
      <c r="C25" s="161">
        <f t="shared" si="0"/>
        <v>59912.608057413148</v>
      </c>
      <c r="D25" s="161">
        <f t="shared" si="1"/>
        <v>2187.3919425868517</v>
      </c>
      <c r="E25" s="38"/>
    </row>
    <row r="26" spans="1:20">
      <c r="A26">
        <v>59</v>
      </c>
      <c r="B26" s="161">
        <v>78000</v>
      </c>
      <c r="C26" s="161">
        <f t="shared" si="0"/>
        <v>58010.854672973415</v>
      </c>
      <c r="D26" s="161">
        <f t="shared" si="1"/>
        <v>19989.145327026585</v>
      </c>
    </row>
    <row r="27" spans="1:20">
      <c r="A27">
        <v>44</v>
      </c>
      <c r="B27" s="161">
        <v>43200</v>
      </c>
      <c r="C27" s="161">
        <f t="shared" si="0"/>
        <v>48502.08775077475</v>
      </c>
      <c r="D27" s="161">
        <f t="shared" si="1"/>
        <v>-5302.08775077475</v>
      </c>
    </row>
    <row r="28" spans="1:20">
      <c r="A28">
        <v>53</v>
      </c>
      <c r="B28" s="161">
        <v>44500</v>
      </c>
      <c r="C28" s="161">
        <f t="shared" si="0"/>
        <v>54207.347904093949</v>
      </c>
      <c r="D28" s="161">
        <f t="shared" si="1"/>
        <v>-9707.3479040939492</v>
      </c>
    </row>
    <row r="29" spans="1:20">
      <c r="A29">
        <v>55</v>
      </c>
      <c r="B29" s="161">
        <v>43300</v>
      </c>
      <c r="C29" s="161">
        <f t="shared" si="0"/>
        <v>55475.18349372044</v>
      </c>
      <c r="D29" s="161">
        <f t="shared" si="1"/>
        <v>-12175.18349372044</v>
      </c>
    </row>
    <row r="30" spans="1:20">
      <c r="A30">
        <v>66</v>
      </c>
      <c r="B30" s="161">
        <v>45400</v>
      </c>
      <c r="C30" s="161">
        <f t="shared" si="0"/>
        <v>62448.279236666131</v>
      </c>
      <c r="D30" s="161">
        <f t="shared" si="1"/>
        <v>-17048.279236666131</v>
      </c>
    </row>
    <row r="31" spans="1:20">
      <c r="A31">
        <v>36</v>
      </c>
      <c r="B31" s="161">
        <v>53900</v>
      </c>
      <c r="C31" s="161">
        <f t="shared" si="0"/>
        <v>43430.7453922688</v>
      </c>
      <c r="D31" s="161">
        <f t="shared" si="1"/>
        <v>10469.2546077312</v>
      </c>
    </row>
    <row r="32" spans="1:20">
      <c r="A32">
        <v>41</v>
      </c>
      <c r="B32" s="161">
        <v>44100</v>
      </c>
      <c r="C32" s="161">
        <f t="shared" si="0"/>
        <v>46600.334366335024</v>
      </c>
      <c r="D32" s="161">
        <f t="shared" si="1"/>
        <v>-2500.3343663350242</v>
      </c>
    </row>
    <row r="33" spans="1:4">
      <c r="A33">
        <v>28</v>
      </c>
      <c r="B33" s="161">
        <v>31000</v>
      </c>
      <c r="C33" s="161">
        <f t="shared" si="0"/>
        <v>38359.403033762843</v>
      </c>
      <c r="D33" s="161">
        <f t="shared" si="1"/>
        <v>-7359.4030337628428</v>
      </c>
    </row>
  </sheetData>
  <phoneticPr fontId="0" type="noConversion"/>
  <pageMargins left="0.78740157499999996" right="0.78740157499999996" top="0.984251969" bottom="0.984251969" header="0.5" footer="0.5"/>
  <pageSetup scale="75" orientation="portrait" horizontalDpi="300" verticalDpi="300" r:id="rId1"/>
  <headerFooter alignWithMargins="0"/>
  <drawing r:id="rId2"/>
</worksheet>
</file>

<file path=xl/worksheets/sheet28.xml><?xml version="1.0" encoding="utf-8"?>
<worksheet xmlns="http://schemas.openxmlformats.org/spreadsheetml/2006/main" xmlns:r="http://schemas.openxmlformats.org/officeDocument/2006/relationships">
  <dimension ref="A1:M83"/>
  <sheetViews>
    <sheetView workbookViewId="0"/>
  </sheetViews>
  <sheetFormatPr defaultColWidth="11.42578125" defaultRowHeight="12.75"/>
  <cols>
    <col min="1" max="1" width="7.5703125" bestFit="1" customWidth="1"/>
    <col min="2" max="2" width="9" bestFit="1" customWidth="1"/>
    <col min="3" max="3" width="8.140625" bestFit="1" customWidth="1"/>
    <col min="4" max="5" width="11.42578125" customWidth="1"/>
    <col min="6" max="6" width="4.7109375" customWidth="1"/>
    <col min="7" max="7" width="13.7109375" customWidth="1"/>
    <col min="8" max="8" width="10.42578125" customWidth="1"/>
    <col min="9" max="9" width="10.7109375" customWidth="1"/>
    <col min="10" max="10" width="11.140625" customWidth="1"/>
    <col min="11" max="11" width="10.85546875" customWidth="1"/>
    <col min="12" max="12" width="11.28515625" bestFit="1" customWidth="1"/>
    <col min="13" max="13" width="11" bestFit="1" customWidth="1"/>
  </cols>
  <sheetData>
    <row r="1" spans="1:13">
      <c r="A1" s="1" t="s">
        <v>183</v>
      </c>
    </row>
    <row r="3" spans="1:13">
      <c r="A3" s="3" t="s">
        <v>112</v>
      </c>
      <c r="B3" s="3" t="s">
        <v>158</v>
      </c>
      <c r="C3" s="3" t="s">
        <v>159</v>
      </c>
    </row>
    <row r="4" spans="1:13" ht="13.5" thickBot="1">
      <c r="A4" s="8">
        <v>1986.01</v>
      </c>
      <c r="B4">
        <v>618.68200000000002</v>
      </c>
      <c r="C4">
        <v>334.52600000000001</v>
      </c>
      <c r="D4" s="3" t="s">
        <v>160</v>
      </c>
      <c r="E4" s="3" t="s">
        <v>161</v>
      </c>
    </row>
    <row r="5" spans="1:13">
      <c r="A5" s="8">
        <v>1986.02</v>
      </c>
      <c r="B5">
        <v>598.39700000000005</v>
      </c>
      <c r="C5">
        <v>335.7</v>
      </c>
      <c r="D5" s="78">
        <f t="shared" ref="D5:D36" si="0">100*LN(B5/B4)</f>
        <v>-3.3336995574947959</v>
      </c>
      <c r="E5" s="78">
        <f t="shared" ref="E5:E36" si="1">100*LN(C5/C4)</f>
        <v>0.35032994861993522</v>
      </c>
      <c r="G5" s="18" t="s">
        <v>393</v>
      </c>
      <c r="H5" s="18"/>
    </row>
    <row r="6" spans="1:13">
      <c r="A6" s="8">
        <v>1986.03</v>
      </c>
      <c r="B6">
        <v>595.577</v>
      </c>
      <c r="C6">
        <v>343.21100000000001</v>
      </c>
      <c r="D6" s="78">
        <f t="shared" si="0"/>
        <v>-0.47237297356549346</v>
      </c>
      <c r="E6" s="78">
        <f t="shared" si="1"/>
        <v>2.2127514396237982</v>
      </c>
      <c r="G6" s="41" t="s">
        <v>394</v>
      </c>
      <c r="H6" s="42">
        <v>0.83245930334245666</v>
      </c>
    </row>
    <row r="7" spans="1:13">
      <c r="A7" s="8">
        <v>1986.04</v>
      </c>
      <c r="B7">
        <v>616.07100000000003</v>
      </c>
      <c r="C7">
        <v>341.81799999999998</v>
      </c>
      <c r="D7" s="78">
        <f t="shared" si="0"/>
        <v>3.3831533088824313</v>
      </c>
      <c r="E7" s="78">
        <f t="shared" si="1"/>
        <v>-0.40669867116926206</v>
      </c>
      <c r="G7" s="41" t="s">
        <v>395</v>
      </c>
      <c r="H7" s="42">
        <v>0.69298849172140831</v>
      </c>
    </row>
    <row r="8" spans="1:13">
      <c r="A8" s="8">
        <v>1986.05</v>
      </c>
      <c r="B8">
        <v>662.55899999999997</v>
      </c>
      <c r="C8">
        <v>371.66699999999997</v>
      </c>
      <c r="D8" s="78">
        <f t="shared" si="0"/>
        <v>7.274739386696079</v>
      </c>
      <c r="E8" s="78">
        <f t="shared" si="1"/>
        <v>8.37198604161593</v>
      </c>
      <c r="G8" s="41" t="s">
        <v>396</v>
      </c>
      <c r="H8" s="42">
        <v>0.68900132927623181</v>
      </c>
    </row>
    <row r="9" spans="1:13">
      <c r="A9" s="8">
        <v>1986.06</v>
      </c>
      <c r="B9">
        <v>612.70799999999997</v>
      </c>
      <c r="C9">
        <v>358.14299999999997</v>
      </c>
      <c r="D9" s="78">
        <f t="shared" si="0"/>
        <v>-7.8221133891487158</v>
      </c>
      <c r="E9" s="78">
        <f t="shared" si="1"/>
        <v>-3.7065944100666028</v>
      </c>
      <c r="G9" s="41" t="s">
        <v>69</v>
      </c>
      <c r="H9" s="43">
        <v>4.6163774066360714</v>
      </c>
    </row>
    <row r="10" spans="1:13" ht="13.5" thickBot="1">
      <c r="A10" s="8">
        <v>1986.07</v>
      </c>
      <c r="B10">
        <v>608.01300000000003</v>
      </c>
      <c r="C10">
        <v>354.565</v>
      </c>
      <c r="D10" s="78">
        <f t="shared" si="0"/>
        <v>-0.76922132908280183</v>
      </c>
      <c r="E10" s="78">
        <f t="shared" si="1"/>
        <v>-1.004066198103593</v>
      </c>
      <c r="G10" s="17" t="s">
        <v>397</v>
      </c>
      <c r="H10" s="17">
        <v>79</v>
      </c>
    </row>
    <row r="11" spans="1:13" ht="13.5" thickBot="1">
      <c r="A11" s="8">
        <v>1986.08</v>
      </c>
      <c r="B11">
        <v>631.87900000000002</v>
      </c>
      <c r="C11">
        <v>360.2</v>
      </c>
      <c r="D11" s="78">
        <f t="shared" si="0"/>
        <v>3.8501656804141726</v>
      </c>
      <c r="E11" s="78">
        <f t="shared" si="1"/>
        <v>1.5767746736863801</v>
      </c>
    </row>
    <row r="12" spans="1:13" ht="25.5">
      <c r="A12" s="8">
        <v>1986.09</v>
      </c>
      <c r="B12">
        <v>641.92200000000003</v>
      </c>
      <c r="C12">
        <v>359.40899999999999</v>
      </c>
      <c r="D12" s="78">
        <f t="shared" si="0"/>
        <v>1.5768880861029775</v>
      </c>
      <c r="E12" s="78">
        <f t="shared" si="1"/>
        <v>-0.21984169697090647</v>
      </c>
      <c r="G12" s="40"/>
      <c r="H12" s="44" t="s">
        <v>398</v>
      </c>
      <c r="I12" s="23" t="s">
        <v>69</v>
      </c>
      <c r="J12" s="40" t="s">
        <v>399</v>
      </c>
      <c r="K12" s="40" t="s">
        <v>400</v>
      </c>
      <c r="L12" s="40" t="s">
        <v>401</v>
      </c>
      <c r="M12" s="40" t="s">
        <v>402</v>
      </c>
    </row>
    <row r="13" spans="1:13">
      <c r="A13" s="8">
        <v>1986.1</v>
      </c>
      <c r="B13">
        <v>625.12800000000004</v>
      </c>
      <c r="C13">
        <v>358.21699999999998</v>
      </c>
      <c r="D13" s="78">
        <f t="shared" si="0"/>
        <v>-2.651037221395883</v>
      </c>
      <c r="E13" s="78">
        <f t="shared" si="1"/>
        <v>-0.33220677518813635</v>
      </c>
      <c r="G13" s="16" t="s">
        <v>107</v>
      </c>
      <c r="H13" s="42">
        <v>7.640749029152695E-2</v>
      </c>
      <c r="I13" s="43">
        <v>0.51955478733739402</v>
      </c>
      <c r="J13" s="43">
        <v>0.14706339380125591</v>
      </c>
      <c r="K13" s="42">
        <v>0.88346636483383489</v>
      </c>
      <c r="L13" s="42">
        <v>-0.97396216536428082</v>
      </c>
      <c r="M13" s="42">
        <v>0.97649189395172964</v>
      </c>
    </row>
    <row r="14" spans="1:13" ht="13.5" thickBot="1">
      <c r="A14" s="8">
        <v>1986.11</v>
      </c>
      <c r="B14">
        <v>629.60500000000002</v>
      </c>
      <c r="C14">
        <v>356.55</v>
      </c>
      <c r="D14" s="78">
        <f t="shared" si="0"/>
        <v>0.71362098541057406</v>
      </c>
      <c r="E14" s="78">
        <f t="shared" si="1"/>
        <v>-0.4664465545952648</v>
      </c>
      <c r="G14" s="17" t="s">
        <v>160</v>
      </c>
      <c r="H14" s="46">
        <v>0.88323621455533075</v>
      </c>
      <c r="I14" s="45">
        <v>6.6995529134373871E-2</v>
      </c>
      <c r="J14" s="45">
        <v>13.183509794867229</v>
      </c>
      <c r="K14" s="46">
        <v>1.9497221074627992E-21</v>
      </c>
      <c r="L14" s="46">
        <v>0.66609416202153682</v>
      </c>
      <c r="M14" s="46">
        <v>0.90310891253830072</v>
      </c>
    </row>
    <row r="15" spans="1:13">
      <c r="A15" s="8">
        <v>1986.12</v>
      </c>
      <c r="B15">
        <v>633.88900000000001</v>
      </c>
      <c r="C15">
        <v>346.61099999999999</v>
      </c>
      <c r="D15" s="78">
        <f t="shared" si="0"/>
        <v>0.6781221622928939</v>
      </c>
      <c r="E15" s="78">
        <f t="shared" si="1"/>
        <v>-2.8271368823935341</v>
      </c>
    </row>
    <row r="16" spans="1:13" ht="25.5">
      <c r="A16" s="8">
        <v>1987.01</v>
      </c>
      <c r="B16">
        <v>592.78899999999999</v>
      </c>
      <c r="C16">
        <v>343.45</v>
      </c>
      <c r="D16" s="78">
        <f t="shared" si="0"/>
        <v>-6.7035342440464953</v>
      </c>
      <c r="E16" s="78">
        <f t="shared" si="1"/>
        <v>-0.91615729904867294</v>
      </c>
      <c r="H16" s="47" t="s">
        <v>28</v>
      </c>
      <c r="I16" s="48" t="s">
        <v>60</v>
      </c>
    </row>
    <row r="17" spans="1:9">
      <c r="A17" s="8">
        <v>1987.02</v>
      </c>
      <c r="B17">
        <v>541.18600000000004</v>
      </c>
      <c r="C17">
        <v>327.45</v>
      </c>
      <c r="D17" s="78">
        <f t="shared" si="0"/>
        <v>-9.1075490282777665</v>
      </c>
      <c r="E17" s="78">
        <f t="shared" si="1"/>
        <v>-4.770616899582798</v>
      </c>
      <c r="G17" t="str">
        <f>D4</f>
        <v>ATX returns</v>
      </c>
      <c r="H17" s="8">
        <f>AVERAGE(D5:D83)</f>
        <v>0.19938763526938935</v>
      </c>
      <c r="I17" s="21">
        <f>STDEV(D5:D83)</f>
        <v>7.8020402047935287</v>
      </c>
    </row>
    <row r="18" spans="1:9">
      <c r="A18" s="8">
        <v>1987.03</v>
      </c>
      <c r="B18">
        <v>537.54899999999998</v>
      </c>
      <c r="C18">
        <v>318.36399999999998</v>
      </c>
      <c r="D18" s="78">
        <f t="shared" si="0"/>
        <v>-0.67431088840957254</v>
      </c>
      <c r="E18" s="78">
        <f t="shared" si="1"/>
        <v>-2.8139989412833746</v>
      </c>
      <c r="G18" t="str">
        <f>E4</f>
        <v>BA returns</v>
      </c>
      <c r="H18" s="8">
        <f>AVERAGE(E5:E83)</f>
        <v>0.25251387049600132</v>
      </c>
      <c r="I18" s="21">
        <f>STDEV(E5:E83)</f>
        <v>8.277935544262272</v>
      </c>
    </row>
    <row r="19" spans="1:9">
      <c r="A19" s="8">
        <v>1987.04</v>
      </c>
      <c r="B19">
        <v>526.83399999999995</v>
      </c>
      <c r="C19">
        <v>315.3</v>
      </c>
      <c r="D19" s="78">
        <f t="shared" si="0"/>
        <v>-2.0134410228344177</v>
      </c>
      <c r="E19" s="78">
        <f t="shared" si="1"/>
        <v>-0.96708157002136641</v>
      </c>
    </row>
    <row r="20" spans="1:9">
      <c r="A20" s="8">
        <v>1987.05</v>
      </c>
      <c r="B20">
        <v>493.315</v>
      </c>
      <c r="C20">
        <v>296.42099999999999</v>
      </c>
      <c r="D20" s="78">
        <f t="shared" si="0"/>
        <v>-6.5737593171738062</v>
      </c>
      <c r="E20" s="78">
        <f t="shared" si="1"/>
        <v>-6.1743825436411326</v>
      </c>
    </row>
    <row r="21" spans="1:9">
      <c r="A21" s="8">
        <v>1987.06</v>
      </c>
      <c r="B21">
        <v>478.149</v>
      </c>
      <c r="C21">
        <v>290.60000000000002</v>
      </c>
      <c r="D21" s="78">
        <f t="shared" si="0"/>
        <v>-3.1225515837908011</v>
      </c>
      <c r="E21" s="78">
        <f t="shared" si="1"/>
        <v>-1.9832989978421312</v>
      </c>
    </row>
    <row r="22" spans="1:9">
      <c r="A22" s="8">
        <v>1987.07</v>
      </c>
      <c r="B22">
        <v>525.76700000000005</v>
      </c>
      <c r="C22">
        <v>317.69600000000003</v>
      </c>
      <c r="D22" s="78">
        <f t="shared" si="0"/>
        <v>9.4935749420468323</v>
      </c>
      <c r="E22" s="78">
        <f t="shared" si="1"/>
        <v>8.9147199565850048</v>
      </c>
    </row>
    <row r="23" spans="1:9">
      <c r="A23" s="8">
        <v>1987.08</v>
      </c>
      <c r="B23">
        <v>565.03300000000002</v>
      </c>
      <c r="C23">
        <v>323.42899999999997</v>
      </c>
      <c r="D23" s="78">
        <f t="shared" si="0"/>
        <v>7.202598770054089</v>
      </c>
      <c r="E23" s="78">
        <f t="shared" si="1"/>
        <v>1.7884664653188835</v>
      </c>
    </row>
    <row r="24" spans="1:9">
      <c r="A24" s="8">
        <v>1987.09</v>
      </c>
      <c r="B24">
        <v>577.93399999999997</v>
      </c>
      <c r="C24">
        <v>323.77300000000002</v>
      </c>
      <c r="D24" s="78">
        <f t="shared" si="0"/>
        <v>2.2575538780891704</v>
      </c>
      <c r="E24" s="78">
        <f t="shared" si="1"/>
        <v>0.10630376061718455</v>
      </c>
    </row>
    <row r="25" spans="1:9">
      <c r="A25" s="8">
        <v>1987.1</v>
      </c>
      <c r="B25">
        <v>567.13099999999997</v>
      </c>
      <c r="C25">
        <v>326.762</v>
      </c>
      <c r="D25" s="78">
        <f t="shared" si="0"/>
        <v>-1.8869357694986595</v>
      </c>
      <c r="E25" s="78">
        <f t="shared" si="1"/>
        <v>0.91894241937519106</v>
      </c>
    </row>
    <row r="26" spans="1:9">
      <c r="A26" s="8">
        <v>1987.11</v>
      </c>
      <c r="B26">
        <v>476.38</v>
      </c>
      <c r="C26">
        <v>291.61900000000003</v>
      </c>
      <c r="D26" s="78">
        <f t="shared" si="0"/>
        <v>-17.437446253459665</v>
      </c>
      <c r="E26" s="78">
        <f t="shared" si="1"/>
        <v>-11.37839213929731</v>
      </c>
    </row>
    <row r="27" spans="1:9">
      <c r="A27" s="8">
        <v>1987.12</v>
      </c>
      <c r="B27">
        <v>468.024</v>
      </c>
      <c r="C27">
        <v>299.57900000000001</v>
      </c>
      <c r="D27" s="78">
        <f t="shared" si="0"/>
        <v>-1.7696278417719031</v>
      </c>
      <c r="E27" s="78">
        <f t="shared" si="1"/>
        <v>2.6929999966287221</v>
      </c>
    </row>
    <row r="28" spans="1:9">
      <c r="A28" s="8">
        <v>1988.01</v>
      </c>
      <c r="B28">
        <v>454.63600000000002</v>
      </c>
      <c r="C28">
        <v>298.63200000000001</v>
      </c>
      <c r="D28" s="78">
        <f t="shared" si="0"/>
        <v>-2.9022477873868047</v>
      </c>
      <c r="E28" s="78">
        <f t="shared" si="1"/>
        <v>-0.31661095870194789</v>
      </c>
    </row>
    <row r="29" spans="1:9">
      <c r="A29" s="8">
        <v>1988.02</v>
      </c>
      <c r="B29">
        <v>443.49700000000001</v>
      </c>
      <c r="C29">
        <v>292.14299999999997</v>
      </c>
      <c r="D29" s="78">
        <f t="shared" si="0"/>
        <v>-2.4806061427720976</v>
      </c>
      <c r="E29" s="78">
        <f t="shared" si="1"/>
        <v>-2.1968637722415618</v>
      </c>
    </row>
    <row r="30" spans="1:9">
      <c r="A30" s="8">
        <v>1988.03</v>
      </c>
      <c r="B30">
        <v>455.96300000000002</v>
      </c>
      <c r="C30">
        <v>289.13</v>
      </c>
      <c r="D30" s="78">
        <f t="shared" si="0"/>
        <v>2.7720628518992285</v>
      </c>
      <c r="E30" s="78">
        <f t="shared" si="1"/>
        <v>-1.0366994458803147</v>
      </c>
    </row>
    <row r="31" spans="1:9">
      <c r="A31" s="8">
        <v>1988.04</v>
      </c>
      <c r="B31">
        <v>459.52300000000002</v>
      </c>
      <c r="C31">
        <v>292.10500000000002</v>
      </c>
      <c r="D31" s="78">
        <f t="shared" si="0"/>
        <v>0.77773290785731952</v>
      </c>
      <c r="E31" s="78">
        <f t="shared" si="1"/>
        <v>1.0236912712512056</v>
      </c>
    </row>
    <row r="32" spans="1:9">
      <c r="A32" s="8">
        <v>1988.05</v>
      </c>
      <c r="B32">
        <v>459.83699999999999</v>
      </c>
      <c r="C32">
        <v>296.2</v>
      </c>
      <c r="D32" s="78">
        <f t="shared" si="0"/>
        <v>6.8308391100212307E-2</v>
      </c>
      <c r="E32" s="78">
        <f t="shared" si="1"/>
        <v>1.3921575160965207</v>
      </c>
    </row>
    <row r="33" spans="1:5">
      <c r="A33" s="8">
        <v>1988.06</v>
      </c>
      <c r="B33">
        <v>462.14699999999999</v>
      </c>
      <c r="C33">
        <v>295.33300000000003</v>
      </c>
      <c r="D33" s="78">
        <f t="shared" si="0"/>
        <v>0.50109434297930677</v>
      </c>
      <c r="E33" s="78">
        <f t="shared" si="1"/>
        <v>-0.29313685655354921</v>
      </c>
    </row>
    <row r="34" spans="1:5">
      <c r="A34" s="8">
        <v>1988.07</v>
      </c>
      <c r="B34">
        <v>480.44299999999998</v>
      </c>
      <c r="C34">
        <v>300.762</v>
      </c>
      <c r="D34" s="78">
        <f t="shared" si="0"/>
        <v>3.8825572652053379</v>
      </c>
      <c r="E34" s="78">
        <f t="shared" si="1"/>
        <v>1.8215721040008157</v>
      </c>
    </row>
    <row r="35" spans="1:5">
      <c r="A35" s="8">
        <v>1988.08</v>
      </c>
      <c r="B35">
        <v>493.03899999999999</v>
      </c>
      <c r="C35">
        <v>310.90899999999999</v>
      </c>
      <c r="D35" s="78">
        <f t="shared" si="0"/>
        <v>2.5879683476052953</v>
      </c>
      <c r="E35" s="78">
        <f t="shared" si="1"/>
        <v>3.3181010552405574</v>
      </c>
    </row>
    <row r="36" spans="1:5">
      <c r="A36" s="8">
        <v>1988.09</v>
      </c>
      <c r="B36">
        <v>501.46699999999998</v>
      </c>
      <c r="C36">
        <v>315.5</v>
      </c>
      <c r="D36" s="78">
        <f t="shared" si="0"/>
        <v>1.6949524225753951</v>
      </c>
      <c r="E36" s="78">
        <f t="shared" si="1"/>
        <v>1.4658417120691238</v>
      </c>
    </row>
    <row r="37" spans="1:5">
      <c r="A37" s="8">
        <v>1988.1</v>
      </c>
      <c r="B37">
        <v>523.64300000000003</v>
      </c>
      <c r="C37">
        <v>319.2</v>
      </c>
      <c r="D37" s="78">
        <f t="shared" ref="D37:D68" si="2">100*LN(B37/B36)</f>
        <v>4.3272351777686673</v>
      </c>
      <c r="E37" s="78">
        <f t="shared" ref="E37:E68" si="3">100*LN(C37/C36)</f>
        <v>1.1659183594385918</v>
      </c>
    </row>
    <row r="38" spans="1:5">
      <c r="A38" s="8">
        <v>1988.11</v>
      </c>
      <c r="B38">
        <v>541.39499999999998</v>
      </c>
      <c r="C38">
        <v>316.57100000000003</v>
      </c>
      <c r="D38" s="78">
        <f t="shared" si="2"/>
        <v>3.3338987399339173</v>
      </c>
      <c r="E38" s="78">
        <f t="shared" si="3"/>
        <v>-0.82703205553225667</v>
      </c>
    </row>
    <row r="39" spans="1:5">
      <c r="A39" s="8">
        <v>1988.12</v>
      </c>
      <c r="B39">
        <v>537.06700000000001</v>
      </c>
      <c r="C39">
        <v>318.89499999999998</v>
      </c>
      <c r="D39" s="78">
        <f t="shared" si="2"/>
        <v>-0.80262878702995299</v>
      </c>
      <c r="E39" s="78">
        <f t="shared" si="3"/>
        <v>0.73143499765599729</v>
      </c>
    </row>
    <row r="40" spans="1:5">
      <c r="A40" s="8">
        <v>1989.01</v>
      </c>
      <c r="B40">
        <v>552.15</v>
      </c>
      <c r="C40">
        <v>310.57100000000003</v>
      </c>
      <c r="D40" s="78">
        <f t="shared" si="2"/>
        <v>2.7696894541732102</v>
      </c>
      <c r="E40" s="78">
        <f t="shared" si="3"/>
        <v>-2.6449356316803807</v>
      </c>
    </row>
    <row r="41" spans="1:5">
      <c r="A41" s="8">
        <v>1989.02</v>
      </c>
      <c r="B41">
        <v>579.05799999999999</v>
      </c>
      <c r="C41">
        <v>299.89999999999998</v>
      </c>
      <c r="D41" s="78">
        <f t="shared" si="2"/>
        <v>4.7582896774476167</v>
      </c>
      <c r="E41" s="78">
        <f t="shared" si="3"/>
        <v>-3.4963452925123875</v>
      </c>
    </row>
    <row r="42" spans="1:5">
      <c r="A42" s="8">
        <v>1989.03</v>
      </c>
      <c r="B42">
        <v>628.774</v>
      </c>
      <c r="C42">
        <v>318.286</v>
      </c>
      <c r="D42" s="78">
        <f t="shared" si="2"/>
        <v>8.2369246391995059</v>
      </c>
      <c r="E42" s="78">
        <f t="shared" si="3"/>
        <v>5.9501263902563277</v>
      </c>
    </row>
    <row r="43" spans="1:5">
      <c r="A43" s="8">
        <v>1989.04</v>
      </c>
      <c r="B43">
        <v>744.875</v>
      </c>
      <c r="C43">
        <v>388.55</v>
      </c>
      <c r="D43" s="78">
        <f t="shared" si="2"/>
        <v>16.944452740753196</v>
      </c>
      <c r="E43" s="78">
        <f t="shared" si="3"/>
        <v>19.947151199772463</v>
      </c>
    </row>
    <row r="44" spans="1:5">
      <c r="A44" s="8">
        <v>1989.05</v>
      </c>
      <c r="B44">
        <v>785.12099999999998</v>
      </c>
      <c r="C44">
        <v>388.84199999999998</v>
      </c>
      <c r="D44" s="78">
        <f t="shared" si="2"/>
        <v>5.2621426964285032</v>
      </c>
      <c r="E44" s="78">
        <f t="shared" si="3"/>
        <v>7.5122978814396654E-2</v>
      </c>
    </row>
    <row r="45" spans="1:5">
      <c r="A45" s="8">
        <v>1989.06</v>
      </c>
      <c r="B45">
        <v>854.32899999999995</v>
      </c>
      <c r="C45">
        <v>386.63600000000002</v>
      </c>
      <c r="D45" s="78">
        <f t="shared" si="2"/>
        <v>8.4478519470631941</v>
      </c>
      <c r="E45" s="78">
        <f t="shared" si="3"/>
        <v>-0.56894095011537238</v>
      </c>
    </row>
    <row r="46" spans="1:5">
      <c r="A46" s="8">
        <v>1989.07</v>
      </c>
      <c r="B46">
        <v>836.41700000000003</v>
      </c>
      <c r="C46">
        <v>369.238</v>
      </c>
      <c r="D46" s="78">
        <f t="shared" si="2"/>
        <v>-2.1189072950883512</v>
      </c>
      <c r="E46" s="78">
        <f t="shared" si="3"/>
        <v>-4.604225936621348</v>
      </c>
    </row>
    <row r="47" spans="1:5">
      <c r="A47" s="8">
        <v>1989.08</v>
      </c>
      <c r="B47">
        <v>955.14099999999996</v>
      </c>
      <c r="C47">
        <v>440.31799999999998</v>
      </c>
      <c r="D47" s="78">
        <f t="shared" si="2"/>
        <v>13.27316810103118</v>
      </c>
      <c r="E47" s="78">
        <f t="shared" si="3"/>
        <v>17.605577056741783</v>
      </c>
    </row>
    <row r="48" spans="1:5">
      <c r="A48" s="8">
        <v>1989.09</v>
      </c>
      <c r="B48">
        <v>1056.3720000000001</v>
      </c>
      <c r="C48">
        <v>489.85700000000003</v>
      </c>
      <c r="D48" s="78">
        <f t="shared" si="2"/>
        <v>10.073670139852215</v>
      </c>
      <c r="E48" s="78">
        <f t="shared" si="3"/>
        <v>10.661631863390603</v>
      </c>
    </row>
    <row r="49" spans="1:5">
      <c r="A49" s="8">
        <v>1989.1</v>
      </c>
      <c r="B49">
        <v>1131.4829999999999</v>
      </c>
      <c r="C49">
        <v>474.048</v>
      </c>
      <c r="D49" s="78">
        <f t="shared" si="2"/>
        <v>6.8688765696694496</v>
      </c>
      <c r="E49" s="78">
        <f t="shared" si="3"/>
        <v>-3.2804929386527695</v>
      </c>
    </row>
    <row r="50" spans="1:5">
      <c r="A50" s="8">
        <v>1989.11</v>
      </c>
      <c r="B50">
        <v>968.32</v>
      </c>
      <c r="C50">
        <v>386.286</v>
      </c>
      <c r="D50" s="78">
        <f t="shared" si="2"/>
        <v>-15.572182949676829</v>
      </c>
      <c r="E50" s="78">
        <f t="shared" si="3"/>
        <v>-20.473055463858579</v>
      </c>
    </row>
    <row r="51" spans="1:5">
      <c r="A51" s="8">
        <v>1989.12</v>
      </c>
      <c r="B51">
        <v>1089.3140000000001</v>
      </c>
      <c r="C51">
        <v>429.58800000000002</v>
      </c>
      <c r="D51" s="78">
        <f t="shared" si="2"/>
        <v>11.774080813633518</v>
      </c>
      <c r="E51" s="78">
        <f t="shared" si="3"/>
        <v>10.624858209139045</v>
      </c>
    </row>
    <row r="52" spans="1:5">
      <c r="A52" s="8">
        <v>1990.01</v>
      </c>
      <c r="B52">
        <v>1335.7619999999999</v>
      </c>
      <c r="C52">
        <v>533.68200000000002</v>
      </c>
      <c r="D52" s="78">
        <f t="shared" si="2"/>
        <v>20.395377521826855</v>
      </c>
      <c r="E52" s="78">
        <f t="shared" si="3"/>
        <v>21.697354611469255</v>
      </c>
    </row>
    <row r="53" spans="1:5">
      <c r="A53" s="8">
        <v>1990.02</v>
      </c>
      <c r="B53">
        <v>1524.7550000000001</v>
      </c>
      <c r="C53">
        <v>674.5</v>
      </c>
      <c r="D53" s="78">
        <f t="shared" si="2"/>
        <v>13.233182588275143</v>
      </c>
      <c r="E53" s="78">
        <f t="shared" si="3"/>
        <v>23.417151968948939</v>
      </c>
    </row>
    <row r="54" spans="1:5">
      <c r="A54" s="8">
        <v>1990.03</v>
      </c>
      <c r="B54">
        <v>1657.79</v>
      </c>
      <c r="C54">
        <v>814.68200000000002</v>
      </c>
      <c r="D54" s="78">
        <f t="shared" si="2"/>
        <v>8.3651648651218249</v>
      </c>
      <c r="E54" s="78">
        <f t="shared" si="3"/>
        <v>18.882617740236952</v>
      </c>
    </row>
    <row r="55" spans="1:5">
      <c r="A55" s="8">
        <v>1990.04</v>
      </c>
      <c r="B55">
        <v>1599.7929999999999</v>
      </c>
      <c r="C55">
        <v>795.78899999999999</v>
      </c>
      <c r="D55" s="78">
        <f t="shared" si="2"/>
        <v>-3.5611144190304747</v>
      </c>
      <c r="E55" s="78">
        <f t="shared" si="3"/>
        <v>-2.3463777721369006</v>
      </c>
    </row>
    <row r="56" spans="1:5">
      <c r="A56" s="8">
        <v>1990.05</v>
      </c>
      <c r="B56">
        <v>1437.1510000000001</v>
      </c>
      <c r="C56">
        <v>764.09500000000003</v>
      </c>
      <c r="D56" s="78">
        <f t="shared" si="2"/>
        <v>-10.721156427186401</v>
      </c>
      <c r="E56" s="78">
        <f t="shared" si="3"/>
        <v>-4.0641948342819392</v>
      </c>
    </row>
    <row r="57" spans="1:5">
      <c r="A57" s="8">
        <v>1990.06</v>
      </c>
      <c r="B57">
        <v>1404.748</v>
      </c>
      <c r="C57">
        <v>717.10500000000002</v>
      </c>
      <c r="D57" s="78">
        <f t="shared" si="2"/>
        <v>-2.2804754335926378</v>
      </c>
      <c r="E57" s="78">
        <f t="shared" si="3"/>
        <v>-6.3469853593531713</v>
      </c>
    </row>
    <row r="58" spans="1:5">
      <c r="A58" s="8">
        <v>1990.07</v>
      </c>
      <c r="B58">
        <v>1563.6410000000001</v>
      </c>
      <c r="C58">
        <v>723.36400000000003</v>
      </c>
      <c r="D58" s="78">
        <f t="shared" si="2"/>
        <v>10.715914886464216</v>
      </c>
      <c r="E58" s="78">
        <f t="shared" si="3"/>
        <v>0.86902798886012644</v>
      </c>
    </row>
    <row r="59" spans="1:5">
      <c r="A59" s="8">
        <v>1990.08</v>
      </c>
      <c r="B59">
        <v>1312.3989999999999</v>
      </c>
      <c r="C59">
        <v>634.27300000000002</v>
      </c>
      <c r="D59" s="78">
        <f t="shared" si="2"/>
        <v>-17.5160315991217</v>
      </c>
      <c r="E59" s="78">
        <f t="shared" si="3"/>
        <v>-13.143309215605385</v>
      </c>
    </row>
    <row r="60" spans="1:5">
      <c r="A60" s="8">
        <v>1990.09</v>
      </c>
      <c r="B60">
        <v>1124.24</v>
      </c>
      <c r="C60">
        <v>508.35</v>
      </c>
      <c r="D60" s="78">
        <f t="shared" si="2"/>
        <v>-15.474950833135043</v>
      </c>
      <c r="E60" s="78">
        <f t="shared" si="3"/>
        <v>-22.130927440383751</v>
      </c>
    </row>
    <row r="61" spans="1:5">
      <c r="A61" s="8">
        <v>1990.1</v>
      </c>
      <c r="B61">
        <v>1070.2249999999999</v>
      </c>
      <c r="C61">
        <v>453.77300000000002</v>
      </c>
      <c r="D61" s="78">
        <f t="shared" si="2"/>
        <v>-4.9238345068524936</v>
      </c>
      <c r="E61" s="78">
        <f t="shared" si="3"/>
        <v>-11.357311372150432</v>
      </c>
    </row>
    <row r="62" spans="1:5">
      <c r="A62" s="8">
        <v>1990.11</v>
      </c>
      <c r="B62">
        <v>1053.98</v>
      </c>
      <c r="C62">
        <v>446.14299999999997</v>
      </c>
      <c r="D62" s="78">
        <f t="shared" si="2"/>
        <v>-1.529543213475919</v>
      </c>
      <c r="E62" s="78">
        <f t="shared" si="3"/>
        <v>-1.6957544567020695</v>
      </c>
    </row>
    <row r="63" spans="1:5">
      <c r="A63" s="8">
        <v>1990.12</v>
      </c>
      <c r="B63">
        <v>1091.7439999999999</v>
      </c>
      <c r="C63">
        <v>485.23500000000001</v>
      </c>
      <c r="D63" s="78">
        <f t="shared" si="2"/>
        <v>3.5202942997680924</v>
      </c>
      <c r="E63" s="78">
        <f t="shared" si="3"/>
        <v>8.3993781237609983</v>
      </c>
    </row>
    <row r="64" spans="1:5">
      <c r="A64" s="8">
        <v>1991.01</v>
      </c>
      <c r="B64">
        <v>976.60299999999995</v>
      </c>
      <c r="C64">
        <v>426.54500000000002</v>
      </c>
      <c r="D64" s="78">
        <f t="shared" si="2"/>
        <v>-11.145147308200492</v>
      </c>
      <c r="E64" s="78">
        <f t="shared" si="3"/>
        <v>-12.891543833947608</v>
      </c>
    </row>
    <row r="65" spans="1:5">
      <c r="A65" s="8">
        <v>1991.02</v>
      </c>
      <c r="B65">
        <v>1101.2190000000001</v>
      </c>
      <c r="C65">
        <v>476.8</v>
      </c>
      <c r="D65" s="78">
        <f t="shared" si="2"/>
        <v>12.009280351955507</v>
      </c>
      <c r="E65" s="78">
        <f t="shared" si="3"/>
        <v>11.137924442036098</v>
      </c>
    </row>
    <row r="66" spans="1:5">
      <c r="A66" s="8">
        <v>1991.03</v>
      </c>
      <c r="B66">
        <v>1179.106</v>
      </c>
      <c r="C66">
        <v>552.20000000000005</v>
      </c>
      <c r="D66" s="78">
        <f t="shared" si="2"/>
        <v>6.8338776172163023</v>
      </c>
      <c r="E66" s="78">
        <f t="shared" si="3"/>
        <v>14.681318374491415</v>
      </c>
    </row>
    <row r="67" spans="1:5">
      <c r="A67" s="8">
        <v>1991.04</v>
      </c>
      <c r="B67">
        <v>1232.7180000000001</v>
      </c>
      <c r="C67">
        <v>566.38099999999997</v>
      </c>
      <c r="D67" s="78">
        <f t="shared" si="2"/>
        <v>4.4464963347231565</v>
      </c>
      <c r="E67" s="78">
        <f t="shared" si="3"/>
        <v>2.5356697123062943</v>
      </c>
    </row>
    <row r="68" spans="1:5">
      <c r="A68" s="8">
        <v>1991.05</v>
      </c>
      <c r="B68">
        <v>1186.2370000000001</v>
      </c>
      <c r="C68">
        <v>580.42100000000005</v>
      </c>
      <c r="D68" s="78">
        <f t="shared" si="2"/>
        <v>-3.8435375583852029</v>
      </c>
      <c r="E68" s="78">
        <f t="shared" si="3"/>
        <v>2.4486705679852299</v>
      </c>
    </row>
    <row r="69" spans="1:5">
      <c r="A69" s="8">
        <v>1991.06</v>
      </c>
      <c r="B69">
        <v>1196.402</v>
      </c>
      <c r="C69">
        <v>602.29999999999995</v>
      </c>
      <c r="D69" s="78">
        <f t="shared" ref="D69:D83" si="4">100*LN(B69/B68)</f>
        <v>0.85326074761286164</v>
      </c>
      <c r="E69" s="78">
        <f t="shared" ref="E69:E83" si="5">100*LN(C69/C68)</f>
        <v>3.7001957750705894</v>
      </c>
    </row>
    <row r="70" spans="1:5">
      <c r="A70" s="8">
        <v>1991.07</v>
      </c>
      <c r="B70">
        <v>1124.145</v>
      </c>
      <c r="C70">
        <v>569.87</v>
      </c>
      <c r="D70" s="78">
        <f t="shared" si="4"/>
        <v>-6.2295972743995822</v>
      </c>
      <c r="E70" s="78">
        <f t="shared" si="5"/>
        <v>-5.5347395408475633</v>
      </c>
    </row>
    <row r="71" spans="1:5">
      <c r="A71" s="8">
        <v>1991.08</v>
      </c>
      <c r="B71">
        <v>1080.5909999999999</v>
      </c>
      <c r="C71">
        <v>530.57100000000003</v>
      </c>
      <c r="D71" s="78">
        <f t="shared" si="4"/>
        <v>-3.9514633023104579</v>
      </c>
      <c r="E71" s="78">
        <f t="shared" si="5"/>
        <v>-7.1454479538630711</v>
      </c>
    </row>
    <row r="72" spans="1:5">
      <c r="A72" s="8">
        <v>1991.09</v>
      </c>
      <c r="B72">
        <v>1114.296</v>
      </c>
      <c r="C72">
        <v>559.476</v>
      </c>
      <c r="D72" s="78">
        <f t="shared" si="4"/>
        <v>3.0714701679990295</v>
      </c>
      <c r="E72" s="78">
        <f t="shared" si="5"/>
        <v>5.3046846287015867</v>
      </c>
    </row>
    <row r="73" spans="1:5">
      <c r="A73" s="8">
        <v>1991.1</v>
      </c>
      <c r="B73">
        <v>1010.663</v>
      </c>
      <c r="C73">
        <v>487.73899999999998</v>
      </c>
      <c r="D73" s="78">
        <f t="shared" si="4"/>
        <v>-9.7616264229763541</v>
      </c>
      <c r="E73" s="78">
        <f t="shared" si="5"/>
        <v>-13.722020467783706</v>
      </c>
    </row>
    <row r="74" spans="1:5">
      <c r="A74" s="8">
        <v>1991.11</v>
      </c>
      <c r="B74">
        <v>987.26800000000003</v>
      </c>
      <c r="C74">
        <v>442.5</v>
      </c>
      <c r="D74" s="78">
        <f t="shared" si="4"/>
        <v>-2.3420297654769424</v>
      </c>
      <c r="E74" s="78">
        <f t="shared" si="5"/>
        <v>-9.7339962263763624</v>
      </c>
    </row>
    <row r="75" spans="1:5">
      <c r="A75" s="8">
        <v>1991.12</v>
      </c>
      <c r="B75">
        <v>924.48900000000003</v>
      </c>
      <c r="C75">
        <v>475.27800000000002</v>
      </c>
      <c r="D75" s="78">
        <f t="shared" si="4"/>
        <v>-6.5700380031488521</v>
      </c>
      <c r="E75" s="78">
        <f t="shared" si="5"/>
        <v>7.1459431544864476</v>
      </c>
    </row>
    <row r="76" spans="1:5">
      <c r="A76" s="8">
        <v>1992.01</v>
      </c>
      <c r="B76">
        <v>950.92399999999998</v>
      </c>
      <c r="C76">
        <v>490</v>
      </c>
      <c r="D76" s="78">
        <f t="shared" si="4"/>
        <v>2.8192991040947315</v>
      </c>
      <c r="E76" s="78">
        <f t="shared" si="5"/>
        <v>3.0505495111823713</v>
      </c>
    </row>
    <row r="77" spans="1:5">
      <c r="A77" s="8">
        <v>1992.02</v>
      </c>
      <c r="B77">
        <v>1058.6220000000001</v>
      </c>
      <c r="C77">
        <v>523.65</v>
      </c>
      <c r="D77" s="78">
        <f t="shared" si="4"/>
        <v>10.72891978991415</v>
      </c>
      <c r="E77" s="78">
        <f t="shared" si="5"/>
        <v>6.6418131114482426</v>
      </c>
    </row>
    <row r="78" spans="1:5">
      <c r="A78" s="8">
        <v>1992.03</v>
      </c>
      <c r="B78">
        <v>1043.5139999999999</v>
      </c>
      <c r="C78">
        <v>507.95499999999998</v>
      </c>
      <c r="D78" s="78">
        <f t="shared" si="4"/>
        <v>-1.4374198558649771</v>
      </c>
      <c r="E78" s="78">
        <f t="shared" si="5"/>
        <v>-3.0430661241515291</v>
      </c>
    </row>
    <row r="79" spans="1:5">
      <c r="A79" s="8">
        <v>1992.04</v>
      </c>
      <c r="B79">
        <v>979.36</v>
      </c>
      <c r="C79">
        <v>494.1</v>
      </c>
      <c r="D79" s="78">
        <f t="shared" si="4"/>
        <v>-6.3449845711655257</v>
      </c>
      <c r="E79" s="78">
        <f t="shared" si="5"/>
        <v>-2.7654935125935096</v>
      </c>
    </row>
    <row r="80" spans="1:5">
      <c r="A80" s="8">
        <v>1992.05</v>
      </c>
      <c r="B80">
        <v>972.52599999999995</v>
      </c>
      <c r="C80">
        <v>482.21100000000001</v>
      </c>
      <c r="D80" s="78">
        <f t="shared" si="4"/>
        <v>-0.70024867490290332</v>
      </c>
      <c r="E80" s="78">
        <f t="shared" si="5"/>
        <v>-2.435614825366871</v>
      </c>
    </row>
    <row r="81" spans="1:5">
      <c r="A81" s="8">
        <v>1992.06</v>
      </c>
      <c r="B81">
        <v>978.27499999999998</v>
      </c>
      <c r="C81">
        <v>479.4</v>
      </c>
      <c r="D81" s="78">
        <f t="shared" si="4"/>
        <v>0.58940062497554535</v>
      </c>
      <c r="E81" s="78">
        <f t="shared" si="5"/>
        <v>-0.58464555977517618</v>
      </c>
    </row>
    <row r="82" spans="1:5">
      <c r="A82" s="8">
        <v>1992.07</v>
      </c>
      <c r="B82">
        <v>849.39400000000001</v>
      </c>
      <c r="C82">
        <v>439.30399999999997</v>
      </c>
      <c r="D82" s="78">
        <f t="shared" si="4"/>
        <v>-14.126766255901227</v>
      </c>
      <c r="E82" s="78">
        <f t="shared" si="5"/>
        <v>-8.7343665665057433</v>
      </c>
    </row>
    <row r="83" spans="1:5">
      <c r="A83" s="8">
        <v>1992.08</v>
      </c>
      <c r="B83">
        <v>724.22900000000004</v>
      </c>
      <c r="C83">
        <v>408.38099999999997</v>
      </c>
      <c r="D83" s="78">
        <f t="shared" si="4"/>
        <v>-15.941551332799136</v>
      </c>
      <c r="E83" s="78">
        <f t="shared" si="5"/>
        <v>-7.2991094143595534</v>
      </c>
    </row>
  </sheetData>
  <phoneticPr fontId="11" type="noConversion"/>
  <printOptions gridLines="1" gridLinesSet="0"/>
  <pageMargins left="0.78740157499999996" right="0.78740157499999996" top="0.984251969" bottom="0.984251969" header="0.4921259845" footer="0.4921259845"/>
  <pageSetup paperSize="9" orientation="portrait" horizontalDpi="300" verticalDpi="300" r:id="rId1"/>
  <headerFooter alignWithMargins="0">
    <oddHeader>&amp;A</oddHeader>
    <oddFooter>Seite &amp;P</oddFooter>
  </headerFooter>
  <drawing r:id="rId2"/>
</worksheet>
</file>

<file path=xl/worksheets/sheet29.xml><?xml version="1.0" encoding="utf-8"?>
<worksheet xmlns="http://schemas.openxmlformats.org/spreadsheetml/2006/main" xmlns:r="http://schemas.openxmlformats.org/officeDocument/2006/relationships">
  <sheetPr>
    <pageSetUpPr fitToPage="1"/>
  </sheetPr>
  <dimension ref="A1:U46"/>
  <sheetViews>
    <sheetView workbookViewId="0"/>
  </sheetViews>
  <sheetFormatPr defaultColWidth="9.140625" defaultRowHeight="12.75"/>
  <cols>
    <col min="1" max="3" width="8.7109375" customWidth="1"/>
    <col min="4" max="4" width="9.5703125" customWidth="1"/>
    <col min="5" max="5" width="8.7109375" customWidth="1"/>
    <col min="6" max="6" width="4.7109375" customWidth="1"/>
    <col min="7" max="7" width="13.5703125" customWidth="1"/>
    <col min="8" max="8" width="11.28515625" customWidth="1"/>
    <col min="9" max="10" width="11.42578125" customWidth="1"/>
    <col min="11" max="11" width="9.7109375" customWidth="1"/>
    <col min="12" max="12" width="11.28515625" bestFit="1" customWidth="1"/>
    <col min="13" max="13" width="11" bestFit="1" customWidth="1"/>
  </cols>
  <sheetData>
    <row r="1" spans="1:21">
      <c r="A1" s="1" t="s">
        <v>403</v>
      </c>
    </row>
    <row r="3" spans="1:21" ht="26.25" thickBot="1">
      <c r="A3" s="3" t="s">
        <v>343</v>
      </c>
      <c r="B3" s="3" t="s">
        <v>404</v>
      </c>
      <c r="C3" s="3" t="s">
        <v>347</v>
      </c>
      <c r="D3" s="13" t="s">
        <v>391</v>
      </c>
      <c r="E3" s="13" t="s">
        <v>392</v>
      </c>
    </row>
    <row r="4" spans="1:21">
      <c r="A4">
        <v>58</v>
      </c>
      <c r="B4">
        <v>14</v>
      </c>
      <c r="C4" s="161">
        <v>65400</v>
      </c>
      <c r="D4" s="161">
        <f t="shared" ref="D4:D33" si="0">$H$12+$H$13*A4+$H$14*B4</f>
        <v>60597.277502637582</v>
      </c>
      <c r="E4" s="161">
        <f t="shared" ref="E4:E33" si="1">C4-D4</f>
        <v>4802.7224973624179</v>
      </c>
      <c r="G4" s="18" t="s">
        <v>393</v>
      </c>
      <c r="H4" s="18"/>
    </row>
    <row r="5" spans="1:21">
      <c r="A5">
        <v>48</v>
      </c>
      <c r="B5">
        <v>16</v>
      </c>
      <c r="C5" s="161">
        <v>62000</v>
      </c>
      <c r="D5" s="161">
        <f t="shared" si="0"/>
        <v>56367.4240402617</v>
      </c>
      <c r="E5" s="161">
        <f t="shared" si="1"/>
        <v>5632.5759597383003</v>
      </c>
      <c r="G5" s="41" t="s">
        <v>394</v>
      </c>
      <c r="H5" s="43">
        <v>0.72926093428585825</v>
      </c>
      <c r="R5" s="3"/>
      <c r="S5" s="3"/>
      <c r="T5" s="3"/>
      <c r="U5" s="3"/>
    </row>
    <row r="6" spans="1:21">
      <c r="A6">
        <v>58</v>
      </c>
      <c r="B6">
        <v>18</v>
      </c>
      <c r="C6" s="161">
        <v>63200</v>
      </c>
      <c r="D6" s="161">
        <f t="shared" si="0"/>
        <v>66599.548693272998</v>
      </c>
      <c r="E6" s="161">
        <f t="shared" si="1"/>
        <v>-3399.5486932729982</v>
      </c>
      <c r="G6" s="41" t="s">
        <v>395</v>
      </c>
      <c r="H6" s="43">
        <v>0.53182151027548286</v>
      </c>
      <c r="P6" s="3"/>
      <c r="Q6" s="3"/>
      <c r="U6" s="21"/>
    </row>
    <row r="7" spans="1:21" ht="25.5">
      <c r="A7">
        <v>56</v>
      </c>
      <c r="B7">
        <v>8</v>
      </c>
      <c r="C7" s="161">
        <v>52000</v>
      </c>
      <c r="D7" s="161">
        <f t="shared" si="0"/>
        <v>50147.672905145744</v>
      </c>
      <c r="E7" s="161">
        <f t="shared" si="1"/>
        <v>1852.3270948542558</v>
      </c>
      <c r="G7" s="41" t="s">
        <v>396</v>
      </c>
      <c r="H7" s="43">
        <v>0.49714162214774082</v>
      </c>
      <c r="U7" s="21"/>
    </row>
    <row r="8" spans="1:21">
      <c r="A8">
        <v>68</v>
      </c>
      <c r="B8">
        <v>14</v>
      </c>
      <c r="C8" s="161">
        <v>81400</v>
      </c>
      <c r="D8" s="161">
        <f t="shared" si="0"/>
        <v>67828.266560331176</v>
      </c>
      <c r="E8" s="161">
        <f t="shared" si="1"/>
        <v>13571.733439668824</v>
      </c>
      <c r="G8" s="41" t="s">
        <v>69</v>
      </c>
      <c r="H8" s="162">
        <v>8149.7269257973894</v>
      </c>
      <c r="U8" s="21"/>
    </row>
    <row r="9" spans="1:21" ht="13.5" thickBot="1">
      <c r="A9">
        <v>60</v>
      </c>
      <c r="B9">
        <v>9</v>
      </c>
      <c r="C9" s="161">
        <v>46300</v>
      </c>
      <c r="D9" s="161">
        <f t="shared" si="0"/>
        <v>54540.636325882042</v>
      </c>
      <c r="E9" s="161">
        <f t="shared" si="1"/>
        <v>-8240.636325882042</v>
      </c>
      <c r="G9" s="17" t="s">
        <v>397</v>
      </c>
      <c r="H9" s="17">
        <v>30</v>
      </c>
      <c r="U9" s="21"/>
    </row>
    <row r="10" spans="1:21" ht="13.5" thickBot="1">
      <c r="A10">
        <v>28</v>
      </c>
      <c r="B10">
        <v>17</v>
      </c>
      <c r="C10" s="161">
        <v>49600</v>
      </c>
      <c r="D10" s="161">
        <f t="shared" si="0"/>
        <v>43406.01372253336</v>
      </c>
      <c r="E10" s="161">
        <f t="shared" si="1"/>
        <v>6193.9862774666399</v>
      </c>
      <c r="U10" s="21"/>
    </row>
    <row r="11" spans="1:21" ht="25.5">
      <c r="A11">
        <v>48</v>
      </c>
      <c r="B11">
        <v>14</v>
      </c>
      <c r="C11" s="161">
        <v>45900</v>
      </c>
      <c r="D11" s="161">
        <f t="shared" si="0"/>
        <v>53366.288444943988</v>
      </c>
      <c r="E11" s="161">
        <f t="shared" si="1"/>
        <v>-7466.288444943988</v>
      </c>
      <c r="G11" s="40"/>
      <c r="H11" s="44" t="s">
        <v>398</v>
      </c>
      <c r="I11" s="23" t="s">
        <v>69</v>
      </c>
      <c r="J11" s="40" t="s">
        <v>399</v>
      </c>
      <c r="K11" s="40" t="s">
        <v>400</v>
      </c>
      <c r="L11" s="40" t="s">
        <v>401</v>
      </c>
      <c r="M11" s="40" t="s">
        <v>402</v>
      </c>
      <c r="U11" s="21"/>
    </row>
    <row r="12" spans="1:21">
      <c r="A12">
        <v>53</v>
      </c>
      <c r="B12">
        <v>8</v>
      </c>
      <c r="C12" s="161">
        <v>47700</v>
      </c>
      <c r="D12" s="161">
        <f t="shared" si="0"/>
        <v>47978.376187837668</v>
      </c>
      <c r="E12" s="161">
        <f t="shared" si="1"/>
        <v>-278.37618783766811</v>
      </c>
      <c r="G12" s="16" t="s">
        <v>107</v>
      </c>
      <c r="H12" s="162">
        <v>-2350.4081992092028</v>
      </c>
      <c r="I12" s="162">
        <v>10063.939082981738</v>
      </c>
      <c r="J12" s="43">
        <v>-0.23354753837727177</v>
      </c>
      <c r="K12" s="42">
        <v>0.81709793504176909</v>
      </c>
      <c r="L12" s="162">
        <v>-22999.891694460712</v>
      </c>
      <c r="M12" s="162">
        <v>18299.075296042305</v>
      </c>
      <c r="U12" s="21"/>
    </row>
    <row r="13" spans="1:21">
      <c r="A13">
        <v>61</v>
      </c>
      <c r="B13">
        <v>15</v>
      </c>
      <c r="C13" s="161">
        <v>59900</v>
      </c>
      <c r="D13" s="161">
        <f t="shared" si="0"/>
        <v>64267.142017604521</v>
      </c>
      <c r="E13" s="161">
        <f t="shared" si="1"/>
        <v>-4367.1420176045212</v>
      </c>
      <c r="G13" s="16" t="s">
        <v>343</v>
      </c>
      <c r="H13" s="162">
        <v>723.09890576935936</v>
      </c>
      <c r="I13" s="162">
        <v>145.0610916294535</v>
      </c>
      <c r="J13" s="43">
        <v>4.9847888061979804</v>
      </c>
      <c r="K13" s="42">
        <v>3.1726379973623211E-5</v>
      </c>
      <c r="L13" s="162">
        <v>425.4583305724276</v>
      </c>
      <c r="M13" s="162">
        <v>1020.7394809662911</v>
      </c>
      <c r="U13" s="21"/>
    </row>
    <row r="14" spans="1:21" ht="13.5" thickBot="1">
      <c r="A14">
        <v>36</v>
      </c>
      <c r="B14">
        <v>10</v>
      </c>
      <c r="C14" s="161">
        <v>48100</v>
      </c>
      <c r="D14" s="161">
        <f t="shared" si="0"/>
        <v>38686.830385076268</v>
      </c>
      <c r="E14" s="161">
        <f t="shared" si="1"/>
        <v>9413.1696149237323</v>
      </c>
      <c r="G14" s="27" t="s">
        <v>404</v>
      </c>
      <c r="H14" s="163">
        <v>1500.5677976588534</v>
      </c>
      <c r="I14" s="163">
        <v>454.79043281144368</v>
      </c>
      <c r="J14" s="45">
        <v>3.2994708977991838</v>
      </c>
      <c r="K14" s="46">
        <v>2.7243438358709811E-3</v>
      </c>
      <c r="L14" s="163">
        <v>567.41553404680258</v>
      </c>
      <c r="M14" s="163">
        <v>2433.7200612709039</v>
      </c>
      <c r="U14" s="21"/>
    </row>
    <row r="15" spans="1:21">
      <c r="A15">
        <v>55</v>
      </c>
      <c r="B15">
        <v>8</v>
      </c>
      <c r="C15" s="161">
        <v>58100</v>
      </c>
      <c r="D15" s="161">
        <f t="shared" si="0"/>
        <v>49424.573999376385</v>
      </c>
      <c r="E15" s="161">
        <f t="shared" si="1"/>
        <v>8675.4260006236145</v>
      </c>
      <c r="U15" s="21"/>
    </row>
    <row r="16" spans="1:21" ht="25.5">
      <c r="A16">
        <v>48</v>
      </c>
      <c r="B16">
        <v>11</v>
      </c>
      <c r="C16" s="161">
        <v>56000</v>
      </c>
      <c r="D16" s="161">
        <f t="shared" si="0"/>
        <v>48864.585051967428</v>
      </c>
      <c r="E16" s="161">
        <f t="shared" si="1"/>
        <v>7135.4149480325723</v>
      </c>
      <c r="H16" s="47" t="s">
        <v>28</v>
      </c>
      <c r="I16" s="48" t="s">
        <v>60</v>
      </c>
      <c r="S16" s="21"/>
      <c r="T16" s="39"/>
      <c r="U16" s="21"/>
    </row>
    <row r="17" spans="1:21">
      <c r="A17">
        <v>51</v>
      </c>
      <c r="B17">
        <v>16</v>
      </c>
      <c r="C17" s="161">
        <v>53400</v>
      </c>
      <c r="D17" s="161">
        <f t="shared" si="0"/>
        <v>58536.720757569783</v>
      </c>
      <c r="E17" s="161">
        <f t="shared" si="1"/>
        <v>-5136.720757569783</v>
      </c>
      <c r="G17" t="s">
        <v>347</v>
      </c>
      <c r="H17" s="20">
        <f>AVERAGE(C4:C33)</f>
        <v>52263.333333333336</v>
      </c>
      <c r="I17" s="20">
        <f>STDEV(C4:C33)</f>
        <v>11492.650825136294</v>
      </c>
      <c r="R17" s="21"/>
      <c r="U17" s="21"/>
    </row>
    <row r="18" spans="1:21">
      <c r="A18">
        <v>39</v>
      </c>
      <c r="B18">
        <v>14</v>
      </c>
      <c r="C18" s="161">
        <v>39000</v>
      </c>
      <c r="D18" s="161">
        <f t="shared" si="0"/>
        <v>46858.398293019753</v>
      </c>
      <c r="E18" s="161">
        <f t="shared" si="1"/>
        <v>-7858.3982930197526</v>
      </c>
      <c r="G18" t="s">
        <v>343</v>
      </c>
      <c r="H18" s="21">
        <f>AVERAGE(A4:A33)</f>
        <v>49.93333333333333</v>
      </c>
      <c r="I18" s="21">
        <f>STDEV(A4:A33)</f>
        <v>10.618569724238091</v>
      </c>
      <c r="Q18" s="21"/>
      <c r="U18" s="21"/>
    </row>
    <row r="19" spans="1:21">
      <c r="A19">
        <v>45</v>
      </c>
      <c r="B19">
        <v>14</v>
      </c>
      <c r="C19" s="161">
        <v>61500</v>
      </c>
      <c r="D19" s="161">
        <f t="shared" si="0"/>
        <v>51196.991727635912</v>
      </c>
      <c r="E19" s="161">
        <f t="shared" si="1"/>
        <v>10303.008272364088</v>
      </c>
      <c r="G19" t="s">
        <v>404</v>
      </c>
      <c r="H19" s="21">
        <f>AVERAGE(B4:B33)</f>
        <v>12.333333333333334</v>
      </c>
      <c r="I19" s="21">
        <f>STDEV(B4:B33)</f>
        <v>3.3869255037299095</v>
      </c>
    </row>
    <row r="20" spans="1:21">
      <c r="A20">
        <v>43</v>
      </c>
      <c r="B20">
        <v>10</v>
      </c>
      <c r="C20" s="161">
        <v>37700</v>
      </c>
      <c r="D20" s="161">
        <f t="shared" si="0"/>
        <v>43748.522725461778</v>
      </c>
      <c r="E20" s="161">
        <f t="shared" si="1"/>
        <v>-6048.5227254617785</v>
      </c>
    </row>
    <row r="21" spans="1:21">
      <c r="A21">
        <v>36</v>
      </c>
      <c r="B21">
        <v>12</v>
      </c>
      <c r="C21" s="161">
        <v>36700</v>
      </c>
      <c r="D21" s="161">
        <f t="shared" si="0"/>
        <v>41687.965980393972</v>
      </c>
      <c r="E21" s="161">
        <f t="shared" si="1"/>
        <v>-4987.9659803939721</v>
      </c>
      <c r="G21" t="s">
        <v>423</v>
      </c>
      <c r="H21" s="3" t="s">
        <v>347</v>
      </c>
      <c r="I21" s="3" t="s">
        <v>343</v>
      </c>
    </row>
    <row r="22" spans="1:21">
      <c r="A22">
        <v>49</v>
      </c>
      <c r="B22">
        <v>8</v>
      </c>
      <c r="C22" s="161">
        <v>45200</v>
      </c>
      <c r="D22" s="161">
        <f t="shared" si="0"/>
        <v>45085.980564760233</v>
      </c>
      <c r="E22" s="161">
        <f t="shared" si="1"/>
        <v>114.01943523976661</v>
      </c>
      <c r="G22" t="s">
        <v>343</v>
      </c>
      <c r="H22" s="8">
        <f>CORREL(C4:C33,A4:A33)</f>
        <v>0.58570476090139656</v>
      </c>
    </row>
    <row r="23" spans="1:21">
      <c r="A23">
        <v>53</v>
      </c>
      <c r="B23">
        <v>18</v>
      </c>
      <c r="C23" s="161">
        <v>59000</v>
      </c>
      <c r="D23" s="161">
        <f t="shared" si="0"/>
        <v>62984.054164426205</v>
      </c>
      <c r="E23" s="161">
        <f t="shared" si="1"/>
        <v>-3984.0541644262048</v>
      </c>
      <c r="G23" t="s">
        <v>404</v>
      </c>
      <c r="H23" s="8">
        <f>CORREL($C$4:$C$33,B4:B33)</f>
        <v>0.31773654031593307</v>
      </c>
      <c r="I23" s="8">
        <f>CORREL(A4:A33,B4:B33)</f>
        <v>-0.18632779077903566</v>
      </c>
    </row>
    <row r="24" spans="1:21">
      <c r="A24">
        <v>61</v>
      </c>
      <c r="B24">
        <v>11</v>
      </c>
      <c r="C24" s="161">
        <v>54300</v>
      </c>
      <c r="D24" s="161">
        <f t="shared" si="0"/>
        <v>58264.870826969105</v>
      </c>
      <c r="E24" s="161">
        <f t="shared" si="1"/>
        <v>-3964.8708269691051</v>
      </c>
    </row>
    <row r="25" spans="1:21">
      <c r="A25">
        <v>62</v>
      </c>
      <c r="B25">
        <v>11</v>
      </c>
      <c r="C25" s="161">
        <v>62100</v>
      </c>
      <c r="D25" s="161">
        <f t="shared" si="0"/>
        <v>58987.969732738464</v>
      </c>
      <c r="E25" s="161">
        <f t="shared" si="1"/>
        <v>3112.0302672615362</v>
      </c>
      <c r="G25" s="3" t="s">
        <v>431</v>
      </c>
      <c r="H25" s="3" t="s">
        <v>427</v>
      </c>
      <c r="I25" s="3" t="s">
        <v>428</v>
      </c>
      <c r="J25" s="3" t="s">
        <v>429</v>
      </c>
    </row>
    <row r="26" spans="1:21">
      <c r="A26">
        <v>59</v>
      </c>
      <c r="B26">
        <v>16</v>
      </c>
      <c r="C26" s="161">
        <v>78000</v>
      </c>
      <c r="D26" s="161">
        <f t="shared" si="0"/>
        <v>64321.512003724652</v>
      </c>
      <c r="E26" s="161">
        <f t="shared" si="1"/>
        <v>13678.487996275348</v>
      </c>
      <c r="G26" t="s">
        <v>424</v>
      </c>
      <c r="H26">
        <f t="array" ref="H26">SUM(($A$4:$A$33&gt;=25)*($A$4:$A$33&lt;=40)*($B$4:$B$33&gt;=6)*($B$4:$B$33&lt;=10))</f>
        <v>2</v>
      </c>
      <c r="I26">
        <f t="array" ref="I26">SUM(($A$4:$A$33&gt;=25)*($A$4:$A$33&lt;=40)*($B$4:$B$33&gt;10)*($B$4:$B$33&lt;=14))</f>
        <v>2</v>
      </c>
      <c r="J26">
        <f t="array" ref="J26">SUM(($A$4:$A$33&gt;=25)*($A$4:$A$33&lt;=40)*($B$4:$B$33&gt;14)*($B$4:$B$33&lt;=18))</f>
        <v>2</v>
      </c>
      <c r="K26">
        <f>SUM(H26:J26)</f>
        <v>6</v>
      </c>
    </row>
    <row r="27" spans="1:21">
      <c r="A27">
        <v>44</v>
      </c>
      <c r="B27">
        <v>15</v>
      </c>
      <c r="C27" s="161">
        <v>43200</v>
      </c>
      <c r="D27" s="161">
        <f t="shared" si="0"/>
        <v>51974.460619525409</v>
      </c>
      <c r="E27" s="161">
        <f t="shared" si="1"/>
        <v>-8774.4606195254091</v>
      </c>
      <c r="G27" t="s">
        <v>425</v>
      </c>
      <c r="H27">
        <f t="array" ref="H27">SUM(($A$4:$A$33&gt;40)*($A$4:$A$33&lt;=55)*($B$4:$B$33&gt;=6)*($B$4:$B$33&lt;=10))</f>
        <v>6</v>
      </c>
      <c r="I27">
        <f t="array" ref="I27">SUM(($A$4:$A$33&gt;40)*($A$4:$A$33&lt;=55)*($B$4:$B$33&gt;10)*($B$4:$B$33&lt;=14))</f>
        <v>4</v>
      </c>
      <c r="J27">
        <f t="array" ref="J27">SUM(($A$4:$A$33&gt;40)*($A$4:$A$33&lt;=55)*($B$4:$B$33&gt;14)*($B$4:$B$33&lt;=18))</f>
        <v>4</v>
      </c>
      <c r="K27">
        <f>SUM(H27:J27)</f>
        <v>14</v>
      </c>
    </row>
    <row r="28" spans="1:21">
      <c r="A28">
        <v>53</v>
      </c>
      <c r="B28">
        <v>12</v>
      </c>
      <c r="C28" s="161">
        <v>44500</v>
      </c>
      <c r="D28" s="161">
        <f t="shared" si="0"/>
        <v>53980.647378473084</v>
      </c>
      <c r="E28" s="161">
        <f t="shared" si="1"/>
        <v>-9480.6473784730842</v>
      </c>
      <c r="G28" t="s">
        <v>426</v>
      </c>
      <c r="H28">
        <f t="array" ref="H28">SUM(($A$4:$A$33&gt;55)*($A$4:$A$33&lt;=70)*($B$4:$B$33&gt;=6)*($B$4:$B$33&lt;=10))</f>
        <v>3</v>
      </c>
      <c r="I28">
        <f t="array" ref="I28">SUM(($A$4:$A$33&gt;55)*($A$4:$A$33&lt;=70)*($B$4:$B$33&gt;10)*($B$4:$B$33&lt;=14))</f>
        <v>4</v>
      </c>
      <c r="J28">
        <f t="array" ref="J28">SUM(($A$4:$A$33&gt;55)*($A$4:$A$33&lt;=70)*($B$4:$B$33&gt;14)*($B$4:$B$33&lt;=18))</f>
        <v>3</v>
      </c>
      <c r="K28">
        <f>SUM(K26:K27)</f>
        <v>20</v>
      </c>
    </row>
    <row r="29" spans="1:21">
      <c r="A29">
        <v>55</v>
      </c>
      <c r="B29">
        <v>9</v>
      </c>
      <c r="C29" s="161">
        <v>43300</v>
      </c>
      <c r="D29" s="161">
        <f t="shared" si="0"/>
        <v>50925.141797035241</v>
      </c>
      <c r="E29" s="161">
        <f t="shared" si="1"/>
        <v>-7625.1417970352413</v>
      </c>
      <c r="H29">
        <f>SUM(H26:H28)</f>
        <v>11</v>
      </c>
      <c r="I29">
        <f>SUM(I26:I28)</f>
        <v>10</v>
      </c>
      <c r="J29">
        <f>SUM(J26:J28)</f>
        <v>9</v>
      </c>
    </row>
    <row r="30" spans="1:21">
      <c r="A30">
        <v>66</v>
      </c>
      <c r="B30">
        <v>6</v>
      </c>
      <c r="C30" s="161">
        <v>45400</v>
      </c>
      <c r="D30" s="161">
        <f t="shared" si="0"/>
        <v>54377.526367521634</v>
      </c>
      <c r="E30" s="161">
        <f t="shared" si="1"/>
        <v>-8977.5263675216338</v>
      </c>
    </row>
    <row r="31" spans="1:21">
      <c r="A31">
        <v>36</v>
      </c>
      <c r="B31">
        <v>10</v>
      </c>
      <c r="C31" s="161">
        <v>53900</v>
      </c>
      <c r="D31" s="161">
        <f t="shared" si="0"/>
        <v>38686.830385076268</v>
      </c>
      <c r="E31" s="161">
        <f t="shared" si="1"/>
        <v>15213.169614923732</v>
      </c>
      <c r="G31" s="3" t="s">
        <v>430</v>
      </c>
      <c r="H31" s="3" t="s">
        <v>427</v>
      </c>
      <c r="I31" s="3" t="s">
        <v>428</v>
      </c>
      <c r="J31" s="3" t="s">
        <v>429</v>
      </c>
    </row>
    <row r="32" spans="1:21">
      <c r="A32">
        <v>41</v>
      </c>
      <c r="B32">
        <v>10</v>
      </c>
      <c r="C32" s="161">
        <v>44100</v>
      </c>
      <c r="D32" s="161">
        <f t="shared" si="0"/>
        <v>42302.324913923061</v>
      </c>
      <c r="E32" s="161">
        <f t="shared" si="1"/>
        <v>1797.6750860769389</v>
      </c>
      <c r="G32" t="s">
        <v>424</v>
      </c>
      <c r="H32" s="20">
        <f t="array" ref="H32">SUM($C$4:$C$33*(($A$4:$A$33&gt;=25)*($A$4:$A$33&lt;=40)*($B$4:$B$33&gt;=6)*($B$4:$B$33&lt;=10)))/H26</f>
        <v>51000</v>
      </c>
      <c r="I32" s="20">
        <f t="array" ref="I32">SUM($C$4:$C$33*(($A$4:$A$33&gt;=25)*($A$4:$A$33&lt;=40)*($B$4:$B$33&gt;10)*($B$4:$B$33&lt;=14)))/I26</f>
        <v>37850</v>
      </c>
      <c r="J32" s="20">
        <f t="array" ref="J32">SUM($C$4:$C$33*(($A$4:$A$33&gt;=25)*($A$4:$A$33&lt;=40)*($B$4:$B$33&gt;14)*($B$4:$B$33&lt;=18)))/J26</f>
        <v>40300</v>
      </c>
      <c r="K32" s="20"/>
    </row>
    <row r="33" spans="1:11">
      <c r="A33">
        <v>28</v>
      </c>
      <c r="B33">
        <v>16</v>
      </c>
      <c r="C33" s="161">
        <v>31000</v>
      </c>
      <c r="D33" s="161">
        <f t="shared" si="0"/>
        <v>41905.445924874512</v>
      </c>
      <c r="E33" s="161">
        <f t="shared" si="1"/>
        <v>-10905.445924874512</v>
      </c>
      <c r="G33" t="s">
        <v>425</v>
      </c>
      <c r="H33" s="20">
        <f t="array" ref="H33">SUM($C$4:$C$33*(($A$4:$A$33&gt;40)*($A$4:$A$33&lt;=55)*($B$4:$B$33&gt;=6)*($B$4:$B$33&lt;=10)))/H27</f>
        <v>46016.666666666664</v>
      </c>
      <c r="I33" s="20">
        <f t="array" ref="I33">SUM($C$4:$C$33*(($A$4:$A$33&gt;40)*($A$4:$A$33&lt;=55)*($B$4:$B$33&gt;10)*($B$4:$B$33&lt;=14)))/I27</f>
        <v>51975</v>
      </c>
      <c r="J33" s="20">
        <f t="array" ref="J33">SUM($C$4:$C$33*(($A$4:$A$33&gt;40)*($A$4:$A$33&lt;=55)*($B$4:$B$33&gt;14)*($B$4:$B$33&lt;=18)))/J27</f>
        <v>54400</v>
      </c>
      <c r="K33" s="20"/>
    </row>
    <row r="34" spans="1:11">
      <c r="G34" t="s">
        <v>426</v>
      </c>
      <c r="H34" s="20">
        <f t="array" ref="H34">SUM($C$4:$C$33*(($A$4:$A$33&gt;55)*($A$4:$A$33&lt;=70)*($B$4:$B$33&gt;=6)*($B$4:$B$33&lt;=10)))/H28</f>
        <v>47900</v>
      </c>
      <c r="I34" s="20">
        <f t="array" ref="I34">SUM($C$4:$C$33*(($A$4:$A$33&gt;55)*($A$4:$A$33&lt;=70)*($B$4:$B$33&gt;10)*($B$4:$B$33&lt;=14)))/I28</f>
        <v>65800</v>
      </c>
      <c r="J34" s="20">
        <f t="array" ref="J34">SUM($C$4:$C$33*(($A$4:$A$33&gt;55)*($A$4:$A$33&lt;=70)*($B$4:$B$33&gt;14)*($B$4:$B$33&lt;=18)))/J28</f>
        <v>67033.333333333328</v>
      </c>
      <c r="K34" s="20"/>
    </row>
    <row r="35" spans="1:11">
      <c r="H35" s="20"/>
      <c r="I35" s="20"/>
      <c r="J35" s="20"/>
      <c r="K35" s="20"/>
    </row>
    <row r="37" spans="1:11">
      <c r="A37" s="3" t="s">
        <v>404</v>
      </c>
      <c r="B37" s="3" t="s">
        <v>343</v>
      </c>
      <c r="C37" s="49" t="s">
        <v>107</v>
      </c>
    </row>
    <row r="38" spans="1:11">
      <c r="A38" s="20">
        <f t="array" ref="A38:C42">LINEST(C4:C33,A4:B33,1,1)</f>
        <v>1500.5677976588545</v>
      </c>
      <c r="B38" s="20">
        <v>723.09890576935993</v>
      </c>
      <c r="C38" s="20">
        <v>-2350.4081992092397</v>
      </c>
      <c r="D38" t="s">
        <v>398</v>
      </c>
    </row>
    <row r="39" spans="1:11">
      <c r="A39" s="20">
        <v>454.79043281144402</v>
      </c>
      <c r="B39" s="20">
        <v>145.06109162945359</v>
      </c>
      <c r="C39" s="20">
        <v>10063.939082981748</v>
      </c>
      <c r="D39" t="s">
        <v>69</v>
      </c>
    </row>
    <row r="40" spans="1:11">
      <c r="A40" s="8">
        <v>0.53182151027548297</v>
      </c>
      <c r="B40" s="20">
        <v>8149.7269257973885</v>
      </c>
      <c r="C40" t="e">
        <v>#N/A</v>
      </c>
    </row>
    <row r="41" spans="1:11">
      <c r="A41">
        <v>15.335156454846086</v>
      </c>
      <c r="B41">
        <v>27</v>
      </c>
      <c r="C41" t="e">
        <v>#N/A</v>
      </c>
    </row>
    <row r="42" spans="1:11">
      <c r="A42">
        <v>2037062344.6098597</v>
      </c>
      <c r="B42">
        <v>1793287322.0568078</v>
      </c>
      <c r="C42" t="e">
        <v>#N/A</v>
      </c>
    </row>
    <row r="43" spans="1:11">
      <c r="A43" s="8">
        <f>A38/A39</f>
        <v>3.2994708977991838</v>
      </c>
      <c r="B43" s="8">
        <f>B38/B39</f>
        <v>4.9847888061979813</v>
      </c>
      <c r="C43" s="8">
        <f>C38/C39</f>
        <v>-0.23354753837727521</v>
      </c>
      <c r="D43" t="s">
        <v>399</v>
      </c>
    </row>
    <row r="44" spans="1:11">
      <c r="A44" s="14">
        <f>TDIST(ABS(A43),$B$41,2)</f>
        <v>2.7243438358709811E-3</v>
      </c>
      <c r="B44" s="14">
        <f>TDIST(ABS(B43),$B$41,2)</f>
        <v>3.1726379973623089E-5</v>
      </c>
      <c r="C44" s="14">
        <f>TDIST(ABS(C43),$B$41,2)</f>
        <v>0.81709793504176909</v>
      </c>
      <c r="D44" t="s">
        <v>400</v>
      </c>
    </row>
    <row r="45" spans="1:11">
      <c r="A45" s="20">
        <f>A38-TINV(0.05,$B$41)*A39</f>
        <v>567.41491970500272</v>
      </c>
      <c r="B45" s="20">
        <f>B38-TINV(0.05,$B$41)*B39</f>
        <v>425.45813462043395</v>
      </c>
      <c r="C45" s="20">
        <f>C38-TINV(0.05,$B$41)*C39</f>
        <v>-22999.905289070521</v>
      </c>
      <c r="D45" t="s">
        <v>401</v>
      </c>
    </row>
    <row r="46" spans="1:11">
      <c r="A46" s="20">
        <f>A38+TINV(0.05,$B$41)*A39</f>
        <v>2433.7206756127061</v>
      </c>
      <c r="B46" s="20">
        <f>B38+TINV(0.05,$B$41)*B39</f>
        <v>1020.7396769182859</v>
      </c>
      <c r="C46" s="20">
        <f>C38+TINV(0.05,$B$41)*C39</f>
        <v>18299.088890652041</v>
      </c>
      <c r="D46" t="s">
        <v>402</v>
      </c>
    </row>
  </sheetData>
  <phoneticPr fontId="0" type="noConversion"/>
  <pageMargins left="0.78740157499999996" right="0.78740157499999996" top="0.984251969" bottom="0.984251969" header="0.5" footer="0.5"/>
  <pageSetup scale="70" orientation="portrait" horizontalDpi="300" verticalDpi="300" r:id="rId1"/>
  <headerFooter alignWithMargins="0"/>
  <legacyDrawing r:id="rId2"/>
</worksheet>
</file>

<file path=xl/worksheets/sheet30.xml><?xml version="1.0" encoding="utf-8"?>
<worksheet xmlns="http://schemas.openxmlformats.org/spreadsheetml/2006/main" xmlns:r="http://schemas.openxmlformats.org/officeDocument/2006/relationships">
  <sheetPr>
    <pageSetUpPr fitToPage="1"/>
  </sheetPr>
  <dimension ref="A1:W34"/>
  <sheetViews>
    <sheetView workbookViewId="0"/>
  </sheetViews>
  <sheetFormatPr defaultColWidth="9.140625" defaultRowHeight="12.75"/>
  <cols>
    <col min="1" max="4" width="8.7109375" customWidth="1"/>
    <col min="5" max="6" width="9.5703125" customWidth="1"/>
    <col min="7" max="7" width="8.7109375" customWidth="1"/>
    <col min="8" max="8" width="4.7109375" customWidth="1"/>
    <col min="9" max="9" width="13.7109375" customWidth="1"/>
    <col min="10" max="10" width="9.5703125" customWidth="1"/>
    <col min="11" max="11" width="11.5703125" customWidth="1"/>
    <col min="12" max="12" width="11.42578125" customWidth="1"/>
    <col min="13" max="13" width="9.7109375" customWidth="1"/>
    <col min="14" max="14" width="11.28515625" bestFit="1" customWidth="1"/>
    <col min="15" max="15" width="11" bestFit="1" customWidth="1"/>
  </cols>
  <sheetData>
    <row r="1" spans="1:23">
      <c r="A1" s="1" t="s">
        <v>405</v>
      </c>
    </row>
    <row r="3" spans="1:23" ht="26.25" thickBot="1">
      <c r="A3" s="3" t="s">
        <v>343</v>
      </c>
      <c r="B3" s="3" t="s">
        <v>404</v>
      </c>
      <c r="C3" s="3" t="s">
        <v>406</v>
      </c>
      <c r="D3" s="3" t="s">
        <v>344</v>
      </c>
      <c r="E3" s="3" t="s">
        <v>347</v>
      </c>
      <c r="F3" s="13" t="s">
        <v>391</v>
      </c>
      <c r="G3" s="13" t="s">
        <v>392</v>
      </c>
    </row>
    <row r="4" spans="1:23">
      <c r="A4">
        <v>58</v>
      </c>
      <c r="B4">
        <v>14</v>
      </c>
      <c r="C4" s="3">
        <f t="shared" ref="C4:C33" si="0">IF(D4="Male",0,1)</f>
        <v>0</v>
      </c>
      <c r="D4" s="3" t="s">
        <v>350</v>
      </c>
      <c r="E4" s="161">
        <v>65400</v>
      </c>
      <c r="F4" s="161">
        <f t="shared" ref="F4:F33" si="1">$J$12+$J$13*A4+$J$14*B4+$J$15*C4</f>
        <v>62599.326500850788</v>
      </c>
      <c r="G4" s="161">
        <f t="shared" ref="G4:G33" si="2">E4-F4</f>
        <v>2800.6734991492121</v>
      </c>
      <c r="I4" s="18" t="s">
        <v>393</v>
      </c>
      <c r="J4" s="18"/>
      <c r="Q4" s="3" t="s">
        <v>350</v>
      </c>
      <c r="R4" s="3" t="s">
        <v>353</v>
      </c>
    </row>
    <row r="5" spans="1:23">
      <c r="A5">
        <v>48</v>
      </c>
      <c r="B5">
        <v>16</v>
      </c>
      <c r="C5" s="3">
        <f t="shared" si="0"/>
        <v>0</v>
      </c>
      <c r="D5" s="3" t="s">
        <v>350</v>
      </c>
      <c r="E5" s="161">
        <v>62000</v>
      </c>
      <c r="F5" s="161">
        <f t="shared" si="1"/>
        <v>58663.570206167584</v>
      </c>
      <c r="G5" s="161">
        <f t="shared" si="2"/>
        <v>3336.4297938324162</v>
      </c>
      <c r="I5" s="41" t="s">
        <v>394</v>
      </c>
      <c r="J5" s="43">
        <v>0.76815229700977727</v>
      </c>
      <c r="Q5">
        <f t="shared" ref="Q5:Q34" si="3">IF(D4=$Q$4,E4,"")</f>
        <v>65400</v>
      </c>
      <c r="R5" t="str">
        <f t="shared" ref="R5:R34" si="4">IF(D4=$R$4,E4,"")</f>
        <v/>
      </c>
    </row>
    <row r="6" spans="1:23">
      <c r="A6">
        <v>58</v>
      </c>
      <c r="B6">
        <v>18</v>
      </c>
      <c r="C6" s="3">
        <f t="shared" si="0"/>
        <v>1</v>
      </c>
      <c r="D6" s="3" t="s">
        <v>353</v>
      </c>
      <c r="E6" s="161">
        <v>63200</v>
      </c>
      <c r="F6" s="161">
        <f t="shared" si="1"/>
        <v>62998.649929617117</v>
      </c>
      <c r="G6" s="161">
        <f t="shared" si="2"/>
        <v>201.35007038288313</v>
      </c>
      <c r="I6" s="41" t="s">
        <v>395</v>
      </c>
      <c r="J6" s="43">
        <v>0.59005795140139716</v>
      </c>
      <c r="Q6">
        <f t="shared" si="3"/>
        <v>62000</v>
      </c>
      <c r="R6" t="str">
        <f t="shared" si="4"/>
        <v/>
      </c>
      <c r="S6" s="3"/>
      <c r="T6" s="3"/>
      <c r="U6" s="3"/>
      <c r="V6" s="3"/>
      <c r="W6" s="3"/>
    </row>
    <row r="7" spans="1:23">
      <c r="A7">
        <v>56</v>
      </c>
      <c r="B7">
        <v>8</v>
      </c>
      <c r="C7" s="3">
        <f t="shared" si="0"/>
        <v>0</v>
      </c>
      <c r="D7" s="3" t="s">
        <v>350</v>
      </c>
      <c r="E7" s="161">
        <v>52000</v>
      </c>
      <c r="F7" s="161">
        <f t="shared" si="1"/>
        <v>52211.02228718689</v>
      </c>
      <c r="G7" s="161">
        <f t="shared" si="2"/>
        <v>-211.02228718689003</v>
      </c>
      <c r="I7" s="41" t="s">
        <v>396</v>
      </c>
      <c r="J7" s="43">
        <v>0.54275694579386602</v>
      </c>
      <c r="Q7" t="str">
        <f t="shared" si="3"/>
        <v/>
      </c>
      <c r="R7">
        <f t="shared" si="4"/>
        <v>63200</v>
      </c>
      <c r="W7" s="21"/>
    </row>
    <row r="8" spans="1:23">
      <c r="A8">
        <v>68</v>
      </c>
      <c r="B8">
        <v>14</v>
      </c>
      <c r="C8" s="3">
        <f t="shared" si="0"/>
        <v>0</v>
      </c>
      <c r="D8" s="3" t="s">
        <v>350</v>
      </c>
      <c r="E8" s="161">
        <v>81400</v>
      </c>
      <c r="F8" s="161">
        <f t="shared" si="1"/>
        <v>69535.44309388625</v>
      </c>
      <c r="G8" s="161">
        <f t="shared" si="2"/>
        <v>11864.55690611375</v>
      </c>
      <c r="I8" s="41" t="s">
        <v>69</v>
      </c>
      <c r="J8" s="162">
        <v>7771.3017155387151</v>
      </c>
      <c r="Q8">
        <f t="shared" si="3"/>
        <v>52000</v>
      </c>
      <c r="R8" t="str">
        <f t="shared" si="4"/>
        <v/>
      </c>
      <c r="W8" s="21"/>
    </row>
    <row r="9" spans="1:23" ht="13.5" thickBot="1">
      <c r="A9">
        <v>60</v>
      </c>
      <c r="B9">
        <v>9</v>
      </c>
      <c r="C9" s="3">
        <f t="shared" si="0"/>
        <v>1</v>
      </c>
      <c r="D9" s="3" t="s">
        <v>353</v>
      </c>
      <c r="E9" s="161">
        <v>46300</v>
      </c>
      <c r="F9" s="161">
        <f t="shared" si="1"/>
        <v>50884.251905639001</v>
      </c>
      <c r="G9" s="161">
        <f t="shared" si="2"/>
        <v>-4584.2519056390011</v>
      </c>
      <c r="I9" s="17" t="s">
        <v>397</v>
      </c>
      <c r="J9" s="17">
        <v>30</v>
      </c>
      <c r="Q9">
        <f t="shared" si="3"/>
        <v>81400</v>
      </c>
      <c r="R9" t="str">
        <f t="shared" si="4"/>
        <v/>
      </c>
      <c r="W9" s="21"/>
    </row>
    <row r="10" spans="1:23" ht="13.5" thickBot="1">
      <c r="A10">
        <v>28</v>
      </c>
      <c r="B10">
        <v>17</v>
      </c>
      <c r="C10" s="3">
        <f t="shared" si="0"/>
        <v>0</v>
      </c>
      <c r="D10" s="3" t="s">
        <v>350</v>
      </c>
      <c r="E10" s="161">
        <v>49600</v>
      </c>
      <c r="F10" s="161">
        <f t="shared" si="1"/>
        <v>46291.517169272789</v>
      </c>
      <c r="G10" s="161">
        <f t="shared" si="2"/>
        <v>3308.482830727211</v>
      </c>
      <c r="Q10" t="str">
        <f t="shared" si="3"/>
        <v/>
      </c>
      <c r="R10">
        <f t="shared" si="4"/>
        <v>46300</v>
      </c>
      <c r="W10" s="21"/>
    </row>
    <row r="11" spans="1:23" ht="25.5">
      <c r="A11">
        <v>48</v>
      </c>
      <c r="B11">
        <v>14</v>
      </c>
      <c r="C11" s="3">
        <f t="shared" si="0"/>
        <v>0</v>
      </c>
      <c r="D11" s="3" t="s">
        <v>350</v>
      </c>
      <c r="E11" s="161">
        <v>45900</v>
      </c>
      <c r="F11" s="161">
        <f t="shared" si="1"/>
        <v>55663.209907815319</v>
      </c>
      <c r="G11" s="161">
        <f t="shared" si="2"/>
        <v>-9763.2099078153187</v>
      </c>
      <c r="I11" s="40"/>
      <c r="J11" s="44" t="s">
        <v>398</v>
      </c>
      <c r="K11" s="23" t="s">
        <v>69</v>
      </c>
      <c r="L11" s="40" t="s">
        <v>399</v>
      </c>
      <c r="M11" s="40" t="s">
        <v>400</v>
      </c>
      <c r="N11" s="40" t="s">
        <v>401</v>
      </c>
      <c r="O11" s="40" t="s">
        <v>402</v>
      </c>
      <c r="Q11">
        <f t="shared" si="3"/>
        <v>49600</v>
      </c>
      <c r="R11" t="str">
        <f t="shared" si="4"/>
        <v/>
      </c>
      <c r="W11" s="21"/>
    </row>
    <row r="12" spans="1:23">
      <c r="A12">
        <v>53</v>
      </c>
      <c r="B12">
        <v>8</v>
      </c>
      <c r="C12" s="3">
        <f t="shared" si="0"/>
        <v>0</v>
      </c>
      <c r="D12" s="3" t="s">
        <v>350</v>
      </c>
      <c r="E12" s="161">
        <v>47700</v>
      </c>
      <c r="F12" s="161">
        <f t="shared" si="1"/>
        <v>50130.187309276254</v>
      </c>
      <c r="G12" s="161">
        <f t="shared" si="2"/>
        <v>-2430.1873092762544</v>
      </c>
      <c r="I12" s="16" t="s">
        <v>107</v>
      </c>
      <c r="J12" s="162">
        <v>1367.3281727792119</v>
      </c>
      <c r="K12" s="162">
        <v>9789.6556367822086</v>
      </c>
      <c r="L12" s="43">
        <v>0.13967071197497638</v>
      </c>
      <c r="M12" s="42">
        <v>0.88999650157543631</v>
      </c>
      <c r="N12" s="162">
        <v>-18755.610368882371</v>
      </c>
      <c r="O12" s="162">
        <v>21490.266714440797</v>
      </c>
      <c r="Q12">
        <f t="shared" si="3"/>
        <v>45900</v>
      </c>
      <c r="R12" t="str">
        <f t="shared" si="4"/>
        <v/>
      </c>
      <c r="S12" s="21"/>
      <c r="W12" s="21"/>
    </row>
    <row r="13" spans="1:23">
      <c r="A13">
        <v>61</v>
      </c>
      <c r="B13">
        <v>15</v>
      </c>
      <c r="C13" s="3">
        <f t="shared" si="0"/>
        <v>1</v>
      </c>
      <c r="D13" s="3" t="s">
        <v>353</v>
      </c>
      <c r="E13" s="161">
        <v>59900</v>
      </c>
      <c r="F13" s="161">
        <f t="shared" si="1"/>
        <v>60578.944459999351</v>
      </c>
      <c r="G13" s="161">
        <f t="shared" si="2"/>
        <v>-678.94445999935124</v>
      </c>
      <c r="I13" s="16" t="s">
        <v>343</v>
      </c>
      <c r="J13" s="162">
        <v>693.61165930354662</v>
      </c>
      <c r="K13" s="162">
        <v>139.17363413559505</v>
      </c>
      <c r="L13" s="43">
        <v>4.9837863587565003</v>
      </c>
      <c r="M13" s="42">
        <v>3.5073557773570591E-5</v>
      </c>
      <c r="N13" s="162">
        <v>407.53596979637149</v>
      </c>
      <c r="O13" s="162">
        <v>979.68734881072169</v>
      </c>
      <c r="Q13">
        <f t="shared" si="3"/>
        <v>47700</v>
      </c>
      <c r="R13" t="str">
        <f t="shared" si="4"/>
        <v/>
      </c>
      <c r="W13" s="21"/>
    </row>
    <row r="14" spans="1:23">
      <c r="A14">
        <v>36</v>
      </c>
      <c r="B14">
        <v>10</v>
      </c>
      <c r="C14" s="3">
        <f t="shared" si="0"/>
        <v>1</v>
      </c>
      <c r="D14" s="3" t="s">
        <v>353</v>
      </c>
      <c r="E14" s="161">
        <v>48100</v>
      </c>
      <c r="F14" s="161">
        <f t="shared" si="1"/>
        <v>35737.752231530008</v>
      </c>
      <c r="G14" s="161">
        <f t="shared" si="2"/>
        <v>12362.247768469992</v>
      </c>
      <c r="I14" s="16" t="s">
        <v>404</v>
      </c>
      <c r="J14" s="162">
        <v>1500.1801491761337</v>
      </c>
      <c r="K14" s="162">
        <v>433.67269666551061</v>
      </c>
      <c r="L14" s="43">
        <v>3.4592450959236074</v>
      </c>
      <c r="M14" s="42">
        <v>1.8809587679860624E-3</v>
      </c>
      <c r="N14" s="162">
        <v>608.75257031339606</v>
      </c>
      <c r="O14" s="162">
        <v>2391.6077280388713</v>
      </c>
      <c r="Q14" t="str">
        <f t="shared" si="3"/>
        <v/>
      </c>
      <c r="R14">
        <f t="shared" si="4"/>
        <v>59900</v>
      </c>
      <c r="W14" s="21"/>
    </row>
    <row r="15" spans="1:23" ht="13.5" thickBot="1">
      <c r="A15">
        <v>55</v>
      </c>
      <c r="B15">
        <v>8</v>
      </c>
      <c r="C15" s="3">
        <f t="shared" si="0"/>
        <v>0</v>
      </c>
      <c r="D15" s="3" t="s">
        <v>350</v>
      </c>
      <c r="E15" s="161">
        <v>58100</v>
      </c>
      <c r="F15" s="161">
        <f t="shared" si="1"/>
        <v>51517.410627883342</v>
      </c>
      <c r="G15" s="161">
        <f t="shared" si="2"/>
        <v>6582.5893721166576</v>
      </c>
      <c r="I15" s="27" t="s">
        <v>406</v>
      </c>
      <c r="J15" s="163">
        <v>-5601.3971679382175</v>
      </c>
      <c r="K15" s="163">
        <v>2914.5634444196335</v>
      </c>
      <c r="L15" s="45">
        <v>-1.9218648949512243</v>
      </c>
      <c r="M15" s="46">
        <v>6.5646794257340366E-2</v>
      </c>
      <c r="N15" s="163">
        <v>-11592.372054477484</v>
      </c>
      <c r="O15" s="163">
        <v>389.57771860104822</v>
      </c>
      <c r="Q15" t="str">
        <f t="shared" si="3"/>
        <v/>
      </c>
      <c r="R15">
        <f t="shared" si="4"/>
        <v>48100</v>
      </c>
      <c r="W15" s="21"/>
    </row>
    <row r="16" spans="1:23">
      <c r="A16">
        <v>48</v>
      </c>
      <c r="B16">
        <v>11</v>
      </c>
      <c r="C16" s="3">
        <f t="shared" si="0"/>
        <v>1</v>
      </c>
      <c r="D16" s="3" t="s">
        <v>353</v>
      </c>
      <c r="E16" s="161">
        <v>56000</v>
      </c>
      <c r="F16" s="161">
        <f t="shared" si="1"/>
        <v>45561.272292348702</v>
      </c>
      <c r="G16" s="161">
        <f t="shared" si="2"/>
        <v>10438.727707651298</v>
      </c>
      <c r="Q16">
        <f t="shared" si="3"/>
        <v>58100</v>
      </c>
      <c r="R16" t="str">
        <f t="shared" si="4"/>
        <v/>
      </c>
      <c r="W16" s="21"/>
    </row>
    <row r="17" spans="1:23" ht="25.5">
      <c r="A17">
        <v>51</v>
      </c>
      <c r="B17">
        <v>16</v>
      </c>
      <c r="C17" s="3">
        <f t="shared" si="0"/>
        <v>1</v>
      </c>
      <c r="D17" s="3" t="s">
        <v>353</v>
      </c>
      <c r="E17" s="161">
        <v>53400</v>
      </c>
      <c r="F17" s="161">
        <f t="shared" si="1"/>
        <v>55143.008016140018</v>
      </c>
      <c r="G17" s="161">
        <f t="shared" si="2"/>
        <v>-1743.0080161400183</v>
      </c>
      <c r="J17" s="47" t="s">
        <v>28</v>
      </c>
      <c r="K17" s="48" t="s">
        <v>60</v>
      </c>
      <c r="Q17" t="str">
        <f t="shared" si="3"/>
        <v/>
      </c>
      <c r="R17">
        <f t="shared" si="4"/>
        <v>56000</v>
      </c>
      <c r="U17" s="21"/>
      <c r="V17" s="39"/>
      <c r="W17" s="21"/>
    </row>
    <row r="18" spans="1:23">
      <c r="A18">
        <v>39</v>
      </c>
      <c r="B18">
        <v>14</v>
      </c>
      <c r="C18" s="3">
        <f t="shared" si="0"/>
        <v>1</v>
      </c>
      <c r="D18" s="3" t="s">
        <v>353</v>
      </c>
      <c r="E18" s="161">
        <v>39000</v>
      </c>
      <c r="F18" s="161">
        <f t="shared" si="1"/>
        <v>43819.307806145189</v>
      </c>
      <c r="G18" s="161">
        <f t="shared" si="2"/>
        <v>-4819.3078061451888</v>
      </c>
      <c r="I18" t="s">
        <v>347</v>
      </c>
      <c r="J18" s="20">
        <f>AVERAGE(E4:E33)</f>
        <v>52263.333333333336</v>
      </c>
      <c r="K18" s="20">
        <f>STDEV(E4:E33)</f>
        <v>11492.650825136294</v>
      </c>
      <c r="Q18" t="str">
        <f t="shared" si="3"/>
        <v/>
      </c>
      <c r="R18">
        <f t="shared" si="4"/>
        <v>53400</v>
      </c>
      <c r="T18" s="21"/>
      <c r="W18" s="21"/>
    </row>
    <row r="19" spans="1:23">
      <c r="A19">
        <v>45</v>
      </c>
      <c r="B19">
        <v>14</v>
      </c>
      <c r="C19" s="3">
        <f t="shared" si="0"/>
        <v>0</v>
      </c>
      <c r="D19" s="3" t="s">
        <v>350</v>
      </c>
      <c r="E19" s="161">
        <v>61500</v>
      </c>
      <c r="F19" s="161">
        <f t="shared" si="1"/>
        <v>53582.374929904676</v>
      </c>
      <c r="G19" s="161">
        <f t="shared" si="2"/>
        <v>7917.6250700953242</v>
      </c>
      <c r="I19" t="s">
        <v>343</v>
      </c>
      <c r="J19" s="21">
        <f>AVERAGE(A4:A33)</f>
        <v>49.93333333333333</v>
      </c>
      <c r="K19" s="21">
        <f>STDEV(A4:A33)</f>
        <v>10.618569724238091</v>
      </c>
      <c r="Q19" t="str">
        <f t="shared" si="3"/>
        <v/>
      </c>
      <c r="R19">
        <f t="shared" si="4"/>
        <v>39000</v>
      </c>
      <c r="W19" s="21"/>
    </row>
    <row r="20" spans="1:23">
      <c r="A20">
        <v>43</v>
      </c>
      <c r="B20">
        <v>10</v>
      </c>
      <c r="C20" s="3">
        <f t="shared" si="0"/>
        <v>0</v>
      </c>
      <c r="D20" s="3" t="s">
        <v>350</v>
      </c>
      <c r="E20" s="161">
        <v>37700</v>
      </c>
      <c r="F20" s="161">
        <f t="shared" si="1"/>
        <v>46194.43101459305</v>
      </c>
      <c r="G20" s="161">
        <f t="shared" si="2"/>
        <v>-8494.4310145930503</v>
      </c>
      <c r="I20" t="s">
        <v>404</v>
      </c>
      <c r="J20" s="21">
        <f>AVERAGE(B4:B33)</f>
        <v>12.333333333333334</v>
      </c>
      <c r="K20" s="21">
        <f>STDEV(B4:B33)</f>
        <v>3.3869255037299095</v>
      </c>
      <c r="Q20">
        <f t="shared" si="3"/>
        <v>61500</v>
      </c>
      <c r="R20" t="str">
        <f t="shared" si="4"/>
        <v/>
      </c>
    </row>
    <row r="21" spans="1:23">
      <c r="A21">
        <v>36</v>
      </c>
      <c r="B21">
        <v>12</v>
      </c>
      <c r="C21" s="3">
        <f t="shared" si="0"/>
        <v>1</v>
      </c>
      <c r="D21" s="3" t="s">
        <v>353</v>
      </c>
      <c r="E21" s="161">
        <v>36700</v>
      </c>
      <c r="F21" s="161">
        <f t="shared" si="1"/>
        <v>38738.112529882281</v>
      </c>
      <c r="G21" s="161">
        <f t="shared" si="2"/>
        <v>-2038.1125298822808</v>
      </c>
      <c r="Q21">
        <f t="shared" si="3"/>
        <v>37700</v>
      </c>
      <c r="R21" t="str">
        <f t="shared" si="4"/>
        <v/>
      </c>
    </row>
    <row r="22" spans="1:23">
      <c r="A22">
        <v>49</v>
      </c>
      <c r="B22">
        <v>8</v>
      </c>
      <c r="C22" s="3">
        <f t="shared" si="0"/>
        <v>1</v>
      </c>
      <c r="D22" s="3" t="s">
        <v>353</v>
      </c>
      <c r="E22" s="161">
        <v>45200</v>
      </c>
      <c r="F22" s="161">
        <f t="shared" si="1"/>
        <v>41754.343504123848</v>
      </c>
      <c r="G22" s="161">
        <f t="shared" si="2"/>
        <v>3445.6564958761519</v>
      </c>
      <c r="Q22" t="str">
        <f t="shared" si="3"/>
        <v/>
      </c>
      <c r="R22">
        <f t="shared" si="4"/>
        <v>36700</v>
      </c>
    </row>
    <row r="23" spans="1:23">
      <c r="A23">
        <v>53</v>
      </c>
      <c r="B23">
        <v>18</v>
      </c>
      <c r="C23" s="3">
        <f t="shared" si="0"/>
        <v>0</v>
      </c>
      <c r="D23" s="3" t="s">
        <v>350</v>
      </c>
      <c r="E23" s="161">
        <v>59000</v>
      </c>
      <c r="F23" s="161">
        <f t="shared" si="1"/>
        <v>65131.988801037594</v>
      </c>
      <c r="G23" s="161">
        <f t="shared" si="2"/>
        <v>-6131.9888010375944</v>
      </c>
      <c r="Q23" t="str">
        <f t="shared" si="3"/>
        <v/>
      </c>
      <c r="R23">
        <f t="shared" si="4"/>
        <v>45200</v>
      </c>
    </row>
    <row r="24" spans="1:23">
      <c r="A24">
        <v>61</v>
      </c>
      <c r="B24">
        <v>11</v>
      </c>
      <c r="C24" s="3">
        <f t="shared" si="0"/>
        <v>1</v>
      </c>
      <c r="D24" s="3" t="s">
        <v>353</v>
      </c>
      <c r="E24" s="161">
        <v>54300</v>
      </c>
      <c r="F24" s="161">
        <f t="shared" si="1"/>
        <v>54578.223863294807</v>
      </c>
      <c r="G24" s="161">
        <f t="shared" si="2"/>
        <v>-278.22386329480651</v>
      </c>
      <c r="Q24">
        <f t="shared" si="3"/>
        <v>59000</v>
      </c>
      <c r="R24" t="str">
        <f t="shared" si="4"/>
        <v/>
      </c>
    </row>
    <row r="25" spans="1:23">
      <c r="A25">
        <v>62</v>
      </c>
      <c r="B25">
        <v>11</v>
      </c>
      <c r="C25" s="3">
        <f t="shared" si="0"/>
        <v>0</v>
      </c>
      <c r="D25" s="3" t="s">
        <v>350</v>
      </c>
      <c r="E25" s="161">
        <v>62100</v>
      </c>
      <c r="F25" s="161">
        <f t="shared" si="1"/>
        <v>60873.23269053657</v>
      </c>
      <c r="G25" s="161">
        <f t="shared" si="2"/>
        <v>1226.7673094634301</v>
      </c>
      <c r="H25" s="38"/>
      <c r="Q25" t="str">
        <f t="shared" si="3"/>
        <v/>
      </c>
      <c r="R25">
        <f t="shared" si="4"/>
        <v>54300</v>
      </c>
    </row>
    <row r="26" spans="1:23">
      <c r="A26">
        <v>59</v>
      </c>
      <c r="B26">
        <v>16</v>
      </c>
      <c r="C26" s="3">
        <f t="shared" si="0"/>
        <v>0</v>
      </c>
      <c r="D26" s="3" t="s">
        <v>350</v>
      </c>
      <c r="E26" s="161">
        <v>78000</v>
      </c>
      <c r="F26" s="161">
        <f t="shared" si="1"/>
        <v>66293.298458506601</v>
      </c>
      <c r="G26" s="161">
        <f t="shared" si="2"/>
        <v>11706.701541493399</v>
      </c>
      <c r="Q26">
        <f t="shared" si="3"/>
        <v>62100</v>
      </c>
      <c r="R26" t="str">
        <f t="shared" si="4"/>
        <v/>
      </c>
    </row>
    <row r="27" spans="1:23">
      <c r="A27">
        <v>44</v>
      </c>
      <c r="B27">
        <v>15</v>
      </c>
      <c r="C27" s="3">
        <f t="shared" si="0"/>
        <v>0</v>
      </c>
      <c r="D27" s="3" t="s">
        <v>350</v>
      </c>
      <c r="E27" s="161">
        <v>43200</v>
      </c>
      <c r="F27" s="161">
        <f t="shared" si="1"/>
        <v>54388.943419777272</v>
      </c>
      <c r="G27" s="161">
        <f t="shared" si="2"/>
        <v>-11188.943419777272</v>
      </c>
      <c r="Q27">
        <f t="shared" si="3"/>
        <v>78000</v>
      </c>
      <c r="R27" t="str">
        <f t="shared" si="4"/>
        <v/>
      </c>
    </row>
    <row r="28" spans="1:23">
      <c r="A28">
        <v>53</v>
      </c>
      <c r="B28">
        <v>12</v>
      </c>
      <c r="C28" s="3">
        <f t="shared" si="0"/>
        <v>0</v>
      </c>
      <c r="D28" s="3" t="s">
        <v>350</v>
      </c>
      <c r="E28" s="161">
        <v>44500</v>
      </c>
      <c r="F28" s="161">
        <f t="shared" si="1"/>
        <v>56130.907905980792</v>
      </c>
      <c r="G28" s="161">
        <f t="shared" si="2"/>
        <v>-11630.907905980792</v>
      </c>
      <c r="Q28">
        <f t="shared" si="3"/>
        <v>43200</v>
      </c>
      <c r="R28" t="str">
        <f t="shared" si="4"/>
        <v/>
      </c>
    </row>
    <row r="29" spans="1:23">
      <c r="A29">
        <v>55</v>
      </c>
      <c r="B29">
        <v>9</v>
      </c>
      <c r="C29" s="3">
        <f t="shared" si="0"/>
        <v>1</v>
      </c>
      <c r="D29" s="3" t="s">
        <v>353</v>
      </c>
      <c r="E29" s="161">
        <v>43300</v>
      </c>
      <c r="F29" s="161">
        <f t="shared" si="1"/>
        <v>47416.193609121263</v>
      </c>
      <c r="G29" s="161">
        <f t="shared" si="2"/>
        <v>-4116.1936091212629</v>
      </c>
      <c r="Q29">
        <f t="shared" si="3"/>
        <v>44500</v>
      </c>
      <c r="R29" t="str">
        <f t="shared" si="4"/>
        <v/>
      </c>
    </row>
    <row r="30" spans="1:23">
      <c r="A30">
        <v>66</v>
      </c>
      <c r="B30">
        <v>6</v>
      </c>
      <c r="C30" s="3">
        <f t="shared" si="0"/>
        <v>0</v>
      </c>
      <c r="D30" s="3" t="s">
        <v>350</v>
      </c>
      <c r="E30" s="161">
        <v>45400</v>
      </c>
      <c r="F30" s="161">
        <f t="shared" si="1"/>
        <v>56146.778581870094</v>
      </c>
      <c r="G30" s="161">
        <f t="shared" si="2"/>
        <v>-10746.778581870094</v>
      </c>
      <c r="Q30" t="str">
        <f t="shared" si="3"/>
        <v/>
      </c>
      <c r="R30">
        <f t="shared" si="4"/>
        <v>43300</v>
      </c>
    </row>
    <row r="31" spans="1:23">
      <c r="A31">
        <v>36</v>
      </c>
      <c r="B31">
        <v>10</v>
      </c>
      <c r="C31" s="3">
        <f t="shared" si="0"/>
        <v>0</v>
      </c>
      <c r="D31" s="3" t="s">
        <v>350</v>
      </c>
      <c r="E31" s="161">
        <v>53900</v>
      </c>
      <c r="F31" s="161">
        <f t="shared" si="1"/>
        <v>41339.149399468224</v>
      </c>
      <c r="G31" s="161">
        <f t="shared" si="2"/>
        <v>12560.850600531776</v>
      </c>
      <c r="Q31">
        <f t="shared" si="3"/>
        <v>45400</v>
      </c>
      <c r="R31" t="str">
        <f t="shared" si="4"/>
        <v/>
      </c>
    </row>
    <row r="32" spans="1:23">
      <c r="A32">
        <v>41</v>
      </c>
      <c r="B32">
        <v>10</v>
      </c>
      <c r="C32" s="3">
        <f t="shared" si="0"/>
        <v>0</v>
      </c>
      <c r="D32" s="3" t="s">
        <v>350</v>
      </c>
      <c r="E32" s="161">
        <v>44100</v>
      </c>
      <c r="F32" s="161">
        <f t="shared" si="1"/>
        <v>44807.207695985955</v>
      </c>
      <c r="G32" s="161">
        <f t="shared" si="2"/>
        <v>-707.20769598595507</v>
      </c>
      <c r="Q32">
        <f t="shared" si="3"/>
        <v>53900</v>
      </c>
      <c r="R32" t="str">
        <f t="shared" si="4"/>
        <v/>
      </c>
    </row>
    <row r="33" spans="1:18">
      <c r="A33">
        <v>28</v>
      </c>
      <c r="B33">
        <v>16</v>
      </c>
      <c r="C33" s="3">
        <f t="shared" si="0"/>
        <v>1</v>
      </c>
      <c r="D33" s="3" t="s">
        <v>353</v>
      </c>
      <c r="E33" s="161">
        <v>31000</v>
      </c>
      <c r="F33" s="161">
        <f t="shared" si="1"/>
        <v>39189.939852158444</v>
      </c>
      <c r="G33" s="161">
        <f t="shared" si="2"/>
        <v>-8189.9398521584444</v>
      </c>
      <c r="Q33">
        <f t="shared" si="3"/>
        <v>44100</v>
      </c>
      <c r="R33" t="str">
        <f t="shared" si="4"/>
        <v/>
      </c>
    </row>
    <row r="34" spans="1:18">
      <c r="Q34" t="str">
        <f t="shared" si="3"/>
        <v/>
      </c>
      <c r="R34">
        <f t="shared" si="4"/>
        <v>31000</v>
      </c>
    </row>
  </sheetData>
  <phoneticPr fontId="0" type="noConversion"/>
  <pageMargins left="0.78740157499999996" right="0.78740157499999996" top="0.984251969" bottom="0.984251969" header="0.5" footer="0.5"/>
  <pageSetup scale="53" orientation="portrait" horizontalDpi="300" verticalDpi="300" r:id="rId1"/>
  <headerFooter alignWithMargins="0"/>
  <drawing r:id="rId2"/>
</worksheet>
</file>

<file path=xl/worksheets/sheet31.xml><?xml version="1.0" encoding="utf-8"?>
<worksheet xmlns="http://schemas.openxmlformats.org/spreadsheetml/2006/main" xmlns:r="http://schemas.openxmlformats.org/officeDocument/2006/relationships">
  <dimension ref="A1:M69"/>
  <sheetViews>
    <sheetView workbookViewId="0"/>
  </sheetViews>
  <sheetFormatPr defaultColWidth="11.42578125" defaultRowHeight="12.75"/>
  <cols>
    <col min="1" max="1" width="14" customWidth="1"/>
    <col min="2" max="4" width="8.7109375" customWidth="1"/>
    <col min="5" max="5" width="6.5703125" customWidth="1"/>
    <col min="6" max="6" width="6.42578125" customWidth="1"/>
    <col min="7" max="7" width="6.7109375" customWidth="1"/>
    <col min="8" max="8" width="6.5703125" customWidth="1"/>
    <col min="9" max="9" width="7.140625" customWidth="1"/>
    <col min="10" max="10" width="6.140625" customWidth="1"/>
  </cols>
  <sheetData>
    <row r="1" spans="1:10">
      <c r="A1" s="1" t="s">
        <v>162</v>
      </c>
    </row>
    <row r="2" spans="1:10">
      <c r="A2" s="74"/>
    </row>
    <row r="3" spans="1:10">
      <c r="A3" s="1" t="s">
        <v>163</v>
      </c>
    </row>
    <row r="4" spans="1:10">
      <c r="A4" s="79"/>
      <c r="B4" s="79"/>
      <c r="C4" s="80"/>
      <c r="D4" s="79"/>
      <c r="E4" s="79"/>
    </row>
    <row r="5" spans="1:10">
      <c r="A5" s="81" t="s">
        <v>181</v>
      </c>
      <c r="B5" s="82" t="s">
        <v>164</v>
      </c>
      <c r="C5" s="81" t="s">
        <v>165</v>
      </c>
      <c r="D5" s="81" t="s">
        <v>166</v>
      </c>
      <c r="E5" s="82"/>
    </row>
    <row r="6" spans="1:10">
      <c r="A6" s="81" t="s">
        <v>167</v>
      </c>
      <c r="B6" s="83">
        <v>0.35</v>
      </c>
      <c r="C6" s="83">
        <v>0.4</v>
      </c>
      <c r="D6" s="83">
        <v>0.25</v>
      </c>
      <c r="E6" s="79"/>
    </row>
    <row r="7" spans="1:10">
      <c r="A7" s="84" t="s">
        <v>169</v>
      </c>
      <c r="B7" s="81"/>
      <c r="C7" s="81"/>
      <c r="D7" s="81"/>
      <c r="E7" s="85" t="s">
        <v>146</v>
      </c>
      <c r="F7" s="75" t="s">
        <v>147</v>
      </c>
      <c r="G7" s="3" t="s">
        <v>148</v>
      </c>
      <c r="H7" s="3" t="s">
        <v>149</v>
      </c>
      <c r="I7" s="3" t="s">
        <v>150</v>
      </c>
      <c r="J7" s="75" t="s">
        <v>151</v>
      </c>
    </row>
    <row r="8" spans="1:10">
      <c r="A8" s="86" t="s">
        <v>170</v>
      </c>
      <c r="B8" s="87">
        <v>120</v>
      </c>
      <c r="C8" s="87">
        <v>50</v>
      </c>
      <c r="D8" s="87">
        <v>-40</v>
      </c>
      <c r="E8" s="88">
        <f>SUMPRODUCT(B$6:D$6,B8:D8)</f>
        <v>52</v>
      </c>
      <c r="F8" s="21">
        <f t="array" ref="F8">SQRT(SUMPRODUCT((B8:D8-$E8)^2,B$6:D$6))</f>
        <v>61.122827159744503</v>
      </c>
      <c r="G8" s="21">
        <f>MIN(B8:D8)</f>
        <v>-40</v>
      </c>
      <c r="H8" s="21">
        <f>MAX(B8:D8)</f>
        <v>120</v>
      </c>
      <c r="I8" s="21">
        <f>AVERAGE(B8:D8)</f>
        <v>43.333333333333336</v>
      </c>
      <c r="J8" s="21">
        <f>E8-$J$11*F8^2</f>
        <v>-31.022222139200011</v>
      </c>
    </row>
    <row r="9" spans="1:10">
      <c r="A9" s="86" t="s">
        <v>168</v>
      </c>
      <c r="B9" s="87">
        <v>80</v>
      </c>
      <c r="C9" s="87">
        <v>60</v>
      </c>
      <c r="D9" s="87">
        <v>20</v>
      </c>
      <c r="E9" s="88">
        <f>SUMPRODUCT(B$6:D$6,B9:D9)</f>
        <v>57</v>
      </c>
      <c r="F9" s="21">
        <f t="array" ref="F9">SQRT(SUMPRODUCT((B9:D9-$E9)^2,B$6:D$6))</f>
        <v>23.043437243605826</v>
      </c>
      <c r="G9" s="21">
        <f>MIN(B9:D9)</f>
        <v>20</v>
      </c>
      <c r="H9" s="21">
        <f>MAX(B9:D9)</f>
        <v>80</v>
      </c>
      <c r="I9" s="21">
        <f>AVERAGE(B9:D9)</f>
        <v>53.333333333333336</v>
      </c>
      <c r="J9" s="21">
        <f>E9-$J$11*F9^2</f>
        <v>45.2000000118</v>
      </c>
    </row>
    <row r="10" spans="1:10">
      <c r="A10" s="86" t="s">
        <v>171</v>
      </c>
      <c r="B10" s="87">
        <v>30</v>
      </c>
      <c r="C10" s="87">
        <v>35</v>
      </c>
      <c r="D10" s="87">
        <v>40</v>
      </c>
      <c r="E10" s="88">
        <f>SUMPRODUCT(B$6:D$6,B10:D10)</f>
        <v>34.5</v>
      </c>
      <c r="F10" s="21">
        <f t="array" ref="F10">SQRT(SUMPRODUCT((B10:D10-$E10)^2,B$6:D$6))</f>
        <v>3.8405728739343039</v>
      </c>
      <c r="G10" s="21">
        <f>MIN(B10:D10)</f>
        <v>30</v>
      </c>
      <c r="H10" s="21">
        <f>MAX(B10:D10)</f>
        <v>40</v>
      </c>
      <c r="I10" s="21">
        <f>AVERAGE(B10:D10)</f>
        <v>35</v>
      </c>
      <c r="J10" s="21">
        <f>E10-$J$11*F10^2</f>
        <v>34.172222222549998</v>
      </c>
    </row>
    <row r="11" spans="1:10">
      <c r="I11" s="75" t="s">
        <v>152</v>
      </c>
      <c r="J11">
        <v>2.2222222199999999E-2</v>
      </c>
    </row>
    <row r="12" spans="1:10">
      <c r="A12" s="1" t="s">
        <v>184</v>
      </c>
      <c r="B12" t="s">
        <v>172</v>
      </c>
      <c r="C12" s="61"/>
      <c r="D12" s="3" t="s">
        <v>117</v>
      </c>
    </row>
    <row r="13" spans="1:10">
      <c r="A13" s="51" t="s">
        <v>173</v>
      </c>
      <c r="B13" t="str">
        <f>IF(D13=G8,$A$8,IF(D13=G9,$A$9,$A$10))</f>
        <v>cautious</v>
      </c>
      <c r="C13" s="61"/>
      <c r="D13" s="21">
        <f>MAX(G8:G10)</f>
        <v>30</v>
      </c>
    </row>
    <row r="14" spans="1:10">
      <c r="A14" s="51" t="s">
        <v>174</v>
      </c>
      <c r="B14" t="str">
        <f>IF(D14=H8,$A$8,IF(D14=H9,$A$9,$A$10))</f>
        <v>aggressive</v>
      </c>
      <c r="C14" s="61"/>
      <c r="D14" s="21">
        <f>MAX(H8:H10)</f>
        <v>120</v>
      </c>
    </row>
    <row r="15" spans="1:10">
      <c r="A15" s="51" t="s">
        <v>150</v>
      </c>
      <c r="B15" t="str">
        <f>IF(D15=I8,$A$8,IF(D15=I9,$A$9,$A$10))</f>
        <v>basic</v>
      </c>
      <c r="C15" s="61"/>
      <c r="D15" s="21">
        <f>MAX(I8:I10)</f>
        <v>53.333333333333336</v>
      </c>
    </row>
    <row r="16" spans="1:10">
      <c r="A16" s="51" t="s">
        <v>175</v>
      </c>
      <c r="B16" t="str">
        <f>IF(D16=E8,$A$8,IF(D16=E9,$A$9,$A$10))</f>
        <v>basic</v>
      </c>
      <c r="D16" s="21">
        <f>MAX(E8:E10)</f>
        <v>57</v>
      </c>
    </row>
    <row r="17" spans="1:10">
      <c r="A17" s="76" t="s">
        <v>151</v>
      </c>
      <c r="B17" t="str">
        <f>IF(D17=J8,$A$8,IF(D17=J9,$A$9,$A$10))</f>
        <v>basic</v>
      </c>
      <c r="D17" s="21">
        <f t="array" ref="D17">MAX(J8:J10)</f>
        <v>45.2000000118</v>
      </c>
    </row>
    <row r="18" spans="1:10">
      <c r="A18" s="76"/>
      <c r="D18" s="21"/>
    </row>
    <row r="19" spans="1:10">
      <c r="A19" s="1" t="s">
        <v>176</v>
      </c>
    </row>
    <row r="20" spans="1:10">
      <c r="B20" t="s">
        <v>177</v>
      </c>
      <c r="D20" s="76" t="s">
        <v>146</v>
      </c>
      <c r="G20" t="s">
        <v>179</v>
      </c>
      <c r="I20" s="61" t="s">
        <v>153</v>
      </c>
      <c r="J20" s="3" t="s">
        <v>180</v>
      </c>
    </row>
    <row r="21" spans="1:10">
      <c r="E21" s="76"/>
      <c r="G21" t="s">
        <v>178</v>
      </c>
      <c r="I21" s="77">
        <f>B$6</f>
        <v>0.35</v>
      </c>
      <c r="J21" s="39">
        <f>B8</f>
        <v>120</v>
      </c>
    </row>
    <row r="22" spans="1:10">
      <c r="B22" s="61" t="s">
        <v>170</v>
      </c>
      <c r="C22" s="49"/>
      <c r="D22" s="69">
        <f>SUMPRODUCT(I21:I23,J21:J23)</f>
        <v>52</v>
      </c>
      <c r="E22" s="69"/>
      <c r="G22" t="s">
        <v>165</v>
      </c>
      <c r="I22" s="77">
        <f>C$6</f>
        <v>0.4</v>
      </c>
      <c r="J22" s="39">
        <f>C8</f>
        <v>50</v>
      </c>
    </row>
    <row r="23" spans="1:10">
      <c r="B23" s="49"/>
      <c r="C23" s="49"/>
      <c r="D23" s="49"/>
      <c r="G23" t="s">
        <v>166</v>
      </c>
      <c r="I23" s="77">
        <f>D$6</f>
        <v>0.25</v>
      </c>
      <c r="J23" s="39">
        <f>D8</f>
        <v>-40</v>
      </c>
    </row>
    <row r="24" spans="1:10">
      <c r="B24" s="49"/>
      <c r="C24" s="49"/>
      <c r="D24" s="49"/>
      <c r="I24" s="61"/>
      <c r="J24" s="3"/>
    </row>
    <row r="25" spans="1:10">
      <c r="B25" s="49"/>
      <c r="C25" s="49"/>
      <c r="D25" s="49"/>
      <c r="G25" t="s">
        <v>178</v>
      </c>
      <c r="I25" s="77">
        <f>B$6</f>
        <v>0.35</v>
      </c>
      <c r="J25" s="39">
        <f>B9</f>
        <v>80</v>
      </c>
    </row>
    <row r="26" spans="1:10">
      <c r="B26" s="49" t="s">
        <v>168</v>
      </c>
      <c r="C26" s="49"/>
      <c r="D26" s="69">
        <f>SUMPRODUCT(I25:I27,J25:J27)</f>
        <v>57</v>
      </c>
      <c r="G26" t="s">
        <v>165</v>
      </c>
      <c r="I26" s="77">
        <f>C$6</f>
        <v>0.4</v>
      </c>
      <c r="J26" s="39">
        <f>C9</f>
        <v>60</v>
      </c>
    </row>
    <row r="27" spans="1:10">
      <c r="B27" s="49"/>
      <c r="C27" s="49"/>
      <c r="D27" s="49"/>
      <c r="G27" t="s">
        <v>166</v>
      </c>
      <c r="I27" s="77">
        <f>D$6</f>
        <v>0.25</v>
      </c>
      <c r="J27" s="39">
        <f>D9</f>
        <v>20</v>
      </c>
    </row>
    <row r="28" spans="1:10">
      <c r="B28" s="49"/>
      <c r="C28" s="49"/>
      <c r="D28" s="49"/>
      <c r="I28" s="61"/>
      <c r="J28" s="3"/>
    </row>
    <row r="29" spans="1:10">
      <c r="B29" s="49"/>
      <c r="C29" s="49"/>
      <c r="D29" s="49"/>
      <c r="G29" t="s">
        <v>178</v>
      </c>
      <c r="I29" s="77">
        <f>B$6</f>
        <v>0.35</v>
      </c>
      <c r="J29" s="39">
        <f>B10</f>
        <v>30</v>
      </c>
    </row>
    <row r="30" spans="1:10">
      <c r="B30" s="49" t="s">
        <v>171</v>
      </c>
      <c r="C30" s="49"/>
      <c r="D30" s="69">
        <f>SUMPRODUCT(I29:I31,J29:J31)</f>
        <v>34.5</v>
      </c>
      <c r="G30" t="s">
        <v>165</v>
      </c>
      <c r="I30" s="77">
        <f>C$6</f>
        <v>0.4</v>
      </c>
      <c r="J30" s="39">
        <f>C10</f>
        <v>35</v>
      </c>
    </row>
    <row r="31" spans="1:10">
      <c r="G31" t="s">
        <v>166</v>
      </c>
      <c r="I31" s="77">
        <f>D$6</f>
        <v>0.25</v>
      </c>
      <c r="J31" s="39">
        <f>D10</f>
        <v>40</v>
      </c>
    </row>
    <row r="32" spans="1:10">
      <c r="A32" s="76"/>
      <c r="C32" s="21"/>
    </row>
    <row r="33" spans="1:13">
      <c r="C33" s="3"/>
      <c r="D33" s="21"/>
    </row>
    <row r="34" spans="1:13">
      <c r="A34" s="1" t="s">
        <v>290</v>
      </c>
    </row>
    <row r="35" spans="1:13">
      <c r="A35" s="79"/>
      <c r="B35" s="79"/>
      <c r="C35" s="80"/>
      <c r="D35" s="79"/>
      <c r="E35" s="79"/>
    </row>
    <row r="36" spans="1:13">
      <c r="A36" s="81" t="s">
        <v>181</v>
      </c>
      <c r="B36" s="82" t="s">
        <v>164</v>
      </c>
      <c r="C36" s="81" t="s">
        <v>165</v>
      </c>
      <c r="D36" s="81" t="s">
        <v>166</v>
      </c>
      <c r="E36" s="82"/>
      <c r="H36" s="3" t="s">
        <v>180</v>
      </c>
      <c r="I36" s="3" t="s">
        <v>291</v>
      </c>
    </row>
    <row r="37" spans="1:13">
      <c r="A37" s="81" t="s">
        <v>167</v>
      </c>
      <c r="B37" s="83">
        <v>0.35</v>
      </c>
      <c r="C37" s="83">
        <v>0.4</v>
      </c>
      <c r="D37" s="83">
        <v>0.25</v>
      </c>
      <c r="E37" s="79"/>
      <c r="H37">
        <v>-40</v>
      </c>
      <c r="I37" s="8">
        <v>0</v>
      </c>
      <c r="M37" s="115"/>
    </row>
    <row r="38" spans="1:13">
      <c r="A38" s="84" t="s">
        <v>169</v>
      </c>
      <c r="B38" s="81"/>
      <c r="C38" s="81"/>
      <c r="D38" s="81"/>
      <c r="E38" s="85" t="s">
        <v>146</v>
      </c>
      <c r="H38">
        <v>-35</v>
      </c>
      <c r="I38" s="8">
        <v>5.9594618365692291E-2</v>
      </c>
      <c r="M38" s="115"/>
    </row>
    <row r="39" spans="1:13">
      <c r="A39" s="86" t="s">
        <v>170</v>
      </c>
      <c r="B39" s="116">
        <f t="shared" ref="B39:D41" si="0">LOOKUP(B8,$H$37:$H$69,$I$37:$I$69)</f>
        <v>1</v>
      </c>
      <c r="C39" s="116">
        <f t="shared" si="0"/>
        <v>0.69961847504020214</v>
      </c>
      <c r="D39" s="116">
        <f t="shared" si="0"/>
        <v>0</v>
      </c>
      <c r="E39" s="117">
        <f>SUMPRODUCT(B$6:D$6,B39:D39)</f>
        <v>0.62984739001608081</v>
      </c>
      <c r="H39">
        <v>-30</v>
      </c>
      <c r="I39" s="8">
        <v>0.11508935651096078</v>
      </c>
      <c r="M39" s="115"/>
    </row>
    <row r="40" spans="1:13">
      <c r="A40" s="86" t="s">
        <v>168</v>
      </c>
      <c r="B40" s="116">
        <f t="shared" si="0"/>
        <v>0.84220868949401839</v>
      </c>
      <c r="C40" s="116">
        <f t="shared" si="0"/>
        <v>0.75</v>
      </c>
      <c r="D40" s="116">
        <f t="shared" si="0"/>
        <v>0.52631264493850705</v>
      </c>
      <c r="E40" s="117">
        <f>SUMPRODUCT(B$6:D$6,B40:D40)</f>
        <v>0.72635120255753316</v>
      </c>
      <c r="H40">
        <v>-25</v>
      </c>
      <c r="I40" s="8">
        <v>0.16701254233980919</v>
      </c>
      <c r="M40" s="115"/>
    </row>
    <row r="41" spans="1:13">
      <c r="A41" s="86" t="s">
        <v>171</v>
      </c>
      <c r="B41" s="116">
        <f t="shared" si="0"/>
        <v>0.58830916800051269</v>
      </c>
      <c r="C41" s="116">
        <f t="shared" si="0"/>
        <v>0.61760844061959741</v>
      </c>
      <c r="D41" s="116">
        <f t="shared" si="0"/>
        <v>0.64588122214034427</v>
      </c>
      <c r="E41" s="117">
        <f>SUMPRODUCT(B$6:D$6,B41:D41)</f>
        <v>0.61442189058310448</v>
      </c>
      <c r="H41">
        <v>-20</v>
      </c>
      <c r="I41" s="8">
        <v>0.21579622835252826</v>
      </c>
      <c r="M41" s="115"/>
    </row>
    <row r="42" spans="1:13">
      <c r="D42" s="3"/>
      <c r="E42" s="21"/>
      <c r="H42">
        <v>-15</v>
      </c>
      <c r="I42" s="8">
        <v>0.26179852012316396</v>
      </c>
      <c r="M42" s="115"/>
    </row>
    <row r="43" spans="1:13">
      <c r="A43" s="1" t="s">
        <v>184</v>
      </c>
      <c r="B43" t="s">
        <v>172</v>
      </c>
      <c r="C43" s="61"/>
      <c r="D43" s="3" t="s">
        <v>117</v>
      </c>
      <c r="H43">
        <v>-10</v>
      </c>
      <c r="I43" s="8">
        <v>0.30531954433959413</v>
      </c>
      <c r="M43" s="115"/>
    </row>
    <row r="44" spans="1:13">
      <c r="A44" s="51" t="s">
        <v>292</v>
      </c>
      <c r="B44" t="str">
        <f>IF(D44=E39,$A$8,IF(D44=E40,$A$9,$A$10))</f>
        <v>basic</v>
      </c>
      <c r="D44" s="8">
        <f>MAX(E39:E41)</f>
        <v>0.72635120255753316</v>
      </c>
      <c r="H44">
        <v>-5</v>
      </c>
      <c r="I44" s="8">
        <v>0.34661332656195604</v>
      </c>
      <c r="M44" s="115"/>
    </row>
    <row r="45" spans="1:13">
      <c r="H45">
        <v>0</v>
      </c>
      <c r="I45" s="8">
        <v>0.38589677495318081</v>
      </c>
      <c r="M45" s="115"/>
    </row>
    <row r="46" spans="1:13">
      <c r="H46">
        <v>5</v>
      </c>
      <c r="I46" s="8">
        <v>0.42335657696772783</v>
      </c>
      <c r="M46" s="115"/>
    </row>
    <row r="47" spans="1:13">
      <c r="H47">
        <v>10</v>
      </c>
      <c r="I47" s="8">
        <v>0.45915456507434677</v>
      </c>
      <c r="M47" s="115"/>
    </row>
    <row r="48" spans="1:13">
      <c r="H48">
        <v>15</v>
      </c>
      <c r="I48" s="8">
        <v>0.49343194205787244</v>
      </c>
      <c r="M48" s="115"/>
    </row>
    <row r="49" spans="8:13">
      <c r="H49">
        <v>20</v>
      </c>
      <c r="I49" s="8">
        <v>0.52631264493850705</v>
      </c>
      <c r="M49" s="115"/>
    </row>
    <row r="50" spans="8:13">
      <c r="H50">
        <v>25</v>
      </c>
      <c r="I50" s="8">
        <v>0.55790605000394555</v>
      </c>
      <c r="M50" s="115"/>
    </row>
    <row r="51" spans="8:13">
      <c r="H51">
        <v>30</v>
      </c>
      <c r="I51" s="8">
        <v>0.58830916800051269</v>
      </c>
      <c r="M51" s="115"/>
    </row>
    <row r="52" spans="8:13">
      <c r="H52">
        <v>35</v>
      </c>
      <c r="I52" s="8">
        <v>0.61760844061959741</v>
      </c>
      <c r="M52" s="115"/>
    </row>
    <row r="53" spans="8:13">
      <c r="H53">
        <v>40</v>
      </c>
      <c r="I53" s="8">
        <v>0.64588122214034427</v>
      </c>
      <c r="M53" s="115"/>
    </row>
    <row r="54" spans="8:13">
      <c r="H54">
        <v>45</v>
      </c>
      <c r="I54" s="8">
        <v>0.67319701020607059</v>
      </c>
      <c r="M54" s="115"/>
    </row>
    <row r="55" spans="8:13">
      <c r="H55">
        <v>50</v>
      </c>
      <c r="I55" s="8">
        <v>0.69961847504020214</v>
      </c>
      <c r="M55" s="115"/>
    </row>
    <row r="56" spans="8:13">
      <c r="H56">
        <v>55</v>
      </c>
      <c r="I56" s="8">
        <v>0.72520232545942431</v>
      </c>
      <c r="M56" s="115"/>
    </row>
    <row r="57" spans="8:13">
      <c r="H57">
        <v>60</v>
      </c>
      <c r="I57" s="8">
        <v>0.75</v>
      </c>
      <c r="M57" s="115"/>
    </row>
    <row r="58" spans="8:13">
      <c r="H58">
        <v>65</v>
      </c>
      <c r="I58" s="8">
        <v>0.77405849948167771</v>
      </c>
      <c r="M58" s="115"/>
    </row>
    <row r="59" spans="8:13">
      <c r="H59">
        <v>70</v>
      </c>
      <c r="I59" s="8">
        <v>0.79742050247747287</v>
      </c>
      <c r="M59" s="115"/>
    </row>
    <row r="60" spans="8:13">
      <c r="H60">
        <v>75</v>
      </c>
      <c r="I60" s="8">
        <v>0.82012524147118793</v>
      </c>
      <c r="M60" s="115"/>
    </row>
    <row r="61" spans="8:13">
      <c r="H61">
        <v>80</v>
      </c>
      <c r="I61" s="8">
        <v>0.84220868949401839</v>
      </c>
      <c r="M61" s="115"/>
    </row>
    <row r="62" spans="8:13">
      <c r="H62">
        <v>85</v>
      </c>
      <c r="I62" s="8">
        <v>0.86370394478753443</v>
      </c>
      <c r="M62" s="115"/>
    </row>
    <row r="63" spans="8:13">
      <c r="H63">
        <v>90</v>
      </c>
      <c r="I63" s="8">
        <v>0.88464152919122119</v>
      </c>
      <c r="M63" s="115"/>
    </row>
    <row r="64" spans="8:13">
      <c r="H64">
        <v>95</v>
      </c>
      <c r="I64" s="8">
        <v>0.90504964879342509</v>
      </c>
      <c r="M64" s="115"/>
    </row>
    <row r="65" spans="8:13">
      <c r="H65">
        <v>100</v>
      </c>
      <c r="I65" s="8">
        <v>0.92495442243167547</v>
      </c>
      <c r="M65" s="115"/>
    </row>
    <row r="66" spans="8:13">
      <c r="H66">
        <v>105</v>
      </c>
      <c r="I66" s="8">
        <v>0.94438008268687046</v>
      </c>
      <c r="M66" s="115"/>
    </row>
    <row r="67" spans="8:13">
      <c r="H67">
        <v>110</v>
      </c>
      <c r="I67" s="8">
        <v>0.96334915325142834</v>
      </c>
      <c r="M67" s="115"/>
    </row>
    <row r="68" spans="8:13">
      <c r="H68">
        <v>115</v>
      </c>
      <c r="I68" s="8">
        <v>0.98188260592755872</v>
      </c>
      <c r="M68" s="115"/>
    </row>
    <row r="69" spans="8:13">
      <c r="H69">
        <v>120</v>
      </c>
      <c r="I69" s="8">
        <v>1</v>
      </c>
      <c r="M69" s="115"/>
    </row>
  </sheetData>
  <phoneticPr fontId="11" type="noConversion"/>
  <printOptions gridLines="1"/>
  <pageMargins left="0.78740157499999996" right="0.78740157499999996" top="0.984251969" bottom="0.984251969" header="0.4921259845" footer="0.4921259845"/>
  <pageSetup paperSize="9" orientation="portrait" horizontalDpi="300" verticalDpi="300" r:id="rId1"/>
  <headerFooter alignWithMargins="0"/>
  <drawing r:id="rId2"/>
</worksheet>
</file>

<file path=xl/worksheets/sheet32.xml><?xml version="1.0" encoding="utf-8"?>
<worksheet xmlns="http://schemas.openxmlformats.org/spreadsheetml/2006/main" xmlns:r="http://schemas.openxmlformats.org/officeDocument/2006/relationships">
  <sheetPr codeName="Tabelle3"/>
  <dimension ref="A1:M143"/>
  <sheetViews>
    <sheetView workbookViewId="0"/>
  </sheetViews>
  <sheetFormatPr defaultColWidth="11.42578125" defaultRowHeight="12.75"/>
  <cols>
    <col min="1" max="1" width="15.7109375" customWidth="1"/>
    <col min="2" max="2" width="13.28515625" customWidth="1"/>
    <col min="3" max="3" width="11.140625" customWidth="1"/>
    <col min="4" max="12" width="11.42578125" customWidth="1"/>
    <col min="13" max="13" width="20.7109375" bestFit="1" customWidth="1"/>
  </cols>
  <sheetData>
    <row r="1" spans="1:13">
      <c r="A1" s="1" t="s">
        <v>448</v>
      </c>
    </row>
    <row r="2" spans="1:13" ht="15" customHeight="1">
      <c r="B2" s="33" t="s">
        <v>146</v>
      </c>
      <c r="C2" s="33" t="s">
        <v>147</v>
      </c>
      <c r="D2" s="11"/>
      <c r="E2" s="170" t="s">
        <v>436</v>
      </c>
      <c r="F2" s="33" t="s">
        <v>146</v>
      </c>
      <c r="G2" s="33" t="s">
        <v>147</v>
      </c>
    </row>
    <row r="3" spans="1:13" ht="15" customHeight="1">
      <c r="A3" t="s">
        <v>433</v>
      </c>
      <c r="B3">
        <v>7.0000000000000007E-2</v>
      </c>
      <c r="C3">
        <v>0.2</v>
      </c>
      <c r="D3" s="11"/>
      <c r="E3">
        <v>0</v>
      </c>
      <c r="F3">
        <f t="shared" ref="F3:F8" si="0">E3*$B$3+(1-E3)*$B$4</f>
        <v>0.02</v>
      </c>
      <c r="G3">
        <f t="shared" ref="G3:G8" si="1">E3*$C$3</f>
        <v>0</v>
      </c>
    </row>
    <row r="4" spans="1:13" ht="15" customHeight="1">
      <c r="A4" s="51" t="s">
        <v>443</v>
      </c>
      <c r="B4">
        <v>0.02</v>
      </c>
      <c r="D4" s="11"/>
      <c r="E4">
        <v>0.2</v>
      </c>
      <c r="F4">
        <f t="shared" si="0"/>
        <v>3.0000000000000002E-2</v>
      </c>
      <c r="G4">
        <f t="shared" si="1"/>
        <v>4.0000000000000008E-2</v>
      </c>
    </row>
    <row r="5" spans="1:13" ht="15" customHeight="1">
      <c r="A5" s="51" t="s">
        <v>434</v>
      </c>
      <c r="B5" s="3" t="s">
        <v>444</v>
      </c>
      <c r="C5">
        <v>1</v>
      </c>
      <c r="D5" s="11"/>
      <c r="E5">
        <v>0.4</v>
      </c>
      <c r="F5">
        <f t="shared" si="0"/>
        <v>4.0000000000000008E-2</v>
      </c>
      <c r="G5">
        <f t="shared" si="1"/>
        <v>8.0000000000000016E-2</v>
      </c>
    </row>
    <row r="6" spans="1:13" ht="15" customHeight="1">
      <c r="E6">
        <v>0.6</v>
      </c>
      <c r="F6">
        <f t="shared" si="0"/>
        <v>0.05</v>
      </c>
      <c r="G6">
        <f t="shared" si="1"/>
        <v>0.12</v>
      </c>
    </row>
    <row r="7" spans="1:13" ht="15" customHeight="1">
      <c r="A7" s="167" t="s">
        <v>456</v>
      </c>
      <c r="B7" s="3" t="s">
        <v>447</v>
      </c>
      <c r="C7" s="3">
        <v>0.125</v>
      </c>
      <c r="D7" s="82"/>
      <c r="E7">
        <v>0.8</v>
      </c>
      <c r="F7">
        <f t="shared" si="0"/>
        <v>6.0000000000000005E-2</v>
      </c>
      <c r="G7">
        <f t="shared" si="1"/>
        <v>0.16000000000000003</v>
      </c>
    </row>
    <row r="8" spans="1:13" ht="15" customHeight="1">
      <c r="A8" s="51"/>
      <c r="B8" s="3"/>
      <c r="D8" s="82"/>
      <c r="E8">
        <v>1</v>
      </c>
      <c r="F8">
        <f t="shared" si="0"/>
        <v>7.0000000000000007E-2</v>
      </c>
      <c r="G8">
        <f t="shared" si="1"/>
        <v>0.2</v>
      </c>
    </row>
    <row r="9" spans="1:13" ht="15" customHeight="1">
      <c r="A9" s="51" t="s">
        <v>435</v>
      </c>
      <c r="B9" s="3" t="s">
        <v>436</v>
      </c>
      <c r="C9">
        <v>0.16049181809080709</v>
      </c>
      <c r="D9" t="s">
        <v>460</v>
      </c>
    </row>
    <row r="10" spans="1:13" ht="15" customHeight="1">
      <c r="B10" s="3" t="s">
        <v>459</v>
      </c>
      <c r="C10">
        <f>(B3-B4)/(C3^2/C7)</f>
        <v>0.15624999999999997</v>
      </c>
      <c r="D10" t="s">
        <v>461</v>
      </c>
    </row>
    <row r="11" spans="1:13" ht="15" customHeight="1">
      <c r="B11" s="3"/>
    </row>
    <row r="12" spans="1:13">
      <c r="A12" s="49" t="s">
        <v>292</v>
      </c>
      <c r="B12" s="3" t="s">
        <v>437</v>
      </c>
      <c r="C12" s="79">
        <f>AVERAGE(C14:C113)</f>
        <v>-2.7688981373607461E-4</v>
      </c>
    </row>
    <row r="13" spans="1:13" ht="25.5">
      <c r="A13" s="3" t="s">
        <v>438</v>
      </c>
      <c r="B13" s="13" t="s">
        <v>439</v>
      </c>
      <c r="C13" s="3" t="s">
        <v>440</v>
      </c>
      <c r="M13" s="13" t="s">
        <v>441</v>
      </c>
    </row>
    <row r="14" spans="1:13">
      <c r="A14" s="65">
        <f t="shared" ref="A14:A45" si="2">M14*$C$3+$B$3</f>
        <v>2.214802335074488E-2</v>
      </c>
      <c r="B14" s="65">
        <f t="shared" ref="B14:B45" si="3">C$5*(1+$B$4)+C$9*($A14-$B$4)</f>
        <v>1.0203447401728625</v>
      </c>
      <c r="C14" s="9">
        <f t="shared" ref="C14:C45" si="4">-EXP(-B14/$C$7)</f>
        <v>-2.8507509494081002E-4</v>
      </c>
      <c r="M14" s="65">
        <v>-0.23925988324627562</v>
      </c>
    </row>
    <row r="15" spans="1:13">
      <c r="A15" s="65">
        <f t="shared" si="2"/>
        <v>-0.15792305903268949</v>
      </c>
      <c r="B15" s="65">
        <f t="shared" si="3"/>
        <v>0.99144480477556574</v>
      </c>
      <c r="C15" s="9">
        <f t="shared" si="4"/>
        <v>-3.592261447241865E-4</v>
      </c>
      <c r="M15" s="65">
        <v>-1.1396152951634475</v>
      </c>
    </row>
    <row r="16" spans="1:13">
      <c r="A16" s="65">
        <f t="shared" si="2"/>
        <v>0.1224566902165613</v>
      </c>
      <c r="B16" s="65">
        <f t="shared" si="3"/>
        <v>1.0364434604884225</v>
      </c>
      <c r="C16" s="9">
        <f t="shared" si="4"/>
        <v>-2.506262721747414E-4</v>
      </c>
      <c r="M16" s="65">
        <v>0.26228345108280643</v>
      </c>
    </row>
    <row r="17" spans="1:13">
      <c r="A17" s="65">
        <f t="shared" si="2"/>
        <v>0.31261690543192822</v>
      </c>
      <c r="B17" s="65">
        <f t="shared" si="3"/>
        <v>1.066962619156876</v>
      </c>
      <c r="C17" s="9">
        <f t="shared" si="4"/>
        <v>-1.9633249101130355E-4</v>
      </c>
      <c r="M17" s="65">
        <v>1.2130845271596411</v>
      </c>
    </row>
    <row r="18" spans="1:13">
      <c r="A18" s="65">
        <f t="shared" si="2"/>
        <v>0.29822462298684105</v>
      </c>
      <c r="B18" s="65">
        <f t="shared" si="3"/>
        <v>1.0646527755807875</v>
      </c>
      <c r="C18" s="9">
        <f t="shared" si="4"/>
        <v>-1.9999419743816339E-4</v>
      </c>
      <c r="M18" s="65">
        <v>1.1411231149342052</v>
      </c>
    </row>
    <row r="19" spans="1:13">
      <c r="A19" s="65">
        <f t="shared" si="2"/>
        <v>0.3967450930553677</v>
      </c>
      <c r="B19" s="65">
        <f t="shared" si="3"/>
        <v>1.0804645049412462</v>
      </c>
      <c r="C19" s="9">
        <f t="shared" si="4"/>
        <v>-1.7623080332126586E-4</v>
      </c>
      <c r="M19" s="65">
        <v>1.6337254652768385</v>
      </c>
    </row>
    <row r="20" spans="1:13">
      <c r="A20" s="65">
        <f t="shared" si="2"/>
        <v>-0.32481346806828681</v>
      </c>
      <c r="B20" s="65">
        <f t="shared" si="3"/>
        <v>0.96466025960752422</v>
      </c>
      <c r="C20" s="9">
        <f t="shared" si="4"/>
        <v>-4.4506862381806281E-4</v>
      </c>
      <c r="M20" s="65">
        <v>-1.9740673403414339</v>
      </c>
    </row>
    <row r="21" spans="1:13">
      <c r="A21" s="65">
        <f t="shared" si="2"/>
        <v>3.4316264827172038E-2</v>
      </c>
      <c r="B21" s="65">
        <f t="shared" si="3"/>
        <v>1.0222976433703823</v>
      </c>
      <c r="C21" s="9">
        <f t="shared" si="4"/>
        <v>-2.8065591324918519E-4</v>
      </c>
      <c r="M21" s="65">
        <v>-0.17841867586413984</v>
      </c>
    </row>
    <row r="22" spans="1:13">
      <c r="A22" s="65">
        <f t="shared" si="2"/>
        <v>0.27918906073431499</v>
      </c>
      <c r="B22" s="65">
        <f t="shared" si="3"/>
        <v>1.0615977235864988</v>
      </c>
      <c r="C22" s="9">
        <f t="shared" si="4"/>
        <v>-2.0494236008228103E-4</v>
      </c>
      <c r="M22" s="65">
        <v>1.0459453036715749</v>
      </c>
    </row>
    <row r="23" spans="1:13">
      <c r="A23" s="65">
        <f t="shared" si="2"/>
        <v>-0.12273927126310663</v>
      </c>
      <c r="B23" s="65">
        <f t="shared" si="3"/>
        <v>0.99709151484202718</v>
      </c>
      <c r="C23" s="9">
        <f t="shared" si="4"/>
        <v>-3.4335964969940452E-4</v>
      </c>
      <c r="M23" s="65">
        <v>-0.96369635631553308</v>
      </c>
    </row>
    <row r="24" spans="1:13">
      <c r="A24" s="65">
        <f t="shared" si="2"/>
        <v>-4.9694636522376379E-2</v>
      </c>
      <c r="B24" s="65">
        <f t="shared" si="3"/>
        <v>1.0088145810733458</v>
      </c>
      <c r="C24" s="9">
        <f t="shared" si="4"/>
        <v>-3.1262172376335373E-4</v>
      </c>
      <c r="M24" s="65">
        <v>-0.59847318261188187</v>
      </c>
    </row>
    <row r="25" spans="1:13">
      <c r="A25" s="65">
        <f t="shared" si="2"/>
        <v>-0.23396184479403975</v>
      </c>
      <c r="B25" s="65">
        <f t="shared" si="3"/>
        <v>0.9792412018033092</v>
      </c>
      <c r="C25" s="9">
        <f t="shared" si="4"/>
        <v>-3.960660314888322E-4</v>
      </c>
      <c r="M25" s="65">
        <v>-1.5198092239701988</v>
      </c>
    </row>
    <row r="26" spans="1:13">
      <c r="A26" s="65">
        <f t="shared" si="2"/>
        <v>-0.26278913539827453</v>
      </c>
      <c r="B26" s="65">
        <f t="shared" si="3"/>
        <v>0.97461465752360354</v>
      </c>
      <c r="C26" s="9">
        <f t="shared" si="4"/>
        <v>-4.110000342277572E-4</v>
      </c>
      <c r="M26" s="65">
        <v>-1.6639456769913725</v>
      </c>
    </row>
    <row r="27" spans="1:13">
      <c r="A27" s="65">
        <f t="shared" si="2"/>
        <v>-0.10264561926826296</v>
      </c>
      <c r="B27" s="65">
        <f t="shared" si="3"/>
        <v>1.0003163815827636</v>
      </c>
      <c r="C27" s="9">
        <f t="shared" si="4"/>
        <v>-3.3461462794410395E-4</v>
      </c>
      <c r="M27" s="65">
        <v>-0.86322809634131481</v>
      </c>
    </row>
    <row r="28" spans="1:13">
      <c r="A28" s="65">
        <f t="shared" si="2"/>
        <v>-6.5041126581477593E-2</v>
      </c>
      <c r="B28" s="65">
        <f t="shared" si="3"/>
        <v>1.0063515949824482</v>
      </c>
      <c r="C28" s="9">
        <f t="shared" si="4"/>
        <v>-3.1884267461489504E-4</v>
      </c>
      <c r="M28" s="65">
        <v>-0.675205632907388</v>
      </c>
    </row>
    <row r="29" spans="1:13">
      <c r="A29" s="65">
        <f t="shared" si="2"/>
        <v>-0.31271790219371715</v>
      </c>
      <c r="B29" s="65">
        <f t="shared" si="3"/>
        <v>0.96660149896557102</v>
      </c>
      <c r="C29" s="9">
        <f t="shared" si="4"/>
        <v>-4.3821013966143928E-4</v>
      </c>
      <c r="M29" s="65">
        <v>-1.9135895109685856</v>
      </c>
    </row>
    <row r="30" spans="1:13">
      <c r="A30" s="65">
        <f t="shared" si="2"/>
        <v>-2.7167713223841927E-2</v>
      </c>
      <c r="B30" s="65">
        <f t="shared" si="3"/>
        <v>1.0124299679495199</v>
      </c>
      <c r="C30" s="9">
        <f t="shared" si="4"/>
        <v>-3.0370924547222039E-4</v>
      </c>
      <c r="M30" s="65">
        <v>-0.48583856611920967</v>
      </c>
    </row>
    <row r="31" spans="1:13">
      <c r="A31" s="65">
        <f t="shared" si="2"/>
        <v>3.022611434827252E-3</v>
      </c>
      <c r="B31" s="65">
        <f t="shared" si="3"/>
        <v>1.0172752680427413</v>
      </c>
      <c r="C31" s="9">
        <f t="shared" si="4"/>
        <v>-2.9216199143237769E-4</v>
      </c>
      <c r="M31" s="65">
        <v>-0.33488694282586373</v>
      </c>
    </row>
    <row r="32" spans="1:13">
      <c r="A32" s="65">
        <f t="shared" si="2"/>
        <v>0.10230167236769963</v>
      </c>
      <c r="B32" s="65">
        <f t="shared" si="3"/>
        <v>1.0332087450302061</v>
      </c>
      <c r="C32" s="9">
        <f t="shared" si="4"/>
        <v>-2.5719655492144908E-4</v>
      </c>
      <c r="M32" s="65">
        <v>0.16150836183849807</v>
      </c>
    </row>
    <row r="33" spans="1:13">
      <c r="A33" s="65">
        <f t="shared" si="2"/>
        <v>1.0125342517807577E-2</v>
      </c>
      <c r="B33" s="65">
        <f t="shared" si="3"/>
        <v>1.018415198267659</v>
      </c>
      <c r="C33" s="9">
        <f t="shared" si="4"/>
        <v>-2.8950974902162838E-4</v>
      </c>
      <c r="M33" s="65">
        <v>-0.29937328741096214</v>
      </c>
    </row>
    <row r="34" spans="1:13">
      <c r="A34" s="65">
        <f t="shared" si="2"/>
        <v>1.7218439371146851E-2</v>
      </c>
      <c r="B34" s="65">
        <f t="shared" si="3"/>
        <v>1.0195535822775457</v>
      </c>
      <c r="C34" s="9">
        <f t="shared" si="4"/>
        <v>-2.8688513229671521E-4</v>
      </c>
      <c r="M34" s="65">
        <v>-0.26390780314426576</v>
      </c>
    </row>
    <row r="35" spans="1:13">
      <c r="A35" s="65">
        <f t="shared" si="2"/>
        <v>9.250722018219637E-3</v>
      </c>
      <c r="B35" s="65">
        <f t="shared" si="3"/>
        <v>1.0182748288335406</v>
      </c>
      <c r="C35" s="9">
        <f t="shared" si="4"/>
        <v>-2.8983503818720503E-4</v>
      </c>
      <c r="M35" s="65">
        <v>-0.30374638990890185</v>
      </c>
    </row>
    <row r="36" spans="1:13">
      <c r="A36" s="65">
        <f t="shared" si="2"/>
        <v>0.32480671920516035</v>
      </c>
      <c r="B36" s="65">
        <f t="shared" si="3"/>
        <v>1.0689189845315303</v>
      </c>
      <c r="C36" s="9">
        <f t="shared" si="4"/>
        <v>-1.9328362731314429E-4</v>
      </c>
      <c r="M36" s="65">
        <v>1.2740335960258018</v>
      </c>
    </row>
    <row r="37" spans="1:13">
      <c r="A37" s="65">
        <f t="shared" si="2"/>
        <v>6.1746801573228607E-2</v>
      </c>
      <c r="B37" s="65">
        <f t="shared" si="3"/>
        <v>1.0267000200839635</v>
      </c>
      <c r="C37" s="9">
        <f t="shared" si="4"/>
        <v>-2.7094352309365053E-4</v>
      </c>
      <c r="M37" s="65">
        <v>-4.126599213385701E-2</v>
      </c>
    </row>
    <row r="38" spans="1:13">
      <c r="A38" s="65">
        <f t="shared" si="2"/>
        <v>4.3163419794507718E-2</v>
      </c>
      <c r="B38" s="65">
        <f t="shared" si="3"/>
        <v>1.0237175393560212</v>
      </c>
      <c r="C38" s="9">
        <f t="shared" si="4"/>
        <v>-2.7748593386197809E-4</v>
      </c>
      <c r="M38" s="65">
        <v>-0.13418290102746144</v>
      </c>
    </row>
    <row r="39" spans="1:13">
      <c r="A39" s="65">
        <f t="shared" si="2"/>
        <v>-1.7087376862451223E-2</v>
      </c>
      <c r="B39" s="65">
        <f t="shared" si="3"/>
        <v>1.0140477794591263</v>
      </c>
      <c r="C39" s="9">
        <f t="shared" si="4"/>
        <v>-2.9980381846382256E-4</v>
      </c>
      <c r="M39" s="65">
        <v>-0.43543688431225613</v>
      </c>
    </row>
    <row r="40" spans="1:13">
      <c r="A40" s="65">
        <f t="shared" si="2"/>
        <v>0.44078943993787389</v>
      </c>
      <c r="B40" s="65">
        <f t="shared" si="3"/>
        <v>1.0875332622490419</v>
      </c>
      <c r="C40" s="9">
        <f t="shared" si="4"/>
        <v>-1.6654148873507081E-4</v>
      </c>
      <c r="M40" s="65">
        <v>1.8539471996893693</v>
      </c>
    </row>
    <row r="41" spans="1:13">
      <c r="A41" s="65">
        <f t="shared" si="2"/>
        <v>0.23693709944459468</v>
      </c>
      <c r="B41" s="65">
        <f t="shared" si="3"/>
        <v>1.0548166295012091</v>
      </c>
      <c r="C41" s="9">
        <f t="shared" si="4"/>
        <v>-2.1636732065392574E-4</v>
      </c>
      <c r="M41" s="65">
        <v>0.83468549722297325</v>
      </c>
    </row>
    <row r="42" spans="1:13">
      <c r="A42" s="65">
        <f t="shared" si="2"/>
        <v>0.51511375170266605</v>
      </c>
      <c r="B42" s="65">
        <f t="shared" si="3"/>
        <v>1.0994617061725214</v>
      </c>
      <c r="C42" s="9">
        <f t="shared" si="4"/>
        <v>-1.5138358422174363E-4</v>
      </c>
      <c r="M42" s="65">
        <v>2.2255687585133299</v>
      </c>
    </row>
    <row r="43" spans="1:13">
      <c r="A43" s="65">
        <f t="shared" si="2"/>
        <v>-4.3191950394213904E-2</v>
      </c>
      <c r="B43" s="65">
        <f t="shared" si="3"/>
        <v>1.0098582089925285</v>
      </c>
      <c r="C43" s="9">
        <f t="shared" si="4"/>
        <v>-3.1002250326563448E-4</v>
      </c>
      <c r="M43" s="65">
        <v>-0.56595975197106951</v>
      </c>
    </row>
    <row r="44" spans="1:13">
      <c r="A44" s="65">
        <f t="shared" si="2"/>
        <v>0.38354033413342797</v>
      </c>
      <c r="B44" s="65">
        <f t="shared" si="3"/>
        <v>1.0783452491744134</v>
      </c>
      <c r="C44" s="9">
        <f t="shared" si="4"/>
        <v>-1.7924410009934359E-4</v>
      </c>
      <c r="M44" s="65">
        <v>1.5677016706671396</v>
      </c>
    </row>
    <row r="45" spans="1:13">
      <c r="A45" s="65">
        <f t="shared" si="2"/>
        <v>-0.21958589865138745</v>
      </c>
      <c r="B45" s="65">
        <f t="shared" si="3"/>
        <v>0.98154842353651905</v>
      </c>
      <c r="C45" s="9">
        <f t="shared" si="4"/>
        <v>-3.8882258880313915E-4</v>
      </c>
      <c r="M45" s="65">
        <v>-1.4479294932569371</v>
      </c>
    </row>
    <row r="46" spans="1:13">
      <c r="A46" s="65">
        <f t="shared" ref="A46:A77" si="5">M46*$C$3+$B$3</f>
        <v>0.17674620256323012</v>
      </c>
      <c r="B46" s="65">
        <f t="shared" ref="B46:B77" si="6">C$5*(1+$B$4)+C$9*($A46-$B$4)</f>
        <v>1.0451564830282027</v>
      </c>
      <c r="C46" s="9">
        <f t="shared" ref="C46:C77" si="7">-EXP(-B46/$C$7)</f>
        <v>-2.3375152535693071E-4</v>
      </c>
      <c r="M46" s="65">
        <v>0.53373101281615054</v>
      </c>
    </row>
    <row r="47" spans="1:13">
      <c r="A47" s="65">
        <f t="shared" si="5"/>
        <v>0.24366472389089827</v>
      </c>
      <c r="B47" s="65">
        <f t="shared" si="6"/>
        <v>1.0558963581800287</v>
      </c>
      <c r="C47" s="9">
        <f t="shared" si="7"/>
        <v>-2.1450642526268737E-4</v>
      </c>
      <c r="M47" s="65">
        <v>0.86832361945449132</v>
      </c>
    </row>
    <row r="48" spans="1:13">
      <c r="A48" s="65">
        <f t="shared" si="5"/>
        <v>0.4309709032949901</v>
      </c>
      <c r="B48" s="65">
        <f t="shared" si="6"/>
        <v>1.0859574674522343</v>
      </c>
      <c r="C48" s="9">
        <f t="shared" si="7"/>
        <v>-1.6865425961964559E-4</v>
      </c>
      <c r="M48" s="65">
        <v>1.8048545164749503</v>
      </c>
    </row>
    <row r="49" spans="1:13">
      <c r="A49" s="65">
        <f t="shared" si="5"/>
        <v>6.1888173421222346E-2</v>
      </c>
      <c r="B49" s="65">
        <f t="shared" si="6"/>
        <v>1.0267227091088751</v>
      </c>
      <c r="C49" s="9">
        <f t="shared" si="7"/>
        <v>-2.7089434800196431E-4</v>
      </c>
      <c r="M49" s="65">
        <v>-4.0559132893888308E-2</v>
      </c>
    </row>
    <row r="50" spans="1:13">
      <c r="A50" s="65">
        <f t="shared" si="5"/>
        <v>-1.9037889485215231E-2</v>
      </c>
      <c r="B50" s="65">
        <f t="shared" si="6"/>
        <v>1.0137347381420898</v>
      </c>
      <c r="C50" s="9">
        <f t="shared" si="7"/>
        <v>-3.0055556724211551E-4</v>
      </c>
      <c r="M50" s="65">
        <v>-0.44518944742607619</v>
      </c>
    </row>
    <row r="51" spans="1:13">
      <c r="A51" s="65">
        <f t="shared" si="5"/>
        <v>0.20183583094628513</v>
      </c>
      <c r="B51" s="65">
        <f t="shared" si="6"/>
        <v>1.0491831631026221</v>
      </c>
      <c r="C51" s="9">
        <f t="shared" si="7"/>
        <v>-2.2634157524259089E-4</v>
      </c>
      <c r="M51" s="65">
        <v>0.65917915473142563</v>
      </c>
    </row>
    <row r="52" spans="1:13">
      <c r="A52" s="65">
        <f t="shared" si="5"/>
        <v>7.2088936536404136E-3</v>
      </c>
      <c r="B52" s="65">
        <f t="shared" si="6"/>
        <v>1.0179471320870799</v>
      </c>
      <c r="C52" s="9">
        <f t="shared" si="7"/>
        <v>-2.905958590177044E-4</v>
      </c>
      <c r="M52" s="65">
        <v>-0.31395553173179797</v>
      </c>
    </row>
    <row r="53" spans="1:13">
      <c r="A53" s="65">
        <f t="shared" si="5"/>
        <v>0.21702942996977834</v>
      </c>
      <c r="B53" s="65">
        <f t="shared" si="6"/>
        <v>1.0516216114332451</v>
      </c>
      <c r="C53" s="9">
        <f t="shared" si="7"/>
        <v>-2.2196898535364149E-4</v>
      </c>
      <c r="M53" s="65">
        <v>0.73514714984889162</v>
      </c>
    </row>
    <row r="54" spans="1:13">
      <c r="A54" s="65">
        <f t="shared" si="5"/>
        <v>-0.18859718957115951</v>
      </c>
      <c r="B54" s="65">
        <f t="shared" si="6"/>
        <v>0.98652185779709189</v>
      </c>
      <c r="C54" s="9">
        <f t="shared" si="7"/>
        <v>-3.7365604018000005E-4</v>
      </c>
      <c r="M54" s="65">
        <v>-1.2929859478557975</v>
      </c>
    </row>
    <row r="55" spans="1:13">
      <c r="A55" s="65">
        <f t="shared" si="5"/>
        <v>-7.8624133736716201E-2</v>
      </c>
      <c r="B55" s="65">
        <f t="shared" si="6"/>
        <v>1.0041716334689634</v>
      </c>
      <c r="C55" s="9">
        <f t="shared" si="7"/>
        <v>-3.244519626511577E-4</v>
      </c>
      <c r="M55" s="65">
        <v>-0.74312066868358095</v>
      </c>
    </row>
    <row r="56" spans="1:13">
      <c r="A56" s="65">
        <f t="shared" si="5"/>
        <v>-0.20285333616262308</v>
      </c>
      <c r="B56" s="65">
        <f t="shared" si="6"/>
        <v>0.98423386291165882</v>
      </c>
      <c r="C56" s="9">
        <f t="shared" si="7"/>
        <v>-3.8055840262063022E-4</v>
      </c>
      <c r="M56" s="65">
        <v>-1.3642666808131154</v>
      </c>
    </row>
    <row r="57" spans="1:13">
      <c r="A57" s="65">
        <f t="shared" si="5"/>
        <v>1.060726343963514E-2</v>
      </c>
      <c r="B57" s="65">
        <f t="shared" si="6"/>
        <v>1.018492542632579</v>
      </c>
      <c r="C57" s="9">
        <f t="shared" si="7"/>
        <v>-2.8933066884930084E-4</v>
      </c>
      <c r="M57" s="65">
        <v>-0.29696368280182434</v>
      </c>
    </row>
    <row r="58" spans="1:13">
      <c r="A58" s="65">
        <f t="shared" si="5"/>
        <v>7.1474860233396387E-2</v>
      </c>
      <c r="B58" s="65">
        <f t="shared" si="6"/>
        <v>1.0282612939048279</v>
      </c>
      <c r="C58" s="9">
        <f t="shared" si="7"/>
        <v>-2.6758043339437292E-4</v>
      </c>
      <c r="M58" s="65">
        <v>7.3743011669819324E-3</v>
      </c>
    </row>
    <row r="59" spans="1:13">
      <c r="A59" s="65">
        <f t="shared" si="5"/>
        <v>8.2638209670306551E-2</v>
      </c>
      <c r="B59" s="65">
        <f t="shared" si="6"/>
        <v>1.0300529201519406</v>
      </c>
      <c r="C59" s="9">
        <f t="shared" si="7"/>
        <v>-2.6377255474338362E-4</v>
      </c>
      <c r="M59" s="65">
        <v>6.3191048351532747E-2</v>
      </c>
    </row>
    <row r="60" spans="1:13">
      <c r="A60" s="65">
        <f t="shared" si="5"/>
        <v>1.8005932924415685E-2</v>
      </c>
      <c r="B60" s="65">
        <f t="shared" si="6"/>
        <v>1.0196799685496445</v>
      </c>
      <c r="C60" s="9">
        <f t="shared" si="7"/>
        <v>-2.8659521214998779E-4</v>
      </c>
      <c r="M60" s="65">
        <v>-0.25997033537792158</v>
      </c>
    </row>
    <row r="61" spans="1:13">
      <c r="A61" s="65">
        <f t="shared" si="5"/>
        <v>0.48174078022605177</v>
      </c>
      <c r="B61" s="65">
        <f t="shared" si="6"/>
        <v>1.0941056173051469</v>
      </c>
      <c r="C61" s="9">
        <f t="shared" si="7"/>
        <v>-1.5801115306001199E-4</v>
      </c>
      <c r="M61" s="65">
        <v>2.0587039011302588</v>
      </c>
    </row>
    <row r="62" spans="1:13">
      <c r="A62" s="65">
        <f t="shared" si="5"/>
        <v>-0.24355083544373668</v>
      </c>
      <c r="B62" s="65">
        <f t="shared" si="6"/>
        <v>0.97770224726028365</v>
      </c>
      <c r="C62" s="9">
        <f t="shared" si="7"/>
        <v>-4.0097239313309144E-4</v>
      </c>
      <c r="M62" s="65">
        <v>-1.5677541772186834</v>
      </c>
    </row>
    <row r="63" spans="1:13">
      <c r="A63" s="65">
        <f t="shared" si="5"/>
        <v>-5.8219254236511503E-2</v>
      </c>
      <c r="B63" s="65">
        <f t="shared" si="6"/>
        <v>1.0074464496778752</v>
      </c>
      <c r="C63" s="9">
        <f t="shared" si="7"/>
        <v>-3.1606217815405849E-4</v>
      </c>
      <c r="M63" s="65">
        <v>-0.64109627118255752</v>
      </c>
    </row>
    <row r="64" spans="1:13">
      <c r="A64" s="65">
        <f t="shared" si="5"/>
        <v>-0.39739691642489522</v>
      </c>
      <c r="B64" s="65">
        <f t="shared" si="6"/>
        <v>0.95301121001747191</v>
      </c>
      <c r="C64" s="9">
        <f t="shared" si="7"/>
        <v>-4.8853976861658842E-4</v>
      </c>
      <c r="M64" s="65">
        <v>-2.3369845821244759</v>
      </c>
    </row>
    <row r="65" spans="1:13">
      <c r="A65" s="65">
        <f t="shared" si="5"/>
        <v>0.34415560336079548</v>
      </c>
      <c r="B65" s="65">
        <f t="shared" si="6"/>
        <v>1.0720243221276966</v>
      </c>
      <c r="C65" s="9">
        <f t="shared" si="7"/>
        <v>-1.8854109258769513E-4</v>
      </c>
      <c r="M65" s="65">
        <v>1.3707780168039774</v>
      </c>
    </row>
    <row r="66" spans="1:13">
      <c r="A66" s="65">
        <f t="shared" si="5"/>
        <v>-0.15830633382058365</v>
      </c>
      <c r="B66" s="65">
        <f t="shared" si="6"/>
        <v>0.99138329230802813</v>
      </c>
      <c r="C66" s="9">
        <f t="shared" si="7"/>
        <v>-3.5940296331933867E-4</v>
      </c>
      <c r="M66" s="65">
        <v>-1.1415316691029183</v>
      </c>
    </row>
    <row r="67" spans="1:13">
      <c r="A67" s="65">
        <f t="shared" si="5"/>
        <v>-4.2947534177015842E-2</v>
      </c>
      <c r="B67" s="65">
        <f t="shared" si="6"/>
        <v>1.0098974357955974</v>
      </c>
      <c r="C67" s="9">
        <f t="shared" si="7"/>
        <v>-3.0992522899600701E-4</v>
      </c>
      <c r="M67" s="65">
        <v>-0.5647376708850792</v>
      </c>
    </row>
    <row r="68" spans="1:13">
      <c r="A68" s="65">
        <f t="shared" si="5"/>
        <v>0.21704827954951084</v>
      </c>
      <c r="B68" s="65">
        <f t="shared" si="6"/>
        <v>1.0516246366365667</v>
      </c>
      <c r="C68" s="9">
        <f t="shared" si="7"/>
        <v>-2.2196361340815233E-4</v>
      </c>
      <c r="M68" s="65">
        <v>0.73524139774755415</v>
      </c>
    </row>
    <row r="69" spans="1:13">
      <c r="A69" s="65">
        <f t="shared" si="5"/>
        <v>0.163438399272086</v>
      </c>
      <c r="B69" s="65">
        <f t="shared" si="6"/>
        <v>1.0430206894832121</v>
      </c>
      <c r="C69" s="9">
        <f t="shared" si="7"/>
        <v>-2.3777980161266221E-4</v>
      </c>
      <c r="M69" s="65">
        <v>0.46719199636042996</v>
      </c>
    </row>
    <row r="70" spans="1:13">
      <c r="A70" s="65">
        <f t="shared" si="5"/>
        <v>0.23858329607456624</v>
      </c>
      <c r="B70" s="65">
        <f t="shared" si="6"/>
        <v>1.0550808305912884</v>
      </c>
      <c r="C70" s="9">
        <f t="shared" si="7"/>
        <v>-2.1591048775120389E-4</v>
      </c>
      <c r="M70" s="65">
        <v>0.84291648037283107</v>
      </c>
    </row>
    <row r="71" spans="1:13">
      <c r="A71" s="65">
        <f t="shared" si="5"/>
        <v>0.18720897595341573</v>
      </c>
      <c r="B71" s="65">
        <f t="shared" si="6"/>
        <v>1.0468356725518657</v>
      </c>
      <c r="C71" s="9">
        <f t="shared" si="7"/>
        <v>-2.306324176545551E-4</v>
      </c>
      <c r="M71" s="65">
        <v>0.58604487976707864</v>
      </c>
    </row>
    <row r="72" spans="1:13">
      <c r="A72" s="65">
        <f t="shared" si="5"/>
        <v>-0.17527095557983252</v>
      </c>
      <c r="B72" s="65">
        <f t="shared" si="6"/>
        <v>0.98866060931866351</v>
      </c>
      <c r="C72" s="9">
        <f t="shared" si="7"/>
        <v>-3.6731716454651778E-4</v>
      </c>
      <c r="M72" s="65">
        <v>-1.2263547778991626</v>
      </c>
    </row>
    <row r="73" spans="1:13">
      <c r="A73" s="65">
        <f t="shared" si="5"/>
        <v>-0.12808878199118975</v>
      </c>
      <c r="B73" s="65">
        <f t="shared" si="6"/>
        <v>0.99623296213938084</v>
      </c>
      <c r="C73" s="9">
        <f t="shared" si="7"/>
        <v>-3.4572610614839029E-4</v>
      </c>
      <c r="M73" s="65">
        <v>-0.99044390995594878</v>
      </c>
    </row>
    <row r="74" spans="1:13">
      <c r="A74" s="65">
        <f t="shared" si="5"/>
        <v>0.20530959905120985</v>
      </c>
      <c r="B74" s="65">
        <f t="shared" si="6"/>
        <v>1.0497406744614073</v>
      </c>
      <c r="C74" s="9">
        <f t="shared" si="7"/>
        <v>-2.2533431914587547E-4</v>
      </c>
      <c r="M74" s="65">
        <v>0.67654799525604914</v>
      </c>
    </row>
    <row r="75" spans="1:13">
      <c r="A75" s="65">
        <f t="shared" si="5"/>
        <v>0.13689609661097973</v>
      </c>
      <c r="B75" s="65">
        <f t="shared" si="6"/>
        <v>1.0387608670728148</v>
      </c>
      <c r="C75" s="9">
        <f t="shared" si="7"/>
        <v>-2.4602265406358946E-4</v>
      </c>
      <c r="M75" s="65">
        <v>0.33448048305489864</v>
      </c>
    </row>
    <row r="76" spans="1:13">
      <c r="A76" s="65">
        <f t="shared" si="5"/>
        <v>-9.5683422274177171E-2</v>
      </c>
      <c r="B76" s="65">
        <f t="shared" si="6"/>
        <v>1.0014337572362508</v>
      </c>
      <c r="C76" s="9">
        <f t="shared" si="7"/>
        <v>-3.3163683511695894E-4</v>
      </c>
      <c r="M76" s="65">
        <v>-0.82841711137088581</v>
      </c>
    </row>
    <row r="77" spans="1:13">
      <c r="A77" s="65">
        <f t="shared" si="5"/>
        <v>3.3069679287529449E-2</v>
      </c>
      <c r="B77" s="65">
        <f t="shared" si="6"/>
        <v>1.0220975765907194</v>
      </c>
      <c r="C77" s="9">
        <f t="shared" si="7"/>
        <v>-2.8110547231861328E-4</v>
      </c>
      <c r="M77" s="65">
        <v>-0.18465160356235277</v>
      </c>
    </row>
    <row r="78" spans="1:13">
      <c r="A78" s="65">
        <f t="shared" ref="A78:A113" si="8">M78*$C$3+$B$3</f>
        <v>0.10169052710481705</v>
      </c>
      <c r="B78" s="65">
        <f t="shared" ref="B78:B109" si="9">C$5*(1+$B$4)+C$9*($A78-$B$4)</f>
        <v>1.0331106612158485</v>
      </c>
      <c r="C78" s="9">
        <f t="shared" ref="C78:C109" si="10">-EXP(-B78/$C$7)</f>
        <v>-2.5739844867429823E-4</v>
      </c>
      <c r="M78" s="65">
        <v>0.15845263552408523</v>
      </c>
    </row>
    <row r="79" spans="1:13">
      <c r="A79" s="65">
        <f t="shared" si="8"/>
        <v>0.18021871402950601</v>
      </c>
      <c r="B79" s="65">
        <f t="shared" si="9"/>
        <v>1.0457137927067666</v>
      </c>
      <c r="C79" s="9">
        <f t="shared" si="10"/>
        <v>-2.3271166926722218E-4</v>
      </c>
      <c r="M79" s="65">
        <v>0.55109357014752991</v>
      </c>
    </row>
    <row r="80" spans="1:13">
      <c r="A80" s="65">
        <f t="shared" si="8"/>
        <v>0.10301313928271405</v>
      </c>
      <c r="B80" s="65">
        <f t="shared" si="9"/>
        <v>1.0333229296489082</v>
      </c>
      <c r="C80" s="9">
        <f t="shared" si="10"/>
        <v>-2.5696171907190499E-4</v>
      </c>
      <c r="M80" s="65">
        <v>0.16506569641357019</v>
      </c>
    </row>
    <row r="81" spans="1:13">
      <c r="A81" s="65">
        <f t="shared" si="8"/>
        <v>-9.036365199411639E-2</v>
      </c>
      <c r="B81" s="65">
        <f t="shared" si="9"/>
        <v>1.0022875368403232</v>
      </c>
      <c r="C81" s="9">
        <f t="shared" si="10"/>
        <v>-3.2937939519155855E-4</v>
      </c>
      <c r="M81" s="65">
        <v>-0.80181825997058198</v>
      </c>
    </row>
    <row r="82" spans="1:13">
      <c r="A82" s="65">
        <f t="shared" si="8"/>
        <v>0.42469441212361764</v>
      </c>
      <c r="B82" s="65">
        <f t="shared" si="9"/>
        <v>1.0849501419729097</v>
      </c>
      <c r="C82" s="9">
        <f t="shared" si="10"/>
        <v>-1.7001886851926803E-4</v>
      </c>
      <c r="M82" s="65">
        <v>1.773472060618088</v>
      </c>
    </row>
    <row r="83" spans="1:13">
      <c r="A83" s="65">
        <f t="shared" si="8"/>
        <v>0.16721250401408186</v>
      </c>
      <c r="B83" s="65">
        <f t="shared" si="9"/>
        <v>1.0436264024149202</v>
      </c>
      <c r="C83" s="9">
        <f t="shared" si="10"/>
        <v>-2.3663037833805974E-4</v>
      </c>
      <c r="M83" s="65">
        <v>0.48606252007040923</v>
      </c>
    </row>
    <row r="84" spans="1:13">
      <c r="A84" s="65">
        <f t="shared" si="8"/>
        <v>9.0766567330509626E-2</v>
      </c>
      <c r="B84" s="65">
        <f t="shared" si="9"/>
        <v>1.031357455050919</v>
      </c>
      <c r="C84" s="9">
        <f t="shared" si="10"/>
        <v>-2.6103406539402656E-4</v>
      </c>
      <c r="M84" s="65">
        <v>0.10383283665254807</v>
      </c>
    </row>
    <row r="85" spans="1:13">
      <c r="A85" s="65">
        <f t="shared" si="8"/>
        <v>0.23033597662227362</v>
      </c>
      <c r="B85" s="65">
        <f t="shared" si="9"/>
        <v>1.0537572032980143</v>
      </c>
      <c r="C85" s="9">
        <f t="shared" si="10"/>
        <v>-2.1820891543726861E-4</v>
      </c>
      <c r="M85" s="65">
        <v>0.80167988311136795</v>
      </c>
    </row>
    <row r="86" spans="1:13">
      <c r="A86" s="65">
        <f t="shared" si="8"/>
        <v>0.23626186561062162</v>
      </c>
      <c r="B86" s="65">
        <f t="shared" si="9"/>
        <v>1.0547082599955584</v>
      </c>
      <c r="C86" s="9">
        <f t="shared" si="10"/>
        <v>-2.1655498294627696E-4</v>
      </c>
      <c r="M86" s="65">
        <v>0.83130932805310798</v>
      </c>
    </row>
    <row r="87" spans="1:13">
      <c r="A87" s="65">
        <f t="shared" si="8"/>
        <v>-3.9806775314031956E-2</v>
      </c>
      <c r="B87" s="65">
        <f t="shared" si="9"/>
        <v>1.0104015018957027</v>
      </c>
      <c r="C87" s="9">
        <f t="shared" si="10"/>
        <v>-3.0867796309199205E-4</v>
      </c>
      <c r="M87" s="65">
        <v>-0.54903387657015978</v>
      </c>
    </row>
    <row r="88" spans="1:13">
      <c r="A88" s="65">
        <f t="shared" si="8"/>
        <v>-9.2616805091474436E-2</v>
      </c>
      <c r="B88" s="65">
        <f t="shared" si="9"/>
        <v>1.0019259242032912</v>
      </c>
      <c r="C88" s="9">
        <f t="shared" si="10"/>
        <v>-3.3033363680279998E-4</v>
      </c>
      <c r="M88" s="65">
        <v>-0.81308402545737213</v>
      </c>
    </row>
    <row r="89" spans="1:13">
      <c r="A89" s="65">
        <f t="shared" si="8"/>
        <v>0.28216729433204979</v>
      </c>
      <c r="B89" s="65">
        <f t="shared" si="9"/>
        <v>1.0620757057112984</v>
      </c>
      <c r="C89" s="9">
        <f t="shared" si="10"/>
        <v>-2.0416018621798596E-4</v>
      </c>
      <c r="M89" s="65">
        <v>1.0608364716602487</v>
      </c>
    </row>
    <row r="90" spans="1:13">
      <c r="A90" s="65">
        <f t="shared" si="8"/>
        <v>-0.14382901882692539</v>
      </c>
      <c r="B90" s="65">
        <f t="shared" si="9"/>
        <v>0.99370678291243375</v>
      </c>
      <c r="C90" s="9">
        <f t="shared" si="10"/>
        <v>-3.5278411396142144E-4</v>
      </c>
      <c r="M90" s="65">
        <v>-1.069145094134627</v>
      </c>
    </row>
    <row r="91" spans="1:13">
      <c r="A91" s="65">
        <f t="shared" si="8"/>
        <v>-0.2097288250899394</v>
      </c>
      <c r="B91" s="65">
        <f t="shared" si="9"/>
        <v>0.98313040319345057</v>
      </c>
      <c r="C91" s="9">
        <f t="shared" si="10"/>
        <v>-3.8393272134877452E-4</v>
      </c>
      <c r="M91" s="65">
        <v>-1.3986441254496971</v>
      </c>
    </row>
    <row r="92" spans="1:13">
      <c r="A92" s="65">
        <f t="shared" si="8"/>
        <v>0.20850229897834552</v>
      </c>
      <c r="B92" s="65">
        <f t="shared" si="9"/>
        <v>1.0502530766773315</v>
      </c>
      <c r="C92" s="9">
        <f t="shared" si="10"/>
        <v>-2.2441251533829757E-4</v>
      </c>
      <c r="M92" s="65">
        <v>0.69251149489172759</v>
      </c>
    </row>
    <row r="93" spans="1:13">
      <c r="A93" s="65">
        <f t="shared" si="8"/>
        <v>0.1950688318223181</v>
      </c>
      <c r="B93" s="65">
        <f t="shared" si="9"/>
        <v>1.0480971151101977</v>
      </c>
      <c r="C93" s="9">
        <f t="shared" si="10"/>
        <v>-2.2831668558348048E-4</v>
      </c>
      <c r="M93" s="65">
        <v>0.62534415911159047</v>
      </c>
    </row>
    <row r="94" spans="1:13">
      <c r="A94" s="65">
        <f t="shared" si="8"/>
        <v>0.48380166761013838</v>
      </c>
      <c r="B94" s="65">
        <f t="shared" si="9"/>
        <v>1.0944363728682993</v>
      </c>
      <c r="C94" s="9">
        <f t="shared" si="10"/>
        <v>-1.5759360119073471E-4</v>
      </c>
      <c r="M94" s="65">
        <v>2.0690083380506916</v>
      </c>
    </row>
    <row r="95" spans="1:13">
      <c r="A95" s="65">
        <f t="shared" si="8"/>
        <v>0.34343429277636522</v>
      </c>
      <c r="B95" s="65">
        <f t="shared" si="9"/>
        <v>1.0719085576805933</v>
      </c>
      <c r="C95" s="9">
        <f t="shared" si="10"/>
        <v>-1.8871578431028918E-4</v>
      </c>
      <c r="M95" s="65">
        <v>1.367171463881826</v>
      </c>
    </row>
    <row r="96" spans="1:13">
      <c r="A96" s="65">
        <f t="shared" si="8"/>
        <v>0.31767026831843637</v>
      </c>
      <c r="B96" s="65">
        <f t="shared" si="9"/>
        <v>1.0677736425540043</v>
      </c>
      <c r="C96" s="9">
        <f t="shared" si="10"/>
        <v>-1.950627726002764E-4</v>
      </c>
      <c r="M96" s="65">
        <v>1.2383513415921816</v>
      </c>
    </row>
    <row r="97" spans="1:13">
      <c r="A97" s="65">
        <f t="shared" si="8"/>
        <v>9.8268490624269317E-2</v>
      </c>
      <c r="B97" s="65">
        <f t="shared" si="9"/>
        <v>1.0325614523595124</v>
      </c>
      <c r="C97" s="9">
        <f t="shared" si="10"/>
        <v>-2.5853186083191627E-4</v>
      </c>
      <c r="M97" s="65">
        <v>0.14134245312134652</v>
      </c>
    </row>
    <row r="98" spans="1:13">
      <c r="A98" s="65">
        <f t="shared" si="8"/>
        <v>7.7817743813382217E-2</v>
      </c>
      <c r="B98" s="65">
        <f t="shared" si="9"/>
        <v>1.0292792748225184</v>
      </c>
      <c r="C98" s="9">
        <f t="shared" si="10"/>
        <v>-2.6541014842281359E-4</v>
      </c>
      <c r="M98" s="65">
        <v>3.9088719066911047E-2</v>
      </c>
    </row>
    <row r="99" spans="1:13">
      <c r="A99" s="65">
        <f t="shared" si="8"/>
        <v>0.16104157048921139</v>
      </c>
      <c r="B99" s="65">
        <f t="shared" si="9"/>
        <v>1.0426360180741963</v>
      </c>
      <c r="C99" s="9">
        <f t="shared" si="10"/>
        <v>-2.3851266541187347E-4</v>
      </c>
      <c r="M99" s="65">
        <v>0.45520785244605688</v>
      </c>
    </row>
    <row r="100" spans="1:13">
      <c r="A100" s="65">
        <f t="shared" si="8"/>
        <v>7.2757888293855141E-2</v>
      </c>
      <c r="B100" s="65">
        <f t="shared" si="9"/>
        <v>1.0284672094109126</v>
      </c>
      <c r="C100" s="9">
        <f t="shared" si="10"/>
        <v>-2.6714000457557762E-4</v>
      </c>
      <c r="M100" s="65">
        <v>1.3789441469275666E-2</v>
      </c>
    </row>
    <row r="101" spans="1:13">
      <c r="A101" s="65">
        <f t="shared" si="8"/>
        <v>-0.1168393528068345</v>
      </c>
      <c r="B101" s="65">
        <f t="shared" si="9"/>
        <v>0.99803840348166173</v>
      </c>
      <c r="C101" s="9">
        <f t="shared" si="10"/>
        <v>-3.4076848943793536E-4</v>
      </c>
      <c r="M101" s="65">
        <v>-0.93419676403417251</v>
      </c>
    </row>
    <row r="102" spans="1:13">
      <c r="A102" s="65">
        <f t="shared" si="8"/>
        <v>-0.24950562712100788</v>
      </c>
      <c r="B102" s="65">
        <f t="shared" si="9"/>
        <v>0.97674655191764637</v>
      </c>
      <c r="C102" s="9">
        <f t="shared" si="10"/>
        <v>-4.040498019927789E-4</v>
      </c>
      <c r="M102" s="65">
        <v>-1.5975281356050393</v>
      </c>
    </row>
    <row r="103" spans="1:13">
      <c r="A103" s="65">
        <f t="shared" si="8"/>
        <v>0.23005784060133186</v>
      </c>
      <c r="B103" s="65">
        <f t="shared" si="9"/>
        <v>1.0537125647423367</v>
      </c>
      <c r="C103" s="9">
        <f t="shared" si="10"/>
        <v>-2.1828685359919704E-4</v>
      </c>
      <c r="M103" s="65">
        <v>0.80028920300665918</v>
      </c>
    </row>
    <row r="104" spans="1:13">
      <c r="A104" s="65">
        <f t="shared" si="8"/>
        <v>0.15929568052643239</v>
      </c>
      <c r="B104" s="65">
        <f t="shared" si="9"/>
        <v>1.0423558170198834</v>
      </c>
      <c r="C104" s="9">
        <f t="shared" si="10"/>
        <v>-2.3904791710262059E-4</v>
      </c>
      <c r="M104" s="65">
        <v>0.44647840263216193</v>
      </c>
    </row>
    <row r="105" spans="1:13">
      <c r="A105" s="65">
        <f t="shared" si="8"/>
        <v>0.19129221380302458</v>
      </c>
      <c r="B105" s="65">
        <f t="shared" si="9"/>
        <v>1.0474909988180467</v>
      </c>
      <c r="C105" s="9">
        <f t="shared" si="10"/>
        <v>-2.2942646573558041E-4</v>
      </c>
      <c r="M105" s="65">
        <v>0.60646106901512276</v>
      </c>
    </row>
    <row r="106" spans="1:13">
      <c r="A106" s="65">
        <f t="shared" si="8"/>
        <v>0.11678547999437684</v>
      </c>
      <c r="B106" s="65">
        <f t="shared" si="9"/>
        <v>1.0355332776490891</v>
      </c>
      <c r="C106" s="9">
        <f t="shared" si="10"/>
        <v>-2.5245785825125553E-4</v>
      </c>
      <c r="M106" s="65">
        <v>0.23392739997188416</v>
      </c>
    </row>
    <row r="107" spans="1:13">
      <c r="A107" s="65">
        <f t="shared" si="8"/>
        <v>-0.11172818454248007</v>
      </c>
      <c r="B107" s="65">
        <f t="shared" si="9"/>
        <v>0.99885870416897604</v>
      </c>
      <c r="C107" s="9">
        <f t="shared" si="10"/>
        <v>-3.3853955003037081E-4</v>
      </c>
      <c r="M107" s="65">
        <v>-0.90864092271240038</v>
      </c>
    </row>
    <row r="108" spans="1:13">
      <c r="A108" s="65">
        <f t="shared" si="8"/>
        <v>0.30556506821422563</v>
      </c>
      <c r="B108" s="65">
        <f t="shared" si="9"/>
        <v>1.0658308569809265</v>
      </c>
      <c r="C108" s="9">
        <f t="shared" si="10"/>
        <v>-1.9811817619429364E-4</v>
      </c>
      <c r="M108" s="65">
        <v>1.1778253410711281</v>
      </c>
    </row>
    <row r="109" spans="1:13">
      <c r="A109" s="65">
        <f t="shared" si="8"/>
        <v>2.0125044565898156E-2</v>
      </c>
      <c r="B109" s="65">
        <f t="shared" si="9"/>
        <v>1.0200200686297234</v>
      </c>
      <c r="C109" s="9">
        <f t="shared" si="10"/>
        <v>-2.8581650354898093E-4</v>
      </c>
      <c r="M109" s="65">
        <v>-0.24937477717050924</v>
      </c>
    </row>
    <row r="110" spans="1:13">
      <c r="A110" s="65">
        <f t="shared" si="8"/>
        <v>-7.7276388785842531E-2</v>
      </c>
      <c r="B110" s="65">
        <f>C$5*(1+$B$4)+C$9*($A110-$B$4)</f>
        <v>1.004387935506452</v>
      </c>
      <c r="C110" s="9">
        <f>-EXP(-B110/$C$7)</f>
        <v>-3.2389101116621865E-4</v>
      </c>
      <c r="M110" s="65">
        <v>-0.73638194392921263</v>
      </c>
    </row>
    <row r="111" spans="1:13">
      <c r="A111" s="65">
        <f t="shared" si="8"/>
        <v>-7.3814139868532136E-2</v>
      </c>
      <c r="B111" s="65">
        <f>C$5*(1+$B$4)+C$9*($A111-$B$4)</f>
        <v>1.004943598129874</v>
      </c>
      <c r="C111" s="9">
        <f>-EXP(-B111/$C$7)</f>
        <v>-3.2245441355455059E-4</v>
      </c>
      <c r="M111" s="65">
        <v>-0.71907069934266066</v>
      </c>
    </row>
    <row r="112" spans="1:13">
      <c r="A112" s="65">
        <f t="shared" si="8"/>
        <v>-1.5729161039559347E-3</v>
      </c>
      <c r="B112" s="65">
        <f>C$5*(1+$B$4)+C$9*($A112-$B$4)</f>
        <v>1.0165377234729558</v>
      </c>
      <c r="C112" s="9">
        <f>-EXP(-B112/$C$7)</f>
        <v>-2.9389094706594731E-4</v>
      </c>
      <c r="M112" s="65">
        <v>-0.35786458051977971</v>
      </c>
    </row>
    <row r="113" spans="1:13">
      <c r="A113" s="65">
        <f t="shared" si="8"/>
        <v>-6.0622576769127218E-3</v>
      </c>
      <c r="B113" s="65">
        <f>C$5*(1+$B$4)+C$9*($A113-$B$4)</f>
        <v>1.0158172208818812</v>
      </c>
      <c r="C113" s="9">
        <f>-EXP(-B113/$C$7)</f>
        <v>-2.9558983207735848E-4</v>
      </c>
      <c r="M113" s="65">
        <v>-0.38031128838456363</v>
      </c>
    </row>
    <row r="114" spans="1:13">
      <c r="A114" s="65">
        <f>AVERAGE(A14:A113)</f>
        <v>7.0000000000000021E-2</v>
      </c>
      <c r="B114" s="65">
        <f>AVERAGE(B14:B113)</f>
        <v>1.0280245909045402</v>
      </c>
      <c r="C114" s="9" t="s">
        <v>457</v>
      </c>
    </row>
    <row r="115" spans="1:13">
      <c r="A115" s="65">
        <f>STDEV(A14:A113)</f>
        <v>0.2</v>
      </c>
      <c r="B115" s="65">
        <f>STDEV(B14:B113)</f>
        <v>3.2098363618165406E-2</v>
      </c>
      <c r="C115" t="s">
        <v>458</v>
      </c>
    </row>
    <row r="116" spans="1:13">
      <c r="B116" s="65"/>
    </row>
    <row r="117" spans="1:13">
      <c r="A117" s="3" t="s">
        <v>442</v>
      </c>
      <c r="B117" s="3"/>
      <c r="C117" s="3"/>
      <c r="D117" s="3" t="s">
        <v>449</v>
      </c>
    </row>
    <row r="118" spans="1:13">
      <c r="A118">
        <v>0.7</v>
      </c>
      <c r="B118">
        <f t="array" ref="B118:B143">FREQUENCY($B$14:$B$113,A118:A143)</f>
        <v>0</v>
      </c>
      <c r="C118">
        <f t="shared" ref="C118:C143" si="11">B118/COUNT($B$14:$B$113)</f>
        <v>0</v>
      </c>
      <c r="D118">
        <f t="shared" ref="D118:D142" si="12">-EXP(-A118/C$7)</f>
        <v>-3.697863716482932E-3</v>
      </c>
    </row>
    <row r="119" spans="1:13">
      <c r="A119">
        <v>0.72499999999999998</v>
      </c>
      <c r="B119">
        <v>0</v>
      </c>
      <c r="C119">
        <f t="shared" si="11"/>
        <v>0</v>
      </c>
      <c r="D119">
        <f t="shared" si="12"/>
        <v>-3.0275547453758153E-3</v>
      </c>
    </row>
    <row r="120" spans="1:13">
      <c r="A120">
        <v>0.75</v>
      </c>
      <c r="B120">
        <v>0</v>
      </c>
      <c r="C120">
        <f t="shared" si="11"/>
        <v>0</v>
      </c>
      <c r="D120">
        <f t="shared" si="12"/>
        <v>-2.4787521766663585E-3</v>
      </c>
    </row>
    <row r="121" spans="1:13">
      <c r="A121">
        <v>0.77500000000000002</v>
      </c>
      <c r="B121">
        <v>0</v>
      </c>
      <c r="C121">
        <f t="shared" si="11"/>
        <v>0</v>
      </c>
      <c r="D121">
        <f t="shared" si="12"/>
        <v>-2.029430636295734E-3</v>
      </c>
    </row>
    <row r="122" spans="1:13">
      <c r="A122">
        <v>0.8</v>
      </c>
      <c r="B122">
        <v>0</v>
      </c>
      <c r="C122">
        <f t="shared" si="11"/>
        <v>0</v>
      </c>
      <c r="D122">
        <f t="shared" si="12"/>
        <v>-1.6615572731739339E-3</v>
      </c>
    </row>
    <row r="123" spans="1:13">
      <c r="A123">
        <v>0.82499999999999996</v>
      </c>
      <c r="B123">
        <v>0</v>
      </c>
      <c r="C123">
        <f t="shared" si="11"/>
        <v>0</v>
      </c>
      <c r="D123">
        <f t="shared" si="12"/>
        <v>-1.3603680375478939E-3</v>
      </c>
    </row>
    <row r="124" spans="1:13">
      <c r="A124">
        <v>0.85</v>
      </c>
      <c r="B124">
        <v>0</v>
      </c>
      <c r="C124">
        <f t="shared" si="11"/>
        <v>0</v>
      </c>
      <c r="D124">
        <f t="shared" si="12"/>
        <v>-1.1137751478448032E-3</v>
      </c>
    </row>
    <row r="125" spans="1:13">
      <c r="A125">
        <v>0.875</v>
      </c>
      <c r="B125">
        <v>0</v>
      </c>
      <c r="C125">
        <f t="shared" si="11"/>
        <v>0</v>
      </c>
      <c r="D125">
        <f t="shared" si="12"/>
        <v>-9.1188196555451624E-4</v>
      </c>
    </row>
    <row r="126" spans="1:13">
      <c r="A126">
        <v>0.9</v>
      </c>
      <c r="B126">
        <v>0</v>
      </c>
      <c r="C126">
        <f t="shared" si="11"/>
        <v>0</v>
      </c>
      <c r="D126">
        <f t="shared" si="12"/>
        <v>-7.465858083766792E-4</v>
      </c>
    </row>
    <row r="127" spans="1:13">
      <c r="A127">
        <v>0.92500000000000004</v>
      </c>
      <c r="B127">
        <v>0</v>
      </c>
      <c r="C127">
        <f t="shared" si="11"/>
        <v>0</v>
      </c>
      <c r="D127">
        <f t="shared" si="12"/>
        <v>-6.112527611295723E-4</v>
      </c>
    </row>
    <row r="128" spans="1:13">
      <c r="A128">
        <v>0.95</v>
      </c>
      <c r="B128">
        <v>0</v>
      </c>
      <c r="C128">
        <f t="shared" si="11"/>
        <v>0</v>
      </c>
      <c r="D128">
        <f t="shared" si="12"/>
        <v>-5.0045143344061083E-4</v>
      </c>
    </row>
    <row r="129" spans="1:4">
      <c r="A129">
        <v>0.97499999999999998</v>
      </c>
      <c r="B129">
        <v>4</v>
      </c>
      <c r="C129">
        <f t="shared" si="11"/>
        <v>0.04</v>
      </c>
      <c r="D129">
        <f t="shared" si="12"/>
        <v>-4.0973497897978681E-4</v>
      </c>
    </row>
    <row r="130" spans="1:4">
      <c r="A130">
        <v>1</v>
      </c>
      <c r="B130">
        <v>15</v>
      </c>
      <c r="C130">
        <f t="shared" si="11"/>
        <v>0.15</v>
      </c>
      <c r="D130">
        <f t="shared" si="12"/>
        <v>-3.3546262790251185E-4</v>
      </c>
    </row>
    <row r="131" spans="1:4">
      <c r="A131">
        <v>1.0249999999999999</v>
      </c>
      <c r="B131">
        <v>30</v>
      </c>
      <c r="C131">
        <f t="shared" si="11"/>
        <v>0.3</v>
      </c>
      <c r="D131">
        <f t="shared" si="12"/>
        <v>-2.7465356997214254E-4</v>
      </c>
    </row>
    <row r="132" spans="1:4">
      <c r="A132">
        <v>1.05</v>
      </c>
      <c r="B132">
        <v>25</v>
      </c>
      <c r="C132">
        <f t="shared" si="11"/>
        <v>0.25</v>
      </c>
      <c r="D132">
        <f t="shared" si="12"/>
        <v>-2.2486732417884819E-4</v>
      </c>
    </row>
    <row r="133" spans="1:4">
      <c r="A133">
        <v>1.075</v>
      </c>
      <c r="B133">
        <v>18</v>
      </c>
      <c r="C133">
        <f t="shared" si="11"/>
        <v>0.18</v>
      </c>
      <c r="D133">
        <f t="shared" si="12"/>
        <v>-1.8410579366757919E-4</v>
      </c>
    </row>
    <row r="134" spans="1:4">
      <c r="A134">
        <v>1.1000000000000001</v>
      </c>
      <c r="B134">
        <v>8</v>
      </c>
      <c r="C134">
        <f t="shared" si="11"/>
        <v>0.08</v>
      </c>
      <c r="D134">
        <f t="shared" si="12"/>
        <v>-1.507330750954765E-4</v>
      </c>
    </row>
    <row r="135" spans="1:4">
      <c r="A135">
        <v>1.125</v>
      </c>
      <c r="B135">
        <v>0</v>
      </c>
      <c r="C135">
        <f t="shared" si="11"/>
        <v>0</v>
      </c>
      <c r="D135">
        <f t="shared" si="12"/>
        <v>-1.2340980408667956E-4</v>
      </c>
    </row>
    <row r="136" spans="1:4">
      <c r="A136">
        <v>1.1499999999999999</v>
      </c>
      <c r="B136">
        <v>0</v>
      </c>
      <c r="C136">
        <f t="shared" si="11"/>
        <v>0</v>
      </c>
      <c r="D136">
        <f t="shared" si="12"/>
        <v>-1.0103940183709342E-4</v>
      </c>
    </row>
    <row r="137" spans="1:4">
      <c r="A137">
        <v>1.175</v>
      </c>
      <c r="B137">
        <v>0</v>
      </c>
      <c r="C137">
        <f t="shared" si="11"/>
        <v>0</v>
      </c>
      <c r="D137">
        <f t="shared" si="12"/>
        <v>-8.2724065556632228E-5</v>
      </c>
    </row>
    <row r="138" spans="1:4">
      <c r="A138">
        <v>1.2</v>
      </c>
      <c r="B138">
        <v>0</v>
      </c>
      <c r="C138">
        <f t="shared" si="11"/>
        <v>0</v>
      </c>
      <c r="D138">
        <f t="shared" si="12"/>
        <v>-6.7728736490853898E-5</v>
      </c>
    </row>
    <row r="139" spans="1:4">
      <c r="A139">
        <v>1.2250000000000001</v>
      </c>
      <c r="B139">
        <v>0</v>
      </c>
      <c r="C139">
        <f t="shared" si="11"/>
        <v>0</v>
      </c>
      <c r="D139">
        <f t="shared" si="12"/>
        <v>-5.5451599432176945E-5</v>
      </c>
    </row>
    <row r="140" spans="1:4">
      <c r="A140">
        <v>1.25</v>
      </c>
      <c r="B140">
        <v>0</v>
      </c>
      <c r="C140">
        <f t="shared" si="11"/>
        <v>0</v>
      </c>
      <c r="D140">
        <f t="shared" si="12"/>
        <v>-4.5399929762484854E-5</v>
      </c>
    </row>
    <row r="141" spans="1:4">
      <c r="A141">
        <v>1.2749999999999999</v>
      </c>
      <c r="B141">
        <v>0</v>
      </c>
      <c r="C141">
        <f t="shared" si="11"/>
        <v>0</v>
      </c>
      <c r="D141">
        <f t="shared" si="12"/>
        <v>-3.7170318684126734E-5</v>
      </c>
    </row>
    <row r="142" spans="1:4">
      <c r="A142">
        <v>1.3</v>
      </c>
      <c r="B142">
        <v>0</v>
      </c>
      <c r="C142">
        <f t="shared" si="11"/>
        <v>0</v>
      </c>
      <c r="D142">
        <f t="shared" si="12"/>
        <v>-3.0432483008403625E-5</v>
      </c>
    </row>
    <row r="143" spans="1:4">
      <c r="B143">
        <v>0</v>
      </c>
      <c r="C143">
        <f t="shared" si="11"/>
        <v>0</v>
      </c>
    </row>
  </sheetData>
  <phoneticPr fontId="11" type="noConversion"/>
  <pageMargins left="0.78740157499999996" right="0.78740157499999996" top="0.984251969" bottom="0.984251969" header="0.4921259845" footer="0.4921259845"/>
  <pageSetup paperSize="9" orientation="portrait" r:id="rId1"/>
  <headerFooter alignWithMargins="0"/>
  <drawing r:id="rId2"/>
</worksheet>
</file>

<file path=xl/worksheets/sheet33.xml><?xml version="1.0" encoding="utf-8"?>
<worksheet xmlns="http://schemas.openxmlformats.org/spreadsheetml/2006/main" xmlns:r="http://schemas.openxmlformats.org/officeDocument/2006/relationships">
  <dimension ref="A1:L57"/>
  <sheetViews>
    <sheetView workbookViewId="0"/>
  </sheetViews>
  <sheetFormatPr defaultColWidth="11.42578125" defaultRowHeight="12.75"/>
  <cols>
    <col min="1" max="1" width="26.85546875" bestFit="1" customWidth="1"/>
  </cols>
  <sheetData>
    <row r="1" spans="1:7">
      <c r="A1" s="6" t="s">
        <v>293</v>
      </c>
    </row>
    <row r="2" spans="1:7">
      <c r="A2" s="5"/>
      <c r="B2" s="5"/>
      <c r="C2" s="5"/>
      <c r="D2" s="5"/>
      <c r="E2" s="5"/>
      <c r="F2" s="5"/>
      <c r="G2" s="5"/>
    </row>
    <row r="3" spans="1:7">
      <c r="A3" s="118" t="s">
        <v>294</v>
      </c>
      <c r="B3" s="5"/>
      <c r="C3" s="5"/>
      <c r="D3" s="5"/>
      <c r="E3" s="5"/>
      <c r="F3" s="5"/>
      <c r="G3" s="5"/>
    </row>
    <row r="4" spans="1:7">
      <c r="A4" s="5" t="s">
        <v>295</v>
      </c>
      <c r="B4" s="4">
        <v>5000</v>
      </c>
      <c r="C4" s="5"/>
      <c r="D4" s="5"/>
      <c r="E4" s="5"/>
      <c r="F4" s="5"/>
      <c r="G4" s="5"/>
    </row>
    <row r="5" spans="1:7">
      <c r="A5" s="5" t="s">
        <v>296</v>
      </c>
      <c r="B5" s="4">
        <v>95000</v>
      </c>
      <c r="C5" s="5"/>
      <c r="D5" s="5"/>
      <c r="E5" s="5"/>
      <c r="F5" s="5"/>
      <c r="G5" s="5"/>
    </row>
    <row r="6" spans="1:7">
      <c r="A6" s="5"/>
      <c r="B6" s="5"/>
      <c r="C6" s="5"/>
      <c r="D6" s="5"/>
      <c r="E6" s="5"/>
      <c r="F6" s="5"/>
      <c r="G6" s="5"/>
    </row>
    <row r="7" spans="1:7">
      <c r="A7" s="5" t="s">
        <v>297</v>
      </c>
      <c r="B7" s="5">
        <v>0.3</v>
      </c>
      <c r="C7" s="5"/>
      <c r="D7" s="5"/>
      <c r="E7" s="5"/>
      <c r="F7" s="5"/>
      <c r="G7" s="5"/>
    </row>
    <row r="8" spans="1:7">
      <c r="A8" s="5"/>
      <c r="B8" s="5"/>
      <c r="C8" s="5"/>
      <c r="D8" s="5"/>
      <c r="E8" s="5"/>
      <c r="F8" s="5"/>
      <c r="G8" s="5"/>
    </row>
    <row r="9" spans="1:7">
      <c r="A9" s="220" t="s">
        <v>298</v>
      </c>
      <c r="B9" s="220"/>
      <c r="C9" s="5"/>
      <c r="D9" s="5"/>
      <c r="E9" s="5"/>
      <c r="F9" s="5"/>
      <c r="G9" s="5"/>
    </row>
    <row r="10" spans="1:7">
      <c r="A10" s="5" t="s">
        <v>299</v>
      </c>
      <c r="B10" s="5">
        <v>0.2</v>
      </c>
      <c r="C10" s="5"/>
      <c r="D10" s="5"/>
      <c r="E10" s="5"/>
      <c r="F10" s="5"/>
      <c r="G10" s="5"/>
    </row>
    <row r="11" spans="1:7">
      <c r="A11" s="5" t="s">
        <v>300</v>
      </c>
      <c r="B11" s="5">
        <v>0.4</v>
      </c>
      <c r="C11" s="5"/>
      <c r="D11" s="5"/>
      <c r="E11" s="5"/>
      <c r="F11" s="5"/>
      <c r="G11" s="5"/>
    </row>
    <row r="12" spans="1:7">
      <c r="A12" s="5" t="s">
        <v>301</v>
      </c>
      <c r="B12" s="5">
        <v>0.3</v>
      </c>
      <c r="C12" s="5"/>
      <c r="D12" s="5"/>
      <c r="E12" s="5"/>
      <c r="F12" s="5"/>
      <c r="G12" s="5"/>
    </row>
    <row r="13" spans="1:7">
      <c r="A13" s="5" t="s">
        <v>302</v>
      </c>
      <c r="B13" s="5">
        <v>0.1</v>
      </c>
      <c r="C13" s="5"/>
      <c r="D13" s="5"/>
      <c r="E13" s="5"/>
      <c r="F13" s="5"/>
      <c r="G13" s="5"/>
    </row>
    <row r="14" spans="1:7">
      <c r="A14" s="5"/>
      <c r="B14" s="5"/>
      <c r="C14" s="5"/>
      <c r="D14" s="5"/>
      <c r="E14" s="5"/>
      <c r="F14" s="5"/>
      <c r="G14" s="5"/>
    </row>
    <row r="15" spans="1:7" ht="12.75" customHeight="1">
      <c r="A15" s="118" t="s">
        <v>163</v>
      </c>
      <c r="B15" s="215" t="s">
        <v>303</v>
      </c>
      <c r="C15" s="219"/>
      <c r="D15" s="219"/>
      <c r="E15" s="219"/>
      <c r="F15" s="216"/>
      <c r="G15" s="119"/>
    </row>
    <row r="16" spans="1:7">
      <c r="A16" s="120" t="s">
        <v>304</v>
      </c>
      <c r="B16" s="26" t="s">
        <v>305</v>
      </c>
      <c r="C16" s="26" t="s">
        <v>306</v>
      </c>
      <c r="D16" s="26" t="s">
        <v>307</v>
      </c>
      <c r="E16" s="26" t="s">
        <v>308</v>
      </c>
      <c r="F16" s="121" t="s">
        <v>309</v>
      </c>
      <c r="G16" s="2"/>
    </row>
    <row r="17" spans="1:12">
      <c r="A17" s="122" t="s">
        <v>305</v>
      </c>
      <c r="B17" s="123">
        <v>0</v>
      </c>
      <c r="C17" s="124">
        <v>0</v>
      </c>
      <c r="D17" s="124">
        <v>0</v>
      </c>
      <c r="E17" s="124">
        <v>0</v>
      </c>
      <c r="F17" s="125">
        <v>0</v>
      </c>
      <c r="G17" s="5"/>
    </row>
    <row r="18" spans="1:12">
      <c r="A18" s="126">
        <v>115000</v>
      </c>
      <c r="B18" s="114">
        <f>A18-$B$4-$B$5</f>
        <v>15000</v>
      </c>
      <c r="C18" s="4">
        <f>-$B$4</f>
        <v>-5000</v>
      </c>
      <c r="D18" s="4">
        <f>A18-$B$4-$B$5</f>
        <v>15000</v>
      </c>
      <c r="E18" s="4">
        <f>A18-$B$4-$B$5</f>
        <v>15000</v>
      </c>
      <c r="F18" s="127">
        <f>A18-$B$4-$B$5</f>
        <v>15000</v>
      </c>
      <c r="G18" s="4"/>
    </row>
    <row r="19" spans="1:12">
      <c r="A19" s="126">
        <v>120000</v>
      </c>
      <c r="B19" s="114">
        <f>A19-$B$4-$B$5</f>
        <v>20000</v>
      </c>
      <c r="C19" s="4">
        <f>-$B$4</f>
        <v>-5000</v>
      </c>
      <c r="D19" s="4">
        <f>-$B$4</f>
        <v>-5000</v>
      </c>
      <c r="E19" s="4">
        <f>A19-$B$4-$B$5</f>
        <v>20000</v>
      </c>
      <c r="F19" s="127">
        <f>A19-$B$4-$B$5</f>
        <v>20000</v>
      </c>
      <c r="G19" s="4"/>
    </row>
    <row r="20" spans="1:12">
      <c r="A20" s="128">
        <v>125000</v>
      </c>
      <c r="B20" s="129">
        <f>A20-$B$4-$B$5</f>
        <v>25000</v>
      </c>
      <c r="C20" s="130">
        <f>-$B$4</f>
        <v>-5000</v>
      </c>
      <c r="D20" s="130">
        <f>-$B$4</f>
        <v>-5000</v>
      </c>
      <c r="E20" s="130">
        <f>-$B$4</f>
        <v>-5000</v>
      </c>
      <c r="F20" s="131">
        <f>A20-$B$4-$B$5</f>
        <v>25000</v>
      </c>
      <c r="G20" s="4"/>
    </row>
    <row r="21" spans="1:12">
      <c r="A21" s="4"/>
      <c r="B21" s="4"/>
      <c r="C21" s="4"/>
      <c r="D21" s="4"/>
      <c r="E21" s="4"/>
      <c r="F21" s="4"/>
      <c r="G21" s="4"/>
      <c r="H21" s="4"/>
      <c r="I21" s="4"/>
      <c r="J21" s="4"/>
      <c r="K21" s="5"/>
      <c r="L21" s="4"/>
    </row>
    <row r="22" spans="1:12">
      <c r="A22" s="118" t="s">
        <v>289</v>
      </c>
      <c r="G22" s="5"/>
    </row>
    <row r="23" spans="1:12">
      <c r="G23" s="5"/>
    </row>
    <row r="24" spans="1:12">
      <c r="G24" s="5"/>
    </row>
    <row r="26" spans="1:12">
      <c r="G26" s="3" t="s">
        <v>284</v>
      </c>
      <c r="H26" s="3" t="s">
        <v>284</v>
      </c>
      <c r="I26" s="3" t="s">
        <v>446</v>
      </c>
      <c r="J26" t="s">
        <v>445</v>
      </c>
    </row>
    <row r="27" spans="1:12">
      <c r="G27">
        <f>$B$7</f>
        <v>0.3</v>
      </c>
      <c r="J27">
        <f>G27*B18</f>
        <v>4500</v>
      </c>
    </row>
    <row r="30" spans="1:12">
      <c r="H30">
        <f>SUM(B11:B13)</f>
        <v>0.79999999999999993</v>
      </c>
      <c r="I30">
        <f>G31*H30</f>
        <v>0.55999999999999994</v>
      </c>
      <c r="J30">
        <f>I30*D18</f>
        <v>8400</v>
      </c>
    </row>
    <row r="31" spans="1:12">
      <c r="G31">
        <f>1-G27</f>
        <v>0.7</v>
      </c>
    </row>
    <row r="32" spans="1:12">
      <c r="H32">
        <f>1-SUM(B11:B13)</f>
        <v>0.20000000000000007</v>
      </c>
      <c r="I32">
        <f>G31*H32</f>
        <v>0.14000000000000004</v>
      </c>
      <c r="J32">
        <f>-$B$4*I32</f>
        <v>-700.00000000000023</v>
      </c>
    </row>
    <row r="33" spans="7:10" ht="13.5" thickBot="1">
      <c r="G33" s="27"/>
      <c r="H33" s="27"/>
      <c r="I33" s="27"/>
      <c r="J33" s="27"/>
    </row>
    <row r="34" spans="7:10">
      <c r="H34" s="169" t="s">
        <v>56</v>
      </c>
      <c r="I34" s="169"/>
      <c r="J34" s="1">
        <f>SUM(J27:J33)</f>
        <v>12200</v>
      </c>
    </row>
    <row r="35" spans="7:10">
      <c r="H35" s="3"/>
      <c r="I35" s="3"/>
    </row>
    <row r="37" spans="7:10">
      <c r="G37">
        <f>$B$7</f>
        <v>0.3</v>
      </c>
      <c r="J37">
        <f>G37*B19</f>
        <v>6000</v>
      </c>
    </row>
    <row r="40" spans="7:10">
      <c r="H40">
        <f>SUM(B12:B13)</f>
        <v>0.4</v>
      </c>
      <c r="I40">
        <f>G41*H40</f>
        <v>0.27999999999999997</v>
      </c>
      <c r="J40">
        <f>G41*H40*E19</f>
        <v>5599.9999999999991</v>
      </c>
    </row>
    <row r="41" spans="7:10">
      <c r="G41">
        <f>1-G37</f>
        <v>0.7</v>
      </c>
    </row>
    <row r="42" spans="7:10">
      <c r="H42">
        <f>1-SUM(B12:B13)</f>
        <v>0.6</v>
      </c>
      <c r="I42">
        <f>G41*H42</f>
        <v>0.42</v>
      </c>
      <c r="J42">
        <f>-$B$4*I42</f>
        <v>-2100</v>
      </c>
    </row>
    <row r="43" spans="7:10" ht="13.5" thickBot="1">
      <c r="G43" s="27"/>
      <c r="H43" s="27"/>
      <c r="I43" s="27"/>
      <c r="J43" s="27"/>
    </row>
    <row r="44" spans="7:10">
      <c r="H44" s="169" t="s">
        <v>56</v>
      </c>
      <c r="I44" s="169"/>
      <c r="J44" s="1">
        <f>SUM(J37:J43)</f>
        <v>9500</v>
      </c>
    </row>
    <row r="46" spans="7:10">
      <c r="G46">
        <f>$B$7</f>
        <v>0.3</v>
      </c>
      <c r="J46">
        <f>G46*B20</f>
        <v>7500</v>
      </c>
    </row>
    <row r="48" spans="7:10">
      <c r="H48">
        <f>SUM(B13:B13)</f>
        <v>0.1</v>
      </c>
      <c r="I48">
        <f>G49*H48</f>
        <v>6.9999999999999993E-2</v>
      </c>
      <c r="J48">
        <f>F20*I48</f>
        <v>1749.9999999999998</v>
      </c>
    </row>
    <row r="49" spans="1:12">
      <c r="G49">
        <f>1-G46</f>
        <v>0.7</v>
      </c>
    </row>
    <row r="50" spans="1:12">
      <c r="H50">
        <f>1-SUM(B13:B13)</f>
        <v>0.9</v>
      </c>
      <c r="I50">
        <f>G49*H50</f>
        <v>0.63</v>
      </c>
      <c r="J50">
        <f>-$B$4*I50</f>
        <v>-3150</v>
      </c>
    </row>
    <row r="51" spans="1:12" ht="13.5" thickBot="1">
      <c r="G51" s="168"/>
      <c r="H51" s="27"/>
      <c r="I51" s="27"/>
      <c r="J51" s="27"/>
      <c r="K51" s="5"/>
      <c r="L51" s="4"/>
    </row>
    <row r="52" spans="1:12">
      <c r="A52" s="4"/>
      <c r="B52" s="4"/>
      <c r="C52" s="4"/>
      <c r="D52" s="4"/>
      <c r="E52" s="4"/>
      <c r="F52" s="4"/>
      <c r="G52" s="4"/>
      <c r="H52" s="169" t="s">
        <v>56</v>
      </c>
      <c r="I52" s="169"/>
      <c r="J52" s="1">
        <f>SUM(J46:J51)</f>
        <v>6100</v>
      </c>
      <c r="K52" s="5"/>
      <c r="L52" s="4"/>
    </row>
    <row r="53" spans="1:12">
      <c r="A53" s="132" t="s">
        <v>310</v>
      </c>
      <c r="B53" s="215" t="s">
        <v>311</v>
      </c>
      <c r="C53" s="216"/>
      <c r="D53" s="217" t="s">
        <v>312</v>
      </c>
      <c r="F53" s="4"/>
      <c r="G53" s="4"/>
      <c r="H53" s="4"/>
      <c r="I53" s="4"/>
      <c r="J53" s="4"/>
      <c r="K53" s="5"/>
      <c r="L53" s="4"/>
    </row>
    <row r="54" spans="1:12">
      <c r="A54" s="4"/>
      <c r="B54" s="133" t="s">
        <v>313</v>
      </c>
      <c r="C54" s="134" t="s">
        <v>314</v>
      </c>
      <c r="D54" s="218"/>
      <c r="E54" s="135" t="s">
        <v>146</v>
      </c>
      <c r="F54" s="4"/>
      <c r="G54" s="4"/>
      <c r="H54" s="4"/>
      <c r="I54" s="4"/>
      <c r="J54" s="4"/>
      <c r="K54" s="5"/>
      <c r="L54" s="4"/>
    </row>
    <row r="55" spans="1:12">
      <c r="A55" s="4"/>
      <c r="B55" s="136">
        <f>MAX(B18:F18)</f>
        <v>15000</v>
      </c>
      <c r="C55" s="137">
        <f>MIN(B18:F18)</f>
        <v>-5000</v>
      </c>
      <c r="D55" s="125">
        <f>$B$7+(1-$B$7)*SUM(B11:$B$13)</f>
        <v>0.85999999999999988</v>
      </c>
      <c r="E55" s="126">
        <f>B55*D55+C55*(1-D55)</f>
        <v>12199.999999999998</v>
      </c>
      <c r="F55" s="4"/>
      <c r="G55" s="4"/>
      <c r="H55" s="4"/>
      <c r="I55" s="4"/>
      <c r="J55" s="4"/>
      <c r="K55" s="5"/>
      <c r="L55" s="4"/>
    </row>
    <row r="56" spans="1:12">
      <c r="A56" s="4"/>
      <c r="B56" s="114">
        <f>MAX(B19:F19)</f>
        <v>20000</v>
      </c>
      <c r="C56" s="4">
        <f>MIN(B19:F19)</f>
        <v>-5000</v>
      </c>
      <c r="D56" s="138">
        <f>$B$7+(1-$B$7)*SUM(B12:$B$13)</f>
        <v>0.57999999999999996</v>
      </c>
      <c r="E56" s="126">
        <f>B56*D56+C56*(1-D56)</f>
        <v>9500</v>
      </c>
      <c r="F56" s="4"/>
      <c r="G56" s="4"/>
      <c r="H56" s="4"/>
      <c r="I56" s="4"/>
      <c r="J56" s="4"/>
      <c r="K56" s="5"/>
      <c r="L56" s="4"/>
    </row>
    <row r="57" spans="1:12">
      <c r="A57" s="4"/>
      <c r="B57" s="129">
        <f>MAX(B20:F20)</f>
        <v>25000</v>
      </c>
      <c r="C57" s="130">
        <f>MIN(B20:F20)</f>
        <v>-5000</v>
      </c>
      <c r="D57" s="139">
        <f>$B$7+(1-$B$7)*SUM(B13:$B$13)</f>
        <v>0.37</v>
      </c>
      <c r="E57" s="128">
        <f>B57*D57+C57*(1-D57)</f>
        <v>6100</v>
      </c>
      <c r="F57" s="4"/>
      <c r="H57" s="4"/>
      <c r="I57" s="4"/>
      <c r="J57" s="4"/>
    </row>
  </sheetData>
  <mergeCells count="4">
    <mergeCell ref="B53:C53"/>
    <mergeCell ref="D53:D54"/>
    <mergeCell ref="B15:F15"/>
    <mergeCell ref="A9:B9"/>
  </mergeCells>
  <phoneticPr fontId="11" type="noConversion"/>
  <pageMargins left="0.78740157499999996" right="0.78740157499999996" top="0.984251969" bottom="0.984251969" header="0.4921259845" footer="0.4921259845"/>
  <pageSetup paperSize="9" orientation="portrait" verticalDpi="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credits</vt:lpstr>
      <vt:lpstr>statistical functions en+de</vt:lpstr>
      <vt:lpstr>coding</vt:lpstr>
      <vt:lpstr>returns</vt:lpstr>
      <vt:lpstr>shoes</vt:lpstr>
      <vt:lpstr>otis</vt:lpstr>
      <vt:lpstr>DAX (histogram)</vt:lpstr>
      <vt:lpstr>DAX (summary+rules of  thumb)</vt:lpstr>
      <vt:lpstr>arrival</vt:lpstr>
      <vt:lpstr>RR</vt:lpstr>
      <vt:lpstr>expected value, etc.</vt:lpstr>
      <vt:lpstr>normal distribution</vt:lpstr>
      <vt:lpstr>personnel</vt:lpstr>
      <vt:lpstr>quantiles&amp;probabilities</vt:lpstr>
      <vt:lpstr>project duration</vt:lpstr>
      <vt:lpstr>project duration+correlations</vt:lpstr>
      <vt:lpstr>lognormal distribution</vt:lpstr>
      <vt:lpstr>VaR lognormal</vt:lpstr>
      <vt:lpstr>VaR</vt:lpstr>
      <vt:lpstr>overbooking</vt:lpstr>
      <vt:lpstr>binomial distribution</vt:lpstr>
      <vt:lpstr>conf.intervals&amp;hypothesis tests</vt:lpstr>
      <vt:lpstr>random sampling</vt:lpstr>
      <vt:lpstr>stratified sampling</vt:lpstr>
      <vt:lpstr>clustered sampling</vt:lpstr>
      <vt:lpstr>correlation</vt:lpstr>
      <vt:lpstr>simple regression</vt:lpstr>
      <vt:lpstr>CAPM</vt:lpstr>
      <vt:lpstr>multiple regression (1)</vt:lpstr>
      <vt:lpstr>multiple regression (2)</vt:lpstr>
      <vt:lpstr>NEWDEC</vt:lpstr>
      <vt:lpstr>expected utility</vt:lpstr>
      <vt:lpstr>SciTools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Alois Geyer</dc:creator>
  <cp:lastModifiedBy>Alois Geyer</cp:lastModifiedBy>
  <cp:lastPrinted>2008-09-14T08:10:33Z</cp:lastPrinted>
  <dcterms:created xsi:type="dcterms:W3CDTF">2002-10-05T09:35:18Z</dcterms:created>
  <dcterms:modified xsi:type="dcterms:W3CDTF">2014-01-08T15:33:40Z</dcterms:modified>
</cp:coreProperties>
</file>