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Sakal/"/>
    </mc:Choice>
  </mc:AlternateContent>
  <xr:revisionPtr revIDLastSave="0" documentId="13_ncr:1_{FD53E487-DDF9-754D-ABC7-4EA88458BD23}" xr6:coauthVersionLast="47" xr6:coauthVersionMax="47" xr10:uidLastSave="{00000000-0000-0000-0000-000000000000}"/>
  <bookViews>
    <workbookView xWindow="0" yWindow="500" windowWidth="38400" windowHeight="19280" firstSheet="3" activeTab="14" xr2:uid="{553DBB43-6103-E14A-8741-8322574D45DD}"/>
  </bookViews>
  <sheets>
    <sheet name="MFI" sheetId="1" r:id="rId1"/>
    <sheet name="Consumer acquisition" sheetId="2" r:id="rId2"/>
    <sheet name="Merchant Acquisition" sheetId="3" r:id="rId3"/>
    <sheet name="Support" sheetId="4" r:id="rId4"/>
    <sheet name="Sakal Financials" sheetId="5" r:id="rId5"/>
    <sheet name="Financial Summary for Deck" sheetId="6" r:id="rId6"/>
    <sheet name="Consumer count per city" sheetId="7" r:id="rId7"/>
    <sheet name="Consumer by City" sheetId="10" r:id="rId8"/>
    <sheet name="Updated sales" sheetId="11" r:id="rId9"/>
    <sheet name="Sheet2" sheetId="8" r:id="rId10"/>
    <sheet name="Sheet3" sheetId="9" r:id="rId11"/>
    <sheet name="Financial Summary Deck - 10 oct" sheetId="12" r:id="rId12"/>
    <sheet name="Sakal Financials 10 oct" sheetId="13" r:id="rId13"/>
    <sheet name="Financial Summary Deck - 17 oct" sheetId="14" r:id="rId14"/>
    <sheet name="P&amp;Cs" sheetId="15" r:id="rId15"/>
  </sheets>
  <definedNames>
    <definedName name="_xlnm._FilterDatabase" localSheetId="9" hidden="1">Sheet2!$A$1:$A$100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3" l="1"/>
  <c r="B20" i="13" s="1"/>
  <c r="B49" i="13" l="1"/>
  <c r="B62" i="13"/>
  <c r="B64" i="13" s="1"/>
  <c r="C64" i="13" s="1"/>
  <c r="B16" i="13"/>
  <c r="B17" i="13" s="1"/>
  <c r="C11" i="13"/>
  <c r="B11" i="13"/>
  <c r="B13" i="13" s="1"/>
  <c r="C22" i="12"/>
  <c r="B51" i="13" l="1"/>
  <c r="C34" i="13"/>
  <c r="C35" i="13" s="1"/>
  <c r="B53" i="13"/>
  <c r="C51" i="13"/>
  <c r="D28" i="10"/>
  <c r="E17" i="10"/>
  <c r="C37" i="10"/>
  <c r="E37" i="10" s="1"/>
  <c r="C36" i="10"/>
  <c r="C35" i="10"/>
  <c r="C34" i="10"/>
  <c r="C33" i="10"/>
  <c r="C32" i="10"/>
  <c r="C31" i="10"/>
  <c r="C30" i="10"/>
  <c r="C29" i="10"/>
  <c r="C28" i="10"/>
  <c r="C27" i="10"/>
  <c r="C26" i="10"/>
  <c r="F26" i="10"/>
  <c r="C25" i="10"/>
  <c r="D6" i="10"/>
  <c r="D5" i="10"/>
  <c r="B5" i="10"/>
  <c r="C5" i="10"/>
  <c r="C9" i="10" s="1"/>
  <c r="C10" i="10" s="1"/>
  <c r="C11" i="10" s="1"/>
  <c r="H41" i="11"/>
  <c r="H39" i="11"/>
  <c r="H40" i="11" s="1"/>
  <c r="H38" i="11"/>
  <c r="G32" i="11"/>
  <c r="E32" i="11"/>
  <c r="U31" i="11"/>
  <c r="U32" i="11" s="1"/>
  <c r="J31" i="11"/>
  <c r="E31" i="11"/>
  <c r="U30" i="11"/>
  <c r="D27" i="11"/>
  <c r="E27" i="11" s="1"/>
  <c r="E26" i="11"/>
  <c r="E25" i="11"/>
  <c r="C22" i="11"/>
  <c r="C21" i="11"/>
  <c r="P18" i="11"/>
  <c r="C18" i="11"/>
  <c r="H17" i="11"/>
  <c r="H18" i="11" s="1"/>
  <c r="G17" i="11"/>
  <c r="G18" i="11" s="1"/>
  <c r="G20" i="11" s="1"/>
  <c r="C17" i="11"/>
  <c r="G14" i="11"/>
  <c r="C13" i="11"/>
  <c r="C15" i="11" s="1"/>
  <c r="H12" i="11"/>
  <c r="G12" i="11"/>
  <c r="C9" i="11"/>
  <c r="C10" i="11" s="1"/>
  <c r="C5" i="11"/>
  <c r="C4" i="11"/>
  <c r="D3" i="11"/>
  <c r="C3" i="11"/>
  <c r="E6" i="10"/>
  <c r="E5" i="10"/>
  <c r="E4" i="10"/>
  <c r="E3" i="10"/>
  <c r="E2" i="10"/>
  <c r="D4" i="10"/>
  <c r="D3" i="10"/>
  <c r="D2" i="10"/>
  <c r="B9" i="10"/>
  <c r="B17" i="7"/>
  <c r="B18" i="7" s="1"/>
  <c r="C12" i="7"/>
  <c r="B12" i="7"/>
  <c r="B14" i="7" s="1"/>
  <c r="B15" i="7" s="1"/>
  <c r="B21" i="7" s="1"/>
  <c r="C52" i="5"/>
  <c r="C51" i="5"/>
  <c r="C47" i="5"/>
  <c r="C21" i="6"/>
  <c r="B16" i="5"/>
  <c r="B17" i="5" s="1"/>
  <c r="B45" i="5" s="1"/>
  <c r="B58" i="5"/>
  <c r="B60" i="5" s="1"/>
  <c r="C60" i="5" s="1"/>
  <c r="B26" i="13" l="1"/>
  <c r="C26" i="13" s="1"/>
  <c r="C32" i="13"/>
  <c r="B32" i="13"/>
  <c r="B54" i="13"/>
  <c r="C56" i="13" s="1"/>
  <c r="C55" i="13"/>
  <c r="B41" i="13"/>
  <c r="D37" i="10"/>
  <c r="C11" i="11"/>
  <c r="C12" i="11" s="1"/>
  <c r="D28" i="11"/>
  <c r="D29" i="11"/>
  <c r="E29" i="11" s="1"/>
  <c r="C23" i="11"/>
  <c r="C24" i="11" s="1"/>
  <c r="D9" i="10"/>
  <c r="E9" i="10"/>
  <c r="B47" i="5"/>
  <c r="B49" i="5" s="1"/>
  <c r="B50" i="5" s="1"/>
  <c r="B30" i="13" l="1"/>
  <c r="C30" i="13"/>
  <c r="B36" i="13"/>
  <c r="B37" i="13" s="1"/>
  <c r="D32" i="13"/>
  <c r="D33" i="13" s="1"/>
  <c r="C33" i="13"/>
  <c r="D30" i="13"/>
  <c r="D31" i="13" s="1"/>
  <c r="C31" i="13"/>
  <c r="C44" i="13"/>
  <c r="D44" i="13" s="1"/>
  <c r="C43" i="13"/>
  <c r="D43" i="13" s="1"/>
  <c r="C42" i="13"/>
  <c r="D42" i="13" s="1"/>
  <c r="C45" i="13"/>
  <c r="D45" i="13" s="1"/>
  <c r="C36" i="11"/>
  <c r="C39" i="11"/>
  <c r="C37" i="11"/>
  <c r="C40" i="11"/>
  <c r="C42" i="11"/>
  <c r="C35" i="11"/>
  <c r="C41" i="11"/>
  <c r="C38" i="11"/>
  <c r="C34" i="11"/>
  <c r="C33" i="11"/>
  <c r="D30" i="11"/>
  <c r="E30" i="11" s="1"/>
  <c r="E28" i="11"/>
  <c r="C11" i="5"/>
  <c r="B11" i="5"/>
  <c r="B13" i="5" s="1"/>
  <c r="B14" i="5" s="1"/>
  <c r="B20" i="5" s="1"/>
  <c r="B16" i="2"/>
  <c r="E7" i="1"/>
  <c r="E9" i="1" s="1"/>
  <c r="E11" i="1" s="1"/>
  <c r="D7" i="1"/>
  <c r="D9" i="1" s="1"/>
  <c r="C7" i="1"/>
  <c r="C9" i="1" s="1"/>
  <c r="B38" i="13" l="1"/>
  <c r="D38" i="13" s="1"/>
  <c r="D37" i="13"/>
  <c r="D39" i="11"/>
  <c r="D38" i="11"/>
  <c r="E38" i="11" s="1"/>
  <c r="D37" i="11"/>
  <c r="E37" i="11" s="1"/>
  <c r="D35" i="11"/>
  <c r="E35" i="11" s="1"/>
  <c r="D34" i="11"/>
  <c r="E34" i="11" s="1"/>
  <c r="D36" i="11"/>
  <c r="E36" i="11" s="1"/>
  <c r="B26" i="5"/>
  <c r="B31" i="5"/>
  <c r="D11" i="1"/>
  <c r="D10" i="1"/>
  <c r="C11" i="1"/>
  <c r="C10" i="1"/>
  <c r="E10" i="1"/>
  <c r="E39" i="11" l="1"/>
  <c r="D42" i="11"/>
  <c r="D40" i="11"/>
  <c r="D41" i="11"/>
  <c r="B37" i="5"/>
  <c r="B30" i="5"/>
  <c r="B32" i="5" s="1"/>
  <c r="B34" i="5" s="1"/>
  <c r="E42" i="11" l="1"/>
  <c r="E40" i="11"/>
  <c r="E41" i="11" s="1"/>
  <c r="B33" i="5"/>
  <c r="C41" i="5"/>
  <c r="D41" i="5" s="1"/>
  <c r="C40" i="5"/>
  <c r="D40" i="5" s="1"/>
  <c r="C39" i="5"/>
  <c r="D39" i="5" s="1"/>
  <c r="C38" i="5"/>
  <c r="D38" i="5" s="1"/>
  <c r="D33" i="5" l="1"/>
  <c r="D3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tc={987E812B-70E8-CF44-917E-281A2E915538}</author>
    <author>tc={8B7A6FEF-D285-0A4A-AD4A-ABA46563F95E}</author>
    <author>tc={8F03D8EF-44BD-894A-B33A-13DF03AEC025}</author>
    <author>tc={DB6B20E7-0064-C546-A98E-E9D432D0DCB3}</author>
    <author>tc={42F39EC5-D23E-BD43-9FF8-091654F1148D}</author>
    <author>tc={E2FD00ED-1163-7547-90AA-3E05AEA01E83}</author>
  </authors>
  <commentList>
    <comment ref="C2" authorId="0" shapeId="0" xr:uid="{987E812B-70E8-CF44-917E-281A2E9155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rate is higher due to dineout promotes eating out</t>
      </text>
    </comment>
    <comment ref="D2" authorId="1" shapeId="0" xr:uid="{8B7A6FEF-D285-0A4A-AD4A-ABA46563F95E}">
      <text>
        <t>[Threaded comment]
Your version of Excel allows you to read this threaded comment; however, any edits to it will get removed if the file is opened in a newer version of Excel. Learn more: https://go.microsoft.com/fwlink/?linkid=870924
Comment:
    20R per customer with 50% accuracy/data correctness/active</t>
      </text>
    </comment>
    <comment ref="C3" authorId="2" shapeId="0" xr:uid="{8F03D8EF-44BD-894A-B33A-13DF03AEC025}">
      <text>
        <t>[Threaded comment]
Your version of Excel allows you to read this threaded comment; however, any edits to it will get removed if the file is opened in a newer version of Excel. Learn more: https://go.microsoft.com/fwlink/?linkid=870924
Comment:
    12%</t>
      </text>
    </comment>
    <comment ref="C4" authorId="3" shapeId="0" xr:uid="{DB6B20E7-0064-C546-A98E-E9D432D0DCB3}">
      <text>
        <t>[Threaded comment]
Your version of Excel allows you to read this threaded comment; however, any edits to it will get removed if the file is opened in a newer version of Excel. Learn more: https://go.microsoft.com/fwlink/?linkid=870924
Comment:
    13%</t>
      </text>
    </comment>
    <comment ref="B5" authorId="4" shapeId="0" xr:uid="{42F39EC5-D23E-BD43-9FF8-091654F1148D}">
      <text>
        <t>[Threaded comment]
Your version of Excel allows you to read this threaded comment; however, any edits to it will get removed if the file is opened in a newer version of Excel. Learn more: https://go.microsoft.com/fwlink/?linkid=870924
Comment:
    550 potential FL3 merchants but there could be more non-FL3</t>
      </text>
    </comment>
    <comment ref="C5" authorId="5" shapeId="0" xr:uid="{E2FD00ED-1163-7547-90AA-3E05AEA01E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50 restaurants during buffer &amp; then monthly 10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26" authorId="0" shapeId="0" xr:uid="{4DA3BF11-7B27-0A41-94C5-E41FE8720AF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Use credit tentd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tc={FB95B5ED-4549-1E4B-A661-9D3A0607C59D}</author>
    <author>tc={86D43A48-EF6E-D04D-A958-6F9040E907D9}</author>
    <author>tc={02982BE1-DCD6-D44F-A882-D223480361D1}</author>
    <author>tc={3E5C774C-E9D1-964D-9407-EEE4B183EE07}</author>
    <author>tc={5D13AA24-695C-014E-A8D4-925C3FCE5120}</author>
    <author>tc={21279F79-B1F4-E244-AD1F-AB1898DF7105}</author>
    <author>tc={AEAC3282-BA13-924D-8F3F-EE8B4B156478}</author>
    <author>tc={8C60C3F2-1066-374B-B29A-4D39C22D1BFC}</author>
  </authors>
  <commentList>
    <comment ref="B4" authorId="0" shapeId="0" xr:uid="{FB95B5ED-4549-1E4B-A661-9D3A0607C59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rate - 2.5%</t>
      </text>
    </comment>
    <comment ref="C4" authorId="1" shapeId="0" xr:uid="{86D43A48-EF6E-D04D-A958-6F9040E907D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rate - 5%</t>
      </text>
    </comment>
    <comment ref="D4" authorId="2" shapeId="0" xr:uid="{02982BE1-DCD6-D44F-A882-D223480361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Conversion rate - 7.5%</t>
      </text>
    </comment>
    <comment ref="D5" authorId="3" shapeId="0" xr:uid="{3E5C774C-E9D1-964D-9407-EEE4B183EE07}">
      <text>
        <t>[Threaded comment]
Your version of Excel allows you to read this threaded comment; however, any edits to it will get removed if the file is opened in a newer version of Excel. Learn more: https://go.microsoft.com/fwlink/?linkid=870924
Comment:
    Decreased credit risks through maturity</t>
      </text>
    </comment>
    <comment ref="D10" authorId="4" shapeId="0" xr:uid="{5D13AA24-695C-014E-A8D4-925C3FCE512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Recovery increase over time</t>
      </text>
    </comment>
    <comment ref="B17" authorId="5" shapeId="0" xr:uid="{21279F79-B1F4-E244-AD1F-AB1898DF7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revenue share - 24%</t>
      </text>
    </comment>
    <comment ref="C17" authorId="6" shapeId="0" xr:uid="{AEAC3282-BA13-924D-8F3F-EE8B4B1564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revenue share - 33%</t>
      </text>
    </comment>
    <comment ref="D17" authorId="7" shapeId="0" xr:uid="{8C60C3F2-1066-374B-B29A-4D39C22D1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revenue share - 35%</t>
      </text>
    </comment>
  </commentList>
</comments>
</file>

<file path=xl/sharedStrings.xml><?xml version="1.0" encoding="utf-8"?>
<sst xmlns="http://schemas.openxmlformats.org/spreadsheetml/2006/main" count="861" uniqueCount="558">
  <si>
    <t>S. No.</t>
  </si>
  <si>
    <t>Source</t>
  </si>
  <si>
    <t>MFI / NBFC</t>
  </si>
  <si>
    <t>Bank</t>
  </si>
  <si>
    <t>Merchant Partners</t>
  </si>
  <si>
    <t>25L</t>
  </si>
  <si>
    <t>11L</t>
  </si>
  <si>
    <t>10L</t>
  </si>
  <si>
    <t>38L</t>
  </si>
  <si>
    <t>16L</t>
  </si>
  <si>
    <t>20L</t>
  </si>
  <si>
    <t>50L</t>
  </si>
  <si>
    <t>22L</t>
  </si>
  <si>
    <t>30L</t>
  </si>
  <si>
    <t>Y1 Signup (50%)</t>
  </si>
  <si>
    <t>Total</t>
  </si>
  <si>
    <t>56L</t>
  </si>
  <si>
    <t>94L</t>
  </si>
  <si>
    <t>Conversion @ 0.5%</t>
  </si>
  <si>
    <t>Average Sale Value</t>
  </si>
  <si>
    <t>Gross Sale</t>
  </si>
  <si>
    <t>1.32CR</t>
  </si>
  <si>
    <t>Interest @ 20%</t>
  </si>
  <si>
    <t>Y2 Signup (75%)</t>
  </si>
  <si>
    <t>Y3 Signup (100%)</t>
  </si>
  <si>
    <t>WAIU Direct Customers</t>
  </si>
  <si>
    <t>Credit lending to consumers?</t>
  </si>
  <si>
    <t>Credit lending to merchants?</t>
  </si>
  <si>
    <t>Sales Earning @5%</t>
  </si>
  <si>
    <t>CPM</t>
  </si>
  <si>
    <t>CPL</t>
  </si>
  <si>
    <t>CPA</t>
  </si>
  <si>
    <t>CPV</t>
  </si>
  <si>
    <t>CPE</t>
  </si>
  <si>
    <t>CPI</t>
  </si>
  <si>
    <t>CPC</t>
  </si>
  <si>
    <t>CPAd</t>
  </si>
  <si>
    <t>CPLead</t>
  </si>
  <si>
    <t>CPConv</t>
  </si>
  <si>
    <t>CPI only Calculations</t>
  </si>
  <si>
    <t>Pune total customers</t>
  </si>
  <si>
    <t>Acquisition cost</t>
  </si>
  <si>
    <t>Make 20% higher for Insta</t>
  </si>
  <si>
    <t>50% lower for FB</t>
  </si>
  <si>
    <t>1.35CR</t>
  </si>
  <si>
    <t>60L</t>
  </si>
  <si>
    <t>Maintenance - per year per city</t>
  </si>
  <si>
    <t>2CR</t>
  </si>
  <si>
    <t>4CR</t>
  </si>
  <si>
    <t>Included in merchant CAC</t>
  </si>
  <si>
    <t>Buffer period signup costs</t>
  </si>
  <si>
    <t>Yearly costs</t>
  </si>
  <si>
    <t>Category</t>
  </si>
  <si>
    <t>Costs</t>
  </si>
  <si>
    <t>Total Y1 costs</t>
  </si>
  <si>
    <t>Total Y2 costs</t>
  </si>
  <si>
    <t>3 CR</t>
  </si>
  <si>
    <t>4 CR</t>
  </si>
  <si>
    <t>2 CR</t>
  </si>
  <si>
    <t>Total Y3 costs</t>
  </si>
  <si>
    <t>Customer interfacing</t>
  </si>
  <si>
    <t>Merchant interfacing</t>
  </si>
  <si>
    <t>Transaction management</t>
  </si>
  <si>
    <t>Customer profiling &amp; risk scoring</t>
  </si>
  <si>
    <t>AML checks (shared)</t>
  </si>
  <si>
    <t>Branding</t>
  </si>
  <si>
    <t>Customer onboarding</t>
  </si>
  <si>
    <t>Technical integration</t>
  </si>
  <si>
    <t>Recovery processing</t>
  </si>
  <si>
    <t>PG</t>
  </si>
  <si>
    <t>Promotion/Awareness campaigns</t>
  </si>
  <si>
    <t>Magma support</t>
  </si>
  <si>
    <t>WAIU support</t>
  </si>
  <si>
    <t>Costing (Rs)</t>
  </si>
  <si>
    <t>Range: 20-110L</t>
  </si>
  <si>
    <t>NPCI Tie-Up</t>
  </si>
  <si>
    <t>Zomato : 1L</t>
  </si>
  <si>
    <t>Customer through partner merchants? </t>
  </si>
  <si>
    <t>21-30 working class</t>
  </si>
  <si>
    <t>Credit card customers : 5CR in India</t>
  </si>
  <si>
    <t>On Paper WAIU customers in Pune at end of Y1</t>
  </si>
  <si>
    <t>Cosmos</t>
  </si>
  <si>
    <t>Dineout</t>
  </si>
  <si>
    <t>MFI</t>
  </si>
  <si>
    <t>?</t>
  </si>
  <si>
    <t>Total Potential (Lakhs)</t>
  </si>
  <si>
    <t>18-25 graduates - 5 Lacs</t>
  </si>
  <si>
    <t>Overlap quotient</t>
  </si>
  <si>
    <t>Unique customers</t>
  </si>
  <si>
    <t>Clique customers @ 5% conversion</t>
  </si>
  <si>
    <t>Why 5%?</t>
  </si>
  <si>
    <t>CARE Ratings</t>
  </si>
  <si>
    <t>F&amp;B is 3rd biggest credit service after airline &amp; accomodation</t>
  </si>
  <si>
    <t>Between May-19 &amp; Apr-20, India added 9M credit card &amp; lost 30M debit cards</t>
  </si>
  <si>
    <t>Average transaction value of CC is higher</t>
  </si>
  <si>
    <t>India Buy Now Pay Later Market Report 2021: BNPL Payments are Expected to Grow by 72.7% - Forecast to 2028</t>
  </si>
  <si>
    <t>Total Customers</t>
  </si>
  <si>
    <t>Late payment fee</t>
  </si>
  <si>
    <t>Delinquency</t>
  </si>
  <si>
    <t>15-20% of card carrying customers are in default for up to 30 days,</t>
  </si>
  <si>
    <t>Y1 Target (Lakhs)</t>
  </si>
  <si>
    <t>WAIU direct customers: 1.2L at Y1</t>
  </si>
  <si>
    <t>Total expense</t>
  </si>
  <si>
    <t>Average delay in months (Market avg is 6-8 months)</t>
  </si>
  <si>
    <t>Total Interest</t>
  </si>
  <si>
    <t>Total Late Fee</t>
  </si>
  <si>
    <t>Interest Free Period in months</t>
  </si>
  <si>
    <t>HDFC 950 for &lt;25k</t>
  </si>
  <si>
    <t>HDFC interest rate on ‘revolving balances’ from 3.49-3.6% monthly 
(that's 41.88-43.2% annually)</t>
  </si>
  <si>
    <t>Although limit increases with spend credibility. Plus its revolving</t>
  </si>
  <si>
    <t>Sales Figures</t>
  </si>
  <si>
    <t>Merchant Fees Rate (15%)</t>
  </si>
  <si>
    <t>Merchant Fee Value</t>
  </si>
  <si>
    <t>WAIU Share</t>
  </si>
  <si>
    <t>MFI Share</t>
  </si>
  <si>
    <t>Billdesk</t>
  </si>
  <si>
    <t>Customer Share</t>
  </si>
  <si>
    <t>Total charges</t>
  </si>
  <si>
    <t>WAIU Clique Share 10% - Admin cost</t>
  </si>
  <si>
    <t>https://www.rbi.org.in/Scripts/PublicationsView.aspx?id=20377</t>
  </si>
  <si>
    <t>How soon people repay loan?</t>
  </si>
  <si>
    <t>Portfolio performance (Delinquency in terms of days past due)</t>
  </si>
  <si>
    <t>30+ days</t>
  </si>
  <si>
    <t>60+ days</t>
  </si>
  <si>
    <t>90+ days</t>
  </si>
  <si>
    <t>Industry level</t>
  </si>
  <si>
    <t>a)</t>
  </si>
  <si>
    <t>Banks</t>
  </si>
  <si>
    <t>b)</t>
  </si>
  <si>
    <t>NBFC-MFIs</t>
  </si>
  <si>
    <t>c)</t>
  </si>
  <si>
    <t>SFBs</t>
  </si>
  <si>
    <t>d)</t>
  </si>
  <si>
    <t>NBFCs</t>
  </si>
  <si>
    <t>e)</t>
  </si>
  <si>
    <t>Non-profit MFIs</t>
  </si>
  <si>
    <t>Conservative approach, although Clique customer are likely to have higher credit disposition &amp; worthiness</t>
  </si>
  <si>
    <t>Average Loan (10-50k range owns 66% of MF market)</t>
  </si>
  <si>
    <t>Total loan value</t>
  </si>
  <si>
    <t>Non-MFI consumers</t>
  </si>
  <si>
    <t>Unique MFI customers</t>
  </si>
  <si>
    <t>Interest percentage ( Usually 20-26% for MFIs)</t>
  </si>
  <si>
    <t>Conservative figure to challenge credit cards &amp; traditional EMI services</t>
  </si>
  <si>
    <t>Total Interest Earnings</t>
  </si>
  <si>
    <t>1 location</t>
  </si>
  <si>
    <t>7 location</t>
  </si>
  <si>
    <t>Total lending pool (Home Credit India survey - 33%)</t>
  </si>
  <si>
    <t>Total merchant partners - 1 location in 1 year</t>
  </si>
  <si>
    <t>7 Locations</t>
  </si>
  <si>
    <t>Total interest per location</t>
  </si>
  <si>
    <t>Without bank &amp; MFI customers</t>
  </si>
  <si>
    <t>The survey revealed that 33 per cent of Indians are willing to take a loan for a consumer durable item such as- Mobile Phone, Television, Refrigerator etc.</t>
  </si>
  <si>
    <t>Interest lower than consumers as market trend</t>
  </si>
  <si>
    <t>Digital Consumer Lending Figures</t>
  </si>
  <si>
    <t>Digital Merchant / Restaurant Lending Figures</t>
  </si>
  <si>
    <t>Note its less than Clique member count &amp; pool includes all potential customers</t>
  </si>
  <si>
    <t>Average loan value: 10-40L</t>
  </si>
  <si>
    <t>Total count of customers</t>
  </si>
  <si>
    <t>Total Interest Earnings for 7 locations</t>
  </si>
  <si>
    <t xml:space="preserve">Value add? 50% processing fee, late payment charges, WAIU discounts, </t>
  </si>
  <si>
    <t>To avoid reaching relational lenders</t>
  </si>
  <si>
    <t>7 locations for Y1</t>
  </si>
  <si>
    <t>????</t>
  </si>
  <si>
    <t>Target customers for Clique @ 5%</t>
  </si>
  <si>
    <t>Average credit value per customer</t>
  </si>
  <si>
    <t>31.2CR</t>
  </si>
  <si>
    <t>Total business in the year, by value</t>
  </si>
  <si>
    <t>14L</t>
  </si>
  <si>
    <t>4.7L</t>
  </si>
  <si>
    <t>Total collection for 7 locations in Year 1</t>
  </si>
  <si>
    <t>MFI Clique Share 90%</t>
  </si>
  <si>
    <t>1.31CR</t>
  </si>
  <si>
    <t>Average loan value</t>
  </si>
  <si>
    <t>26.4CR</t>
  </si>
  <si>
    <t>Unique new consumers for Year 1 in Pune</t>
  </si>
  <si>
    <t>Interest Collection @ 18%</t>
  </si>
  <si>
    <t>Lending pool 10%</t>
  </si>
  <si>
    <t>Average loan value (Industry average is 10-40L)</t>
  </si>
  <si>
    <t>Total interest per location based on Interest rate @ 14%</t>
  </si>
  <si>
    <t>34L</t>
  </si>
  <si>
    <t>2.4CR</t>
  </si>
  <si>
    <t>Year 1 - Potential customer acquision in 1 City (Pune)</t>
  </si>
  <si>
    <t>Assume acq charges for this</t>
  </si>
  <si>
    <t>Based on aggregation model, de-duped across partners</t>
  </si>
  <si>
    <t>Assuming launch in same regions as WAIU</t>
  </si>
  <si>
    <t>Industry range is ₹10-50k in 66% cases</t>
  </si>
  <si>
    <t>Conservative rate as compared to trend, BAU lenders</t>
  </si>
  <si>
    <t xml:space="preserve">Exclusive of late fee, processing charges, documentation charges </t>
  </si>
  <si>
    <t>Delinquency applied later at 4%</t>
  </si>
  <si>
    <t>Digital Merchant / Restaurant Lending</t>
  </si>
  <si>
    <t>Digital Consumer Lending</t>
  </si>
  <si>
    <t>Clique Revenue Stream</t>
  </si>
  <si>
    <t>Proposed Financial Draft</t>
  </si>
  <si>
    <t>Total merchant partners - 1 location in Year 1</t>
  </si>
  <si>
    <t>Based on WAIU acquisition strategy, after pre-launch</t>
  </si>
  <si>
    <t>Assumed &amp; open for feedback</t>
  </si>
  <si>
    <t>Total loan portfolio</t>
  </si>
  <si>
    <t>Interest @3%,  assuming 10% customers will enroll</t>
  </si>
  <si>
    <t>Flat Late Fee @ Rs 100 per month</t>
  </si>
  <si>
    <t>Industry trend is &gt;₹500 &amp; incremental</t>
  </si>
  <si>
    <t>By policy but will always increase based on credit scoring</t>
  </si>
  <si>
    <t>Based on a conservative 5% active consumer base, but likely to be higher</t>
  </si>
  <si>
    <t>Controlled share, derived from BNPL statistics</t>
  </si>
  <si>
    <t>EMI cycle 2.5 months with M1 free; Conservative rate</t>
  </si>
  <si>
    <t>4.5CR</t>
  </si>
  <si>
    <t>32CR</t>
  </si>
  <si>
    <t>Merchant Interest collection for 7 locations in Year 1</t>
  </si>
  <si>
    <t>Consumer Interest collection for 7 locations in Year 1</t>
  </si>
  <si>
    <t>Median value assumed</t>
  </si>
  <si>
    <t>Qs:</t>
  </si>
  <si>
    <t>Yash - Dineout numbers for our cities</t>
  </si>
  <si>
    <t>Dhurandar -  Zomato numbers for our cities</t>
  </si>
  <si>
    <t>Notes</t>
  </si>
  <si>
    <t>Not applicable for all cities</t>
  </si>
  <si>
    <t>1 CR on converted consumer, maybe 5 times for all coverage i.e. 5L consumers?</t>
  </si>
  <si>
    <t>As above</t>
  </si>
  <si>
    <t>How many signups in buffer period and then 10 PM?</t>
  </si>
  <si>
    <t>Based on above</t>
  </si>
  <si>
    <t>Partnerships in location?</t>
  </si>
  <si>
    <t>Maybe other banks in the location or a national bank?</t>
  </si>
  <si>
    <t>Mudra like ad agency for e2e campaign cost</t>
  </si>
  <si>
    <t>TV campaign based influence &amp; conversion?</t>
  </si>
  <si>
    <t>DATESELECT TO SORT TRANSACTIONS BY DATE IN ASCENDING ORDER.</t>
  </si>
  <si>
    <t>DESCRIPTIONSELECT TO SORT TRANSACTIONS BY DESCRIPTION IN ASCENDING ORDER.</t>
  </si>
  <si>
    <t>AMOUNTSELECT TO SORT TRANSACTIONS BY AMOUNT IN ASCENDING ORDER.</t>
  </si>
  <si>
    <t>FINANCE CHARGES</t>
  </si>
  <si>
    <t>₹ 1,404.23</t>
  </si>
  <si>
    <t>GST/IGST@18%</t>
  </si>
  <si>
    <t>₹ 252.76</t>
  </si>
  <si>
    <t>TERM LIFE INSURANCE THR GURGAON</t>
  </si>
  <si>
    <t>₹ 7,793.77</t>
  </si>
  <si>
    <t>PAYU=HTTPS://PHARMEASY. MUMBAI SUBURBAN</t>
  </si>
  <si>
    <t>₹ 472.61</t>
  </si>
  <si>
    <t>AMAZON BD BENGALURU</t>
  </si>
  <si>
    <t>₹ 2,787.15</t>
  </si>
  <si>
    <t>PAYTM*OFINDIAXYZ NOIDA</t>
  </si>
  <si>
    <t>₹ 25,000.00</t>
  </si>
  <si>
    <t>BD BAGIC - PG MUMBAI</t>
  </si>
  <si>
    <t>₹ 8,265.00</t>
  </si>
  <si>
    <t>₹ 14,142.40</t>
  </si>
  <si>
    <t>₹ 20,263.60</t>
  </si>
  <si>
    <t>ZOMATO LTD</t>
  </si>
  <si>
    <t>-₹ 68.91</t>
  </si>
  <si>
    <t>ZOMATO LTD GURGAON</t>
  </si>
  <si>
    <t>₹ 275.65</t>
  </si>
  <si>
    <t>₹ 5,276.20</t>
  </si>
  <si>
    <t>₹ 14,987.40</t>
  </si>
  <si>
    <t>₹ 1,01,008.00</t>
  </si>
  <si>
    <t>MMT - SAFE KEY</t>
  </si>
  <si>
    <t>-₹ 513.25</t>
  </si>
  <si>
    <t>PAYMENT RECEIVED. THANK YOU</t>
  </si>
  <si>
    <t>-₹ 30,000.00</t>
  </si>
  <si>
    <t>MAKE MY TRIP - SAFE KEY GURGAON</t>
  </si>
  <si>
    <t>₹ 2,053.00</t>
  </si>
  <si>
    <t>-₹ 66.63</t>
  </si>
  <si>
    <t>₹ 266.50</t>
  </si>
  <si>
    <t>TP*PHONEPE UTILITIES BANGALORE</t>
  </si>
  <si>
    <t>₹ 334.00</t>
  </si>
  <si>
    <t>TP*PHONEPE MERCHANT SOUTH DELHI</t>
  </si>
  <si>
    <t>₹ 819.00</t>
  </si>
  <si>
    <t>-₹ 102.20</t>
  </si>
  <si>
    <t>₹ 408.80</t>
  </si>
  <si>
    <t>-₹ 620.00</t>
  </si>
  <si>
    <t>-₹ 20,375.00</t>
  </si>
  <si>
    <t>BILLDESK=LICPGINEW 9820 MUMBAI</t>
  </si>
  <si>
    <t>₹ 54,201.00</t>
  </si>
  <si>
    <t>-₹ 25,000.00</t>
  </si>
  <si>
    <t>D MART PUNE</t>
  </si>
  <si>
    <t>₹ 2,488.46</t>
  </si>
  <si>
    <t>-₹ 475.00</t>
  </si>
  <si>
    <t>-₹ 273.00</t>
  </si>
  <si>
    <t>-₹ 33.00</t>
  </si>
  <si>
    <t>₹ 1,059.00</t>
  </si>
  <si>
    <t>3-5-10 year plan</t>
  </si>
  <si>
    <t>Zomato</t>
  </si>
  <si>
    <t>Swiggy</t>
  </si>
  <si>
    <t>Merchant</t>
  </si>
  <si>
    <t>WAIU</t>
  </si>
  <si>
    <t>Bank - Cosmos</t>
  </si>
  <si>
    <t>Total Scope</t>
  </si>
  <si>
    <t>Conversion</t>
  </si>
  <si>
    <t>Cost of Contact</t>
  </si>
  <si>
    <t>Cost of conversion</t>
  </si>
  <si>
    <t>Per city consumer stats (Pune)</t>
  </si>
  <si>
    <t xml:space="preserve">EOY1 Total Scope </t>
  </si>
  <si>
    <t>EOY1 Total Target</t>
  </si>
  <si>
    <t>WAIU (campaign driven)</t>
  </si>
  <si>
    <t>N/A</t>
  </si>
  <si>
    <t>Overlap Quotient: 50%</t>
  </si>
  <si>
    <t>Per standard strategy</t>
  </si>
  <si>
    <t>Merchant acquisition rates to continue from day 1</t>
  </si>
  <si>
    <t>Assume no business in first 2 months, but recover by EOY</t>
  </si>
  <si>
    <t>MFI/Bank numbers to be confirmed</t>
  </si>
  <si>
    <t>Conservative, as uers are likely to use app recurringly</t>
  </si>
  <si>
    <t>Pune, Mumbai, Indore, Bangalore, Hyderabad - Goa, NCR</t>
  </si>
  <si>
    <t>Cosmos states: MH, GJ, MP, Karnataka, AP, Telangana, TN</t>
  </si>
  <si>
    <t>MAGMA States - All except GOA</t>
  </si>
  <si>
    <t>Technical Integration costs</t>
  </si>
  <si>
    <t>App usage quotient: 50% users at MAX to use at least once</t>
  </si>
  <si>
    <t>Customer acquisition costs per city for 1.75L consumers per year</t>
  </si>
  <si>
    <t>3.5CR</t>
  </si>
  <si>
    <t>25CR for 7 cities</t>
  </si>
  <si>
    <t>Drop GOA?</t>
  </si>
  <si>
    <t>60Rs as these are F&amp;B enthusiasts</t>
  </si>
  <si>
    <t>Count likely to be more due to TV commercial spikes</t>
  </si>
  <si>
    <t>Click</t>
  </si>
  <si>
    <t>Like</t>
  </si>
  <si>
    <t>Action - Chat etc</t>
  </si>
  <si>
    <t>View</t>
  </si>
  <si>
    <t>Seen by 1000 people</t>
  </si>
  <si>
    <t>Install</t>
  </si>
  <si>
    <t>Engagement - watch, pause, fill a form</t>
  </si>
  <si>
    <t>To pay via app</t>
  </si>
  <si>
    <t>Ad cost</t>
  </si>
  <si>
    <t>Lead</t>
  </si>
  <si>
    <t>Revenue Category &amp; Phases</t>
  </si>
  <si>
    <t>Details</t>
  </si>
  <si>
    <t>1 FL3 Only</t>
  </si>
  <si>
    <t>1 City</t>
  </si>
  <si>
    <t>7 Cities</t>
  </si>
  <si>
    <t>Points</t>
  </si>
  <si>
    <t>Cash</t>
  </si>
  <si>
    <t>Average Customers per FL3</t>
  </si>
  <si>
    <t>Assuming 3 years old business</t>
  </si>
  <si>
    <t>Based on FL3 selection criteria</t>
  </si>
  <si>
    <t>Liquor</t>
  </si>
  <si>
    <t>Vat 5%</t>
  </si>
  <si>
    <t>No GST</t>
  </si>
  <si>
    <t>Regular customers</t>
  </si>
  <si>
    <t>Average regular customers - 15%</t>
  </si>
  <si>
    <t>Current market trend</t>
  </si>
  <si>
    <t>Food</t>
  </si>
  <si>
    <t>zero vat</t>
  </si>
  <si>
    <t>5% GST</t>
  </si>
  <si>
    <t>FreeSpirit Target</t>
  </si>
  <si>
    <r>
      <t xml:space="preserve">Drink Sharing - 25% of </t>
    </r>
    <r>
      <rPr>
        <sz val="11"/>
        <color rgb="FF00B050"/>
        <rFont val="Calibri"/>
        <family val="2"/>
        <scheme val="minor"/>
      </rPr>
      <t xml:space="preserve">Regular </t>
    </r>
    <r>
      <rPr>
        <sz val="12"/>
        <color theme="1"/>
        <rFont val="Calibri"/>
        <family val="2"/>
        <scheme val="minor"/>
      </rPr>
      <t>Customers</t>
    </r>
  </si>
  <si>
    <t>Food - 5* hotel</t>
  </si>
  <si>
    <t>18% GST</t>
  </si>
  <si>
    <r>
      <t xml:space="preserve">Drink Sharing - 10% of </t>
    </r>
    <r>
      <rPr>
        <sz val="11"/>
        <color rgb="FF00B0F0"/>
        <rFont val="Calibri"/>
        <family val="2"/>
        <scheme val="minor"/>
      </rPr>
      <t>Remaining</t>
    </r>
    <r>
      <rPr>
        <sz val="12"/>
        <color theme="1"/>
        <rFont val="Calibri"/>
        <family val="2"/>
        <scheme val="minor"/>
      </rPr>
      <t xml:space="preserve"> Customers</t>
    </r>
  </si>
  <si>
    <t>Waiu Direct Customers (20%)</t>
  </si>
  <si>
    <t>??</t>
  </si>
  <si>
    <t>Food &amp; Drink Purchase &amp; Sharing</t>
  </si>
  <si>
    <t>Total customer target per FL3</t>
  </si>
  <si>
    <t>Minimum target for FL4 Customers Per FL3</t>
  </si>
  <si>
    <t>Paid</t>
  </si>
  <si>
    <t>Average per sale spend per month</t>
  </si>
  <si>
    <t>Conservative Figures - Sale value ₹18 Lacs</t>
  </si>
  <si>
    <t>bill</t>
  </si>
  <si>
    <t>Monthly sale value</t>
  </si>
  <si>
    <t>FreeSpirit Discount</t>
  </si>
  <si>
    <t>Customer Cashback</t>
  </si>
  <si>
    <t>12% cashback for partner bank's customers
10% cashback for all other customers</t>
  </si>
  <si>
    <t>FL3 bill</t>
  </si>
  <si>
    <t>FreeSpirit Revenue</t>
  </si>
  <si>
    <t>BS to pay</t>
  </si>
  <si>
    <t>Drink Offering</t>
  </si>
  <si>
    <t>5% Members</t>
  </si>
  <si>
    <t xml:space="preserve"> </t>
  </si>
  <si>
    <t>BS to FL4</t>
  </si>
  <si>
    <t>Sale value per person per month</t>
  </si>
  <si>
    <t>Total sale value ₹24000</t>
  </si>
  <si>
    <t>Monthly valuation of offers made</t>
  </si>
  <si>
    <t>FreeSpirit Offer Charges</t>
  </si>
  <si>
    <t>Premium service charges</t>
  </si>
  <si>
    <t>Offering FL3 Profit</t>
  </si>
  <si>
    <t>For FL3 who provisioned the offer</t>
  </si>
  <si>
    <t>Points redemption can happen at any FL3</t>
  </si>
  <si>
    <t>BS balance</t>
  </si>
  <si>
    <t>Delivery</t>
  </si>
  <si>
    <t>10% members</t>
  </si>
  <si>
    <t>10% of Waiu customers will choose delivery</t>
  </si>
  <si>
    <t>setoff</t>
  </si>
  <si>
    <t>Profit</t>
  </si>
  <si>
    <t>Sale value ₹30000</t>
  </si>
  <si>
    <t>Transactions per month per FL3</t>
  </si>
  <si>
    <t>6% cashback for partner bank's customers
5% cashback for all other customers</t>
  </si>
  <si>
    <t>Month</t>
  </si>
  <si>
    <t>FL3 Count</t>
  </si>
  <si>
    <t>Starting FL3 count</t>
  </si>
  <si>
    <t>Pay Later</t>
  </si>
  <si>
    <t>0.11% bank customers</t>
  </si>
  <si>
    <t>Use credit card trend from Amex, dhurandar</t>
  </si>
  <si>
    <t>10 FL3 added per month in each location</t>
  </si>
  <si>
    <t xml:space="preserve">Sale value per ticket per month </t>
  </si>
  <si>
    <t>Total sale value 20Lacs per Location; 1.4Cr 7 Location</t>
  </si>
  <si>
    <t>And so on…</t>
  </si>
  <si>
    <t>Bank share</t>
  </si>
  <si>
    <t>6% cashback for partner bank
5% cashback for all other customers</t>
  </si>
  <si>
    <t>FreeSpirit Profit</t>
  </si>
  <si>
    <t>Broadcast</t>
  </si>
  <si>
    <t>10% of partners</t>
  </si>
  <si>
    <t>done</t>
  </si>
  <si>
    <t>20k Per Merchant Per Month</t>
  </si>
  <si>
    <t>Total Earning Per FL3 Per Month</t>
  </si>
  <si>
    <t>Average Earning - ₹170 per transaction</t>
  </si>
  <si>
    <t>Wave 1 Target - 1st month</t>
  </si>
  <si>
    <t>Earning per month at the end of 1st month</t>
  </si>
  <si>
    <t>100 FL3 All Location; 1,00,000 FL4 All Cities</t>
  </si>
  <si>
    <t>Wave 1 Target - 2nd month</t>
  </si>
  <si>
    <t>Earning per month at the end of 2nd month</t>
  </si>
  <si>
    <t>20 FL3 Per Location; 200 FL3 All Location 
20,000 FL4 Per City; 2,00,000 FL4 All Cities</t>
  </si>
  <si>
    <t>Wave 1 Target - 3rd month</t>
  </si>
  <si>
    <t>Earning per month at the end of 3rd month</t>
  </si>
  <si>
    <t>30 FL3 Per Location; 300 FL3 All Location 
30,000 FL4 Per City; 3,00,000 FL4 All Cities</t>
  </si>
  <si>
    <t>Wave 1 Target - 4th month</t>
  </si>
  <si>
    <t>Earning per month at the end of 4th month</t>
  </si>
  <si>
    <t>40 FL3 Per Location; 400 FL3 All Location 
40,000 FL4 Per City; 4,00,000 FL4 All Cities</t>
  </si>
  <si>
    <t>Total national FL3 count at end of year 1</t>
  </si>
  <si>
    <t>Wave 1 Target - 5th month</t>
  </si>
  <si>
    <t>Earning per month at the end of 5th month</t>
  </si>
  <si>
    <t>50 FL3 Per Location; 500 FL3 All Location 
50,000 FL4 Per City; 5,00,000 FL4 All Cities</t>
  </si>
  <si>
    <t>Total count of transactions at end of year 1 - Only Resto customer</t>
  </si>
  <si>
    <t>Wave 1 Target - First 6 months</t>
  </si>
  <si>
    <r>
      <t xml:space="preserve">Earning per month at 6 months i.e. </t>
    </r>
    <r>
      <rPr>
        <b/>
        <sz val="11"/>
        <color theme="1"/>
        <rFont val="Calibri"/>
        <family val="2"/>
        <scheme val="minor"/>
      </rPr>
      <t>Phase 1</t>
    </r>
  </si>
  <si>
    <t>600 FL3 All Location; 6,00,000 FL4 All Cities</t>
  </si>
  <si>
    <t>Total count of transactions at end of year 1 - Resto &amp; Waiu customers</t>
  </si>
  <si>
    <t xml:space="preserve">After 2nd Wave </t>
  </si>
  <si>
    <r>
      <t xml:space="preserve">Earning per month at 1 year i.e. </t>
    </r>
    <r>
      <rPr>
        <b/>
        <sz val="11"/>
        <color theme="1"/>
        <rFont val="Calibri"/>
        <family val="2"/>
        <scheme val="minor"/>
      </rPr>
      <t>Phase 2</t>
    </r>
  </si>
  <si>
    <t>1200 FL3 All Location; 12,00,000 FL4 All Cities</t>
  </si>
  <si>
    <t>Billdesk costs at end of year 1</t>
  </si>
  <si>
    <t xml:space="preserve">After 4th Wave </t>
  </si>
  <si>
    <r>
      <t xml:space="preserve">Earning per month at 2 years i.e. </t>
    </r>
    <r>
      <rPr>
        <b/>
        <sz val="11"/>
        <color theme="1"/>
        <rFont val="Calibri"/>
        <family val="2"/>
        <scheme val="minor"/>
      </rPr>
      <t>Phase 4</t>
    </r>
  </si>
  <si>
    <t>2400 FL3 All Location; 24,00,000 FL4 All Cities</t>
  </si>
  <si>
    <t>Total customers signed up</t>
  </si>
  <si>
    <t xml:space="preserve">After 6th Wave </t>
  </si>
  <si>
    <t>Earning per month at 3 years i.e. Phase 6</t>
  </si>
  <si>
    <t>3600 FL3 All Location 36,00,000 FL4 All Cities</t>
  </si>
  <si>
    <t>End of D1</t>
  </si>
  <si>
    <t>End of M1</t>
  </si>
  <si>
    <t>End of M2</t>
  </si>
  <si>
    <t>End of M3</t>
  </si>
  <si>
    <t>Merchant count</t>
  </si>
  <si>
    <t>Customer count</t>
  </si>
  <si>
    <t>Merchant (30 merchants signed during pre-launch)</t>
  </si>
  <si>
    <t>Transaction count</t>
  </si>
  <si>
    <t>M5</t>
  </si>
  <si>
    <t>M6</t>
  </si>
  <si>
    <t>M7</t>
  </si>
  <si>
    <t>M8</t>
  </si>
  <si>
    <t>M9</t>
  </si>
  <si>
    <t>M10</t>
  </si>
  <si>
    <t>M11</t>
  </si>
  <si>
    <t>M12</t>
  </si>
  <si>
    <t>M4</t>
  </si>
  <si>
    <t>GOA CONS</t>
  </si>
  <si>
    <t>GOA PROS</t>
  </si>
  <si>
    <t>Low liquor price</t>
  </si>
  <si>
    <t>no cosmos</t>
  </si>
  <si>
    <t>no magma</t>
  </si>
  <si>
    <t>Small state</t>
  </si>
  <si>
    <t>less merchants in selection criteria</t>
  </si>
  <si>
    <t>Open minded state</t>
  </si>
  <si>
    <t>Word of mouth publicity</t>
  </si>
  <si>
    <t>Annual Delay Fees % (Market Avg is 3-4% monthly)</t>
  </si>
  <si>
    <t>Revolve factor</t>
  </si>
  <si>
    <t>Lent funds to cycle 2.5 time in a given year</t>
  </si>
  <si>
    <t>35L</t>
  </si>
  <si>
    <t>11.7L</t>
  </si>
  <si>
    <t>Why 16? Under market trend</t>
  </si>
  <si>
    <t>Average credit value</t>
  </si>
  <si>
    <t>???</t>
  </si>
  <si>
    <t>Share of consumers with delayed payments (Mkt Avg: 15-20%)</t>
  </si>
  <si>
    <t>Monthly Delay Fees % (Market Avg is 3-4% monthly)</t>
  </si>
  <si>
    <t>Why 20? Under market trend of 30-40%</t>
  </si>
  <si>
    <t>Monthly late payment fee</t>
  </si>
  <si>
    <t>Interest free full payment period, EMI charge extra</t>
  </si>
  <si>
    <t>Processing Fee</t>
  </si>
  <si>
    <t>why 12 times if revolution is just 2.5?</t>
  </si>
  <si>
    <t>this is virtual</t>
  </si>
  <si>
    <t>Rotation is the key here, now marked at 2.5 times</t>
  </si>
  <si>
    <t>per month &amp; year with cycle 2.5</t>
  </si>
  <si>
    <t>So actual money in market becomes 2.4cr + 3.1CR delinquency</t>
  </si>
  <si>
    <t>Fee for 2 months</t>
  </si>
  <si>
    <t>When to writeoff? Retain charges for late payers?</t>
  </si>
  <si>
    <t>Retained processing free from late payers (included defaulters)</t>
  </si>
  <si>
    <t>Bank partner</t>
  </si>
  <si>
    <t>9-15</t>
  </si>
  <si>
    <t>Interest Free Period (Months)</t>
  </si>
  <si>
    <t>Redeemable Processing Fee</t>
  </si>
  <si>
    <t>Share of consumers with delayed payments</t>
  </si>
  <si>
    <t>Average Delay (Months)</t>
  </si>
  <si>
    <t>Monthly Delay Fees</t>
  </si>
  <si>
    <t>Total late charges</t>
  </si>
  <si>
    <t>18L</t>
  </si>
  <si>
    <t>Retained Processing Fee</t>
  </si>
  <si>
    <t>Total earning per cycle</t>
  </si>
  <si>
    <t>48L</t>
  </si>
  <si>
    <t>Merchant Discount Revenue (15%)</t>
  </si>
  <si>
    <t>4.6CR</t>
  </si>
  <si>
    <t>MFI/NBFC Share of DR (1/3)</t>
  </si>
  <si>
    <t>Total MFI/NBFC Earning per cycle</t>
  </si>
  <si>
    <t>1.53CR</t>
  </si>
  <si>
    <t>5CR</t>
  </si>
  <si>
    <t>By policy but will always be higher due to the credit score</t>
  </si>
  <si>
    <t>Clique Revenue Stream - Per City (Sample Set - Pune)</t>
  </si>
  <si>
    <t>Year 1 - Potential customer acquision in 1 City</t>
  </si>
  <si>
    <t>Average industry credit term is between 2.6-4.2%</t>
  </si>
  <si>
    <t>Business policy to help overcome competition</t>
  </si>
  <si>
    <t>Average credit line per customer</t>
  </si>
  <si>
    <t>Market trend, after which most funds will be recovered or written off</t>
  </si>
  <si>
    <t>Below market standards and redeemable upon credit rotation</t>
  </si>
  <si>
    <t>Drive actuals as opposed to virtual credits</t>
  </si>
  <si>
    <t>Recovery via Interests</t>
  </si>
  <si>
    <t>Recovery via late fees</t>
  </si>
  <si>
    <t>Recovery via late payers &amp; defaulters</t>
  </si>
  <si>
    <t>Per city per cycle</t>
  </si>
  <si>
    <t>Based on 31CR circulation</t>
  </si>
  <si>
    <t>Remaining to be shared betwee Clique, payment gateways &amp; cashbacks</t>
  </si>
  <si>
    <t>Combining Clique fees &amp; DR returns</t>
  </si>
  <si>
    <t>To match market curve, considering 10% delinquency</t>
  </si>
  <si>
    <t>Total MFI earning for 2.5 cycles (Guestimated over a year)</t>
  </si>
  <si>
    <t>36.2CR</t>
  </si>
  <si>
    <t>Unique new consumers for Year 1</t>
  </si>
  <si>
    <t>Based on a conservative 5% active MFI customers only</t>
  </si>
  <si>
    <t>44CR</t>
  </si>
  <si>
    <t>8CR</t>
  </si>
  <si>
    <t>47.6L</t>
  </si>
  <si>
    <t>3.4CR</t>
  </si>
  <si>
    <t>Total MFI/NBFC Revenue at Y1</t>
  </si>
  <si>
    <t>Total MFI/NBFC Clique revenue after Y1</t>
  </si>
  <si>
    <t>Combining all products</t>
  </si>
  <si>
    <t>Values to &gt;16% returns</t>
  </si>
  <si>
    <t>13.5CR</t>
  </si>
  <si>
    <t>‹</t>
  </si>
  <si>
    <t>7.8CR</t>
  </si>
  <si>
    <t>2.5L</t>
  </si>
  <si>
    <t>9L</t>
  </si>
  <si>
    <t>21.5L</t>
  </si>
  <si>
    <t>1.2CR</t>
  </si>
  <si>
    <t>58.5CR</t>
  </si>
  <si>
    <t>15L</t>
  </si>
  <si>
    <t>23L</t>
  </si>
  <si>
    <t>28L</t>
  </si>
  <si>
    <t>66L</t>
  </si>
  <si>
    <t>8.77CR</t>
  </si>
  <si>
    <t>67.5CR</t>
  </si>
  <si>
    <t>28.5L</t>
  </si>
  <si>
    <t>1.25CR</t>
  </si>
  <si>
    <t>9.05CR</t>
  </si>
  <si>
    <t>9.35CR</t>
  </si>
  <si>
    <t>3.74CR</t>
  </si>
  <si>
    <t>3.08CR</t>
  </si>
  <si>
    <t>Year 1</t>
  </si>
  <si>
    <t>Year 2</t>
  </si>
  <si>
    <t>Year 3</t>
  </si>
  <si>
    <t>Potential target customer in 1 City</t>
  </si>
  <si>
    <t>Based on aggregation model, de-duped across acquisition channels</t>
  </si>
  <si>
    <t>Yearly increase in conversion quotient from 2.5% to 7.5% in 3 years</t>
  </si>
  <si>
    <t>By policy &amp; following increasing trend due to maturity</t>
  </si>
  <si>
    <t>Reduing trend due to maturity</t>
  </si>
  <si>
    <t>Recovery via late payers &amp; defaulters. Redemption upon payments over credit line</t>
  </si>
  <si>
    <t>Total MFI/NBFC Clique revenue at EOY</t>
  </si>
  <si>
    <t>MFI/NBFC Share of DR</t>
  </si>
  <si>
    <t>Maintain 16% returns YoY</t>
  </si>
  <si>
    <t>Revolve target to meet market curve, considering 10% delinquency</t>
  </si>
  <si>
    <t>Combining Clique earnings &amp; DR returns</t>
  </si>
  <si>
    <t>MFI/NBFC share to evolve from 24% at the outset &amp; stablize at 35% to meet returns</t>
  </si>
  <si>
    <t>Policy decision to retain 15%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</si>
</sst>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₹&quot;#,##0;[Red]&quot;₹&quot;#,##0"/>
    <numFmt numFmtId="165" formatCode="#,##0;[Red]#,##0"/>
    <numFmt numFmtId="166" formatCode="&quot;₹&quot;#,##0.00;[Red]&quot;₹&quot;#,##0.00"/>
    <numFmt numFmtId="167" formatCode="[&gt;=10000000]&quot;₹ &quot;##\,##\,##\,##0;[&gt;=100000]&quot;₹ &quot;\ ##\,##\,##0;&quot;  &quot;##,##0"/>
    <numFmt numFmtId="168" formatCode="[&gt;=10000000]&quot;₹ &quot;##\,##\,##\,##0;[&gt;=100000]&quot;₹ &quot;\ ##\,##\,##0;&quot;₹ &quot;##,##0"/>
  </numFmts>
  <fonts count="2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92929"/>
      <name val="Charter"/>
      <family val="1"/>
    </font>
    <font>
      <sz val="11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2"/>
      <color theme="0"/>
      <name val="Calibri"/>
      <family val="2"/>
      <scheme val="minor"/>
    </font>
    <font>
      <sz val="15"/>
      <color rgb="FF000000"/>
      <name val="Helvetica Neue"/>
      <family val="2"/>
    </font>
    <font>
      <sz val="15"/>
      <color rgb="FF53565A"/>
      <name val="Helvetica Neue"/>
      <family val="2"/>
    </font>
    <font>
      <sz val="15"/>
      <color rgb="FF006FCF"/>
      <name val="Helvetica Neue"/>
      <family val="2"/>
    </font>
    <font>
      <sz val="15"/>
      <color rgb="FF000000"/>
      <name val="Helvetica Neue"/>
      <family val="2"/>
    </font>
    <font>
      <sz val="15"/>
      <color rgb="FF008767"/>
      <name val="Helvetica Neue"/>
      <family val="2"/>
    </font>
    <font>
      <sz val="15"/>
      <color rgb="FF008767"/>
      <name val="Helvetica Neue"/>
      <family val="2"/>
    </font>
    <font>
      <sz val="13"/>
      <color theme="1"/>
      <name val=".AppleSystemUIFont"/>
    </font>
    <font>
      <sz val="10"/>
      <color rgb="FF000000"/>
      <name val="Tahoma"/>
      <family val="2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7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FE01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/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/>
    <xf numFmtId="9" fontId="0" fillId="0" borderId="0" xfId="0" applyNumberFormat="1"/>
    <xf numFmtId="0" fontId="1" fillId="0" borderId="0" xfId="0" applyFont="1" applyAlignment="1">
      <alignment horizontal="center"/>
    </xf>
    <xf numFmtId="9" fontId="0" fillId="2" borderId="0" xfId="0" applyNumberFormat="1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0" fillId="6" borderId="0" xfId="0" applyNumberFormat="1" applyFill="1"/>
    <xf numFmtId="165" fontId="0" fillId="5" borderId="0" xfId="0" applyNumberFormat="1" applyFill="1"/>
    <xf numFmtId="0" fontId="0" fillId="0" borderId="0" xfId="0" applyFont="1"/>
    <xf numFmtId="0" fontId="2" fillId="4" borderId="0" xfId="0" applyFont="1" applyFill="1"/>
    <xf numFmtId="165" fontId="0" fillId="2" borderId="0" xfId="0" applyNumberFormat="1" applyFill="1"/>
    <xf numFmtId="165" fontId="0" fillId="7" borderId="0" xfId="0" applyNumberFormat="1" applyFill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15" xfId="0" applyBorder="1"/>
    <xf numFmtId="165" fontId="0" fillId="0" borderId="8" xfId="0" applyNumberFormat="1" applyBorder="1" applyAlignment="1">
      <alignment horizontal="center"/>
    </xf>
    <xf numFmtId="166" fontId="0" fillId="0" borderId="0" xfId="0" applyNumberFormat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0" fillId="0" borderId="0" xfId="0" applyFont="1"/>
    <xf numFmtId="16" fontId="9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4" fontId="15" fillId="0" borderId="0" xfId="0" applyNumberFormat="1" applyFont="1"/>
    <xf numFmtId="0" fontId="15" fillId="2" borderId="0" xfId="0" applyFont="1" applyFill="1"/>
    <xf numFmtId="4" fontId="15" fillId="2" borderId="0" xfId="0" applyNumberFormat="1" applyFont="1" applyFill="1"/>
    <xf numFmtId="0" fontId="2" fillId="0" borderId="0" xfId="0" applyFont="1"/>
    <xf numFmtId="0" fontId="17" fillId="6" borderId="16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167" fontId="0" fillId="7" borderId="1" xfId="0" applyNumberFormat="1" applyFill="1" applyBorder="1" applyAlignment="1">
      <alignment horizontal="center" vertical="center" wrapText="1"/>
    </xf>
    <xf numFmtId="167" fontId="0" fillId="7" borderId="3" xfId="0" applyNumberFormat="1" applyFill="1" applyBorder="1" applyAlignment="1">
      <alignment horizontal="center" vertical="center" wrapText="1"/>
    </xf>
    <xf numFmtId="167" fontId="0" fillId="7" borderId="0" xfId="0" applyNumberFormat="1" applyFill="1" applyAlignment="1">
      <alignment horizontal="center" vertical="center" wrapText="1"/>
    </xf>
    <xf numFmtId="0" fontId="18" fillId="7" borderId="1" xfId="0" applyFont="1" applyFill="1" applyBorder="1" applyAlignment="1">
      <alignment horizontal="left" vertical="center"/>
    </xf>
    <xf numFmtId="167" fontId="18" fillId="7" borderId="1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/>
    </xf>
    <xf numFmtId="167" fontId="0" fillId="7" borderId="5" xfId="0" applyNumberFormat="1" applyFill="1" applyBorder="1" applyAlignment="1">
      <alignment horizontal="center" vertical="center" wrapText="1"/>
    </xf>
    <xf numFmtId="167" fontId="0" fillId="7" borderId="6" xfId="0" applyNumberFormat="1" applyFill="1" applyBorder="1" applyAlignment="1">
      <alignment horizontal="center" vertical="center" wrapText="1"/>
    </xf>
    <xf numFmtId="0" fontId="0" fillId="9" borderId="8" xfId="0" applyFill="1" applyBorder="1" applyAlignment="1">
      <alignment horizontal="left" vertical="center"/>
    </xf>
    <xf numFmtId="167" fontId="2" fillId="9" borderId="8" xfId="0" applyNumberFormat="1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168" fontId="0" fillId="2" borderId="1" xfId="0" applyNumberForma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left" vertical="center"/>
    </xf>
    <xf numFmtId="168" fontId="0" fillId="9" borderId="1" xfId="0" applyNumberFormat="1" applyFill="1" applyBorder="1" applyAlignment="1">
      <alignment horizontal="center" vertical="center" wrapText="1"/>
    </xf>
    <xf numFmtId="168" fontId="0" fillId="9" borderId="1" xfId="0" applyNumberFormat="1" applyFill="1" applyBorder="1" applyAlignment="1">
      <alignment horizontal="left" vertical="center"/>
    </xf>
    <xf numFmtId="0" fontId="0" fillId="9" borderId="2" xfId="0" applyFill="1" applyBorder="1" applyAlignment="1">
      <alignment vertical="center"/>
    </xf>
    <xf numFmtId="9" fontId="0" fillId="9" borderId="1" xfId="0" applyNumberFormat="1" applyFill="1" applyBorder="1" applyAlignment="1">
      <alignment horizontal="left" vertical="center"/>
    </xf>
    <xf numFmtId="0" fontId="0" fillId="9" borderId="13" xfId="0" applyFill="1" applyBorder="1" applyAlignment="1">
      <alignment vertical="center"/>
    </xf>
    <xf numFmtId="9" fontId="0" fillId="9" borderId="14" xfId="0" applyNumberFormat="1" applyFill="1" applyBorder="1" applyAlignment="1">
      <alignment horizontal="left" vertical="center"/>
    </xf>
    <xf numFmtId="168" fontId="19" fillId="9" borderId="14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167" fontId="21" fillId="7" borderId="17" xfId="0" applyNumberFormat="1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left" vertical="center"/>
    </xf>
    <xf numFmtId="0" fontId="0" fillId="7" borderId="18" xfId="0" applyFill="1" applyBorder="1" applyAlignment="1">
      <alignment horizontal="left" vertical="center"/>
    </xf>
    <xf numFmtId="0" fontId="0" fillId="7" borderId="24" xfId="0" applyFill="1" applyBorder="1" applyAlignment="1">
      <alignment horizontal="left" vertical="center"/>
    </xf>
    <xf numFmtId="168" fontId="0" fillId="7" borderId="1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 wrapText="1"/>
    </xf>
    <xf numFmtId="0" fontId="0" fillId="7" borderId="7" xfId="0" applyFill="1" applyBorder="1" applyAlignment="1">
      <alignment vertical="center"/>
    </xf>
    <xf numFmtId="9" fontId="0" fillId="7" borderId="1" xfId="0" applyNumberFormat="1" applyFill="1" applyBorder="1" applyAlignment="1">
      <alignment horizontal="left" vertical="center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9" fontId="0" fillId="7" borderId="5" xfId="0" applyNumberFormat="1" applyFill="1" applyBorder="1" applyAlignment="1">
      <alignment horizontal="left" vertical="center"/>
    </xf>
    <xf numFmtId="168" fontId="19" fillId="7" borderId="5" xfId="0" applyNumberFormat="1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left" vertical="center"/>
    </xf>
    <xf numFmtId="0" fontId="0" fillId="9" borderId="17" xfId="0" applyFill="1" applyBorder="1" applyAlignment="1">
      <alignment horizontal="left" vertical="center"/>
    </xf>
    <xf numFmtId="167" fontId="0" fillId="9" borderId="17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left" vertical="center"/>
    </xf>
    <xf numFmtId="0" fontId="0" fillId="9" borderId="4" xfId="0" applyFill="1" applyBorder="1" applyAlignment="1">
      <alignment vertical="center"/>
    </xf>
    <xf numFmtId="9" fontId="0" fillId="9" borderId="5" xfId="0" applyNumberFormat="1" applyFill="1" applyBorder="1" applyAlignment="1">
      <alignment horizontal="left" vertical="center"/>
    </xf>
    <xf numFmtId="168" fontId="22" fillId="9" borderId="5" xfId="0" applyNumberFormat="1" applyFont="1" applyFill="1" applyBorder="1" applyAlignment="1">
      <alignment horizontal="center" vertical="center" wrapText="1"/>
    </xf>
    <xf numFmtId="0" fontId="0" fillId="9" borderId="5" xfId="0" applyFill="1" applyBorder="1" applyAlignment="1">
      <alignment horizontal="left" vertical="center"/>
    </xf>
    <xf numFmtId="167" fontId="0" fillId="7" borderId="17" xfId="0" applyNumberForma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18" fillId="7" borderId="18" xfId="0" applyFont="1" applyFill="1" applyBorder="1" applyAlignment="1">
      <alignment horizontal="left" vertical="center"/>
    </xf>
    <xf numFmtId="168" fontId="18" fillId="7" borderId="1" xfId="0" applyNumberFormat="1" applyFont="1" applyFill="1" applyBorder="1" applyAlignment="1">
      <alignment horizontal="center" vertical="center" wrapText="1"/>
    </xf>
    <xf numFmtId="0" fontId="0" fillId="7" borderId="13" xfId="0" applyFill="1" applyBorder="1" applyAlignment="1">
      <alignment vertical="center"/>
    </xf>
    <xf numFmtId="9" fontId="0" fillId="7" borderId="14" xfId="0" applyNumberFormat="1" applyFill="1" applyBorder="1" applyAlignment="1">
      <alignment horizontal="left" vertical="center"/>
    </xf>
    <xf numFmtId="168" fontId="22" fillId="7" borderId="14" xfId="0" applyNumberFormat="1" applyFont="1" applyFill="1" applyBorder="1" applyAlignment="1">
      <alignment horizontal="center" vertical="center" wrapText="1"/>
    </xf>
    <xf numFmtId="168" fontId="0" fillId="7" borderId="14" xfId="0" applyNumberFormat="1" applyFill="1" applyBorder="1" applyAlignment="1">
      <alignment horizontal="center" vertical="center" wrapText="1"/>
    </xf>
    <xf numFmtId="0" fontId="18" fillId="7" borderId="17" xfId="0" applyFont="1" applyFill="1" applyBorder="1" applyAlignment="1">
      <alignment horizontal="left" vertical="center"/>
    </xf>
    <xf numFmtId="168" fontId="0" fillId="0" borderId="0" xfId="0" applyNumberFormat="1"/>
    <xf numFmtId="0" fontId="18" fillId="0" borderId="0" xfId="0" applyFont="1"/>
    <xf numFmtId="0" fontId="0" fillId="7" borderId="5" xfId="0" applyFill="1" applyBorder="1" applyAlignment="1">
      <alignment vertical="center"/>
    </xf>
    <xf numFmtId="168" fontId="0" fillId="7" borderId="5" xfId="0" applyNumberFormat="1" applyFill="1" applyBorder="1" applyAlignment="1">
      <alignment horizontal="center" vertical="center" wrapText="1"/>
    </xf>
    <xf numFmtId="168" fontId="0" fillId="6" borderId="28" xfId="0" applyNumberForma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 wrapText="1"/>
    </xf>
    <xf numFmtId="168" fontId="0" fillId="7" borderId="8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168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1" fillId="10" borderId="1" xfId="0" applyFont="1" applyFill="1" applyBorder="1" applyAlignment="1">
      <alignment horizontal="left" vertical="center" wrapText="1"/>
    </xf>
    <xf numFmtId="168" fontId="21" fillId="10" borderId="1" xfId="0" applyNumberFormat="1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Font="1"/>
    <xf numFmtId="165" fontId="25" fillId="0" borderId="0" xfId="0" applyNumberFormat="1" applyFo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8" fillId="8" borderId="12" xfId="0" applyFont="1" applyFill="1" applyBorder="1" applyAlignment="1">
      <alignment horizontal="center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15" xfId="0" applyFill="1" applyBorder="1" applyAlignment="1">
      <alignment horizontal="left" vertical="center"/>
    </xf>
    <xf numFmtId="0" fontId="21" fillId="7" borderId="4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 wrapText="1"/>
    </xf>
    <xf numFmtId="0" fontId="21" fillId="9" borderId="2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15" xfId="0" applyFill="1" applyBorder="1" applyAlignment="1">
      <alignment horizontal="left" vertical="center"/>
    </xf>
    <xf numFmtId="0" fontId="21" fillId="7" borderId="21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25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left" vertical="center"/>
    </xf>
    <xf numFmtId="17" fontId="0" fillId="0" borderId="0" xfId="0" applyNumberFormat="1"/>
    <xf numFmtId="17" fontId="0" fillId="0" borderId="0" xfId="0" quotePrefix="1" applyNumberFormat="1" applyFont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13" xfId="0" applyFont="1" applyBorder="1"/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" xfId="0" applyFont="1" applyBorder="1"/>
    <xf numFmtId="0" fontId="2" fillId="0" borderId="15" xfId="0" applyFont="1" applyBorder="1"/>
    <xf numFmtId="165" fontId="26" fillId="0" borderId="14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3" borderId="10" xfId="0" applyFont="1" applyFill="1" applyBorder="1"/>
    <xf numFmtId="0" fontId="27" fillId="3" borderId="11" xfId="0" applyFont="1" applyFill="1" applyBorder="1" applyAlignment="1">
      <alignment horizontal="center"/>
    </xf>
    <xf numFmtId="0" fontId="27" fillId="3" borderId="12" xfId="0" applyFont="1" applyFill="1" applyBorder="1"/>
    <xf numFmtId="15" fontId="27" fillId="11" borderId="10" xfId="0" applyNumberFormat="1" applyFont="1" applyFill="1" applyBorder="1" applyAlignment="1">
      <alignment horizontal="center"/>
    </xf>
    <xf numFmtId="15" fontId="27" fillId="11" borderId="11" xfId="0" applyNumberFormat="1" applyFont="1" applyFill="1" applyBorder="1" applyAlignment="1">
      <alignment horizontal="center"/>
    </xf>
    <xf numFmtId="15" fontId="27" fillId="11" borderId="12" xfId="0" applyNumberFormat="1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" fillId="0" borderId="10" xfId="0" applyFont="1" applyBorder="1"/>
    <xf numFmtId="0" fontId="2" fillId="0" borderId="12" xfId="0" applyFont="1" applyBorder="1"/>
    <xf numFmtId="0" fontId="8" fillId="5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0" fontId="0" fillId="0" borderId="32" xfId="0" applyNumberFormat="1" applyBorder="1" applyAlignment="1">
      <alignment horizontal="center"/>
    </xf>
    <xf numFmtId="10" fontId="0" fillId="0" borderId="32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5" fillId="0" borderId="32" xfId="0" applyFont="1" applyBorder="1" applyAlignment="1">
      <alignment horizontal="center"/>
    </xf>
    <xf numFmtId="10" fontId="28" fillId="0" borderId="32" xfId="0" applyNumberFormat="1" applyFont="1" applyBorder="1" applyAlignment="1">
      <alignment horizontal="center"/>
    </xf>
    <xf numFmtId="0" fontId="8" fillId="5" borderId="3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ok Sambuddha" id="{8101B05B-2CBD-F146-97F7-94319B7B32EB}" userId="S::alok.sambuddha1@aexp.com::d88f7542-2bc4-4ac8-b320-9b35e471aa7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0-02T16:36:54.72" personId="{8101B05B-2CBD-F146-97F7-94319B7B32EB}" id="{987E812B-70E8-CF44-917E-281A2E915538}">
    <text>Conversion rate is higher due to dineout promotes eating out</text>
  </threadedComment>
  <threadedComment ref="D2" dT="2021-10-02T16:01:15.45" personId="{8101B05B-2CBD-F146-97F7-94319B7B32EB}" id="{8B7A6FEF-D285-0A4A-AD4A-ABA46563F95E}">
    <text>20R per customer with 50% accuracy/data correctness/active</text>
  </threadedComment>
  <threadedComment ref="C3" dT="2021-10-03T07:57:41.64" personId="{8101B05B-2CBD-F146-97F7-94319B7B32EB}" id="{8F03D8EF-44BD-894A-B33A-13DF03AEC025}">
    <text>12%</text>
  </threadedComment>
  <threadedComment ref="C4" dT="2021-10-03T07:58:10.11" personId="{8101B05B-2CBD-F146-97F7-94319B7B32EB}" id="{DB6B20E7-0064-C546-A98E-E9D432D0DCB3}">
    <text>13%</text>
  </threadedComment>
  <threadedComment ref="B5" dT="2021-10-02T15:25:58.59" personId="{8101B05B-2CBD-F146-97F7-94319B7B32EB}" id="{42F39EC5-D23E-BD43-9FF8-091654F1148D}">
    <text>550 potential FL3 merchants but there could be more non-FL3</text>
  </threadedComment>
  <threadedComment ref="C5" dT="2021-10-02T15:25:58.59" personId="{8101B05B-2CBD-F146-97F7-94319B7B32EB}" id="{E2FD00ED-1163-7547-90AA-3E05AEA01E83}">
    <text xml:space="preserve">50 restaurants during buffer &amp; then monthly 10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1-10-17T17:15:15.55" personId="{8101B05B-2CBD-F146-97F7-94319B7B32EB}" id="{FB95B5ED-4549-1E4B-A661-9D3A0607C59D}">
    <text>Conversion rate - 2.5%</text>
  </threadedComment>
  <threadedComment ref="C4" dT="2021-10-17T17:15:25.10" personId="{8101B05B-2CBD-F146-97F7-94319B7B32EB}" id="{86D43A48-EF6E-D04D-A958-6F9040E907D9}">
    <text>Conversion rate - 5%</text>
  </threadedComment>
  <threadedComment ref="D4" dT="2021-10-17T17:15:33.07" personId="{8101B05B-2CBD-F146-97F7-94319B7B32EB}" id="{02982BE1-DCD6-D44F-A882-D223480361D1}">
    <text>Conversion rate - 7.5%</text>
  </threadedComment>
  <threadedComment ref="D5" dT="2021-10-17T17:16:07.34" personId="{8101B05B-2CBD-F146-97F7-94319B7B32EB}" id="{3E5C774C-E9D1-964D-9407-EEE4B183EE07}">
    <text>Decreased credit risks through maturity</text>
  </threadedComment>
  <threadedComment ref="D10" dT="2021-10-17T17:14:08.81" personId="{8101B05B-2CBD-F146-97F7-94319B7B32EB}" id="{5D13AA24-695C-014E-A8D4-925C3FCE5120}">
    <text>Recovery increase over time</text>
  </threadedComment>
  <threadedComment ref="B17" dT="2021-10-17T17:12:55.34" personId="{8101B05B-2CBD-F146-97F7-94319B7B32EB}" id="{21279F79-B1F4-E244-AD1F-AB1898DF7105}">
    <text>Core revenue share - 24%</text>
  </threadedComment>
  <threadedComment ref="C17" dT="2021-10-17T17:13:21.22" personId="{8101B05B-2CBD-F146-97F7-94319B7B32EB}" id="{AEAC3282-BA13-924D-8F3F-EE8B4B156478}">
    <text>Core revenue share - 33%</text>
  </threadedComment>
  <threadedComment ref="D17" dT="2021-10-17T17:13:40.11" personId="{8101B05B-2CBD-F146-97F7-94319B7B32EB}" id="{8C60C3F2-1066-374B-B29A-4D39C22D1BFC}">
    <text>Core revenue share - 35%</text>
  </threadedComment>
</ThreadedComment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C080-5029-F443-AC74-8E6B25E9DE9E}">
  <dimension ref="A1:E13"/>
  <sheetViews>
    <sheetView zoomScale="200" zoomScaleNormal="200" workbookViewId="0">
      <selection activeCell="E4" sqref="E4"/>
    </sheetView>
  </sheetViews>
  <sheetFormatPr baseColWidth="10" defaultRowHeight="16"/>
  <cols>
    <col min="1" max="1" width="6" style="1" bestFit="1" customWidth="1"/>
    <col min="2" max="2" width="25.33203125" style="1" bestFit="1" customWidth="1"/>
    <col min="3" max="4" width="14.5" style="1" bestFit="1" customWidth="1"/>
    <col min="5" max="5" width="15.5" style="1" bestFit="1" customWidth="1"/>
    <col min="6" max="16384" width="10.83203125" style="1"/>
  </cols>
  <sheetData>
    <row r="1" spans="1:5">
      <c r="A1" s="3" t="s">
        <v>0</v>
      </c>
      <c r="B1" s="3" t="s">
        <v>1</v>
      </c>
      <c r="C1" s="3" t="s">
        <v>14</v>
      </c>
      <c r="D1" s="3" t="s">
        <v>23</v>
      </c>
      <c r="E1" s="3" t="s">
        <v>24</v>
      </c>
    </row>
    <row r="2" spans="1:5">
      <c r="A2" s="3">
        <v>1</v>
      </c>
      <c r="B2" s="4" t="s">
        <v>25</v>
      </c>
      <c r="C2" s="3" t="s">
        <v>7</v>
      </c>
      <c r="D2" s="3" t="s">
        <v>10</v>
      </c>
      <c r="E2" s="3" t="s">
        <v>13</v>
      </c>
    </row>
    <row r="3" spans="1:5">
      <c r="A3" s="3">
        <v>2</v>
      </c>
      <c r="B3" s="4" t="s">
        <v>4</v>
      </c>
      <c r="C3" s="3" t="s">
        <v>7</v>
      </c>
      <c r="D3" s="3" t="s">
        <v>10</v>
      </c>
      <c r="E3" s="3" t="s">
        <v>13</v>
      </c>
    </row>
    <row r="4" spans="1:5">
      <c r="A4" s="3">
        <v>3</v>
      </c>
      <c r="B4" s="4" t="s">
        <v>2</v>
      </c>
      <c r="C4" s="3" t="s">
        <v>5</v>
      </c>
      <c r="D4" s="3" t="s">
        <v>8</v>
      </c>
      <c r="E4" s="3" t="s">
        <v>11</v>
      </c>
    </row>
    <row r="5" spans="1:5">
      <c r="A5" s="3">
        <v>4</v>
      </c>
      <c r="B5" s="4" t="s">
        <v>3</v>
      </c>
      <c r="C5" s="3" t="s">
        <v>6</v>
      </c>
      <c r="D5" s="3" t="s">
        <v>9</v>
      </c>
      <c r="E5" s="3" t="s">
        <v>12</v>
      </c>
    </row>
    <row r="6" spans="1:5">
      <c r="A6" s="3">
        <v>5</v>
      </c>
      <c r="B6" s="4" t="s">
        <v>15</v>
      </c>
      <c r="C6" s="3" t="s">
        <v>16</v>
      </c>
      <c r="D6" s="3" t="s">
        <v>17</v>
      </c>
      <c r="E6" s="3" t="s">
        <v>21</v>
      </c>
    </row>
    <row r="7" spans="1:5">
      <c r="A7" s="3">
        <v>6</v>
      </c>
      <c r="B7" s="4" t="s">
        <v>18</v>
      </c>
      <c r="C7" s="3">
        <f>5600000*0.005</f>
        <v>28000</v>
      </c>
      <c r="D7" s="3">
        <f>9400000*0.005</f>
        <v>47000</v>
      </c>
      <c r="E7" s="3">
        <f>13200000*0.005</f>
        <v>66000</v>
      </c>
    </row>
    <row r="8" spans="1:5">
      <c r="A8" s="3">
        <v>7</v>
      </c>
      <c r="B8" s="4" t="s">
        <v>19</v>
      </c>
      <c r="C8" s="3">
        <v>3000</v>
      </c>
      <c r="D8" s="3">
        <v>3000</v>
      </c>
      <c r="E8" s="3">
        <v>3000</v>
      </c>
    </row>
    <row r="9" spans="1:5">
      <c r="A9" s="3">
        <v>8</v>
      </c>
      <c r="B9" s="4" t="s">
        <v>20</v>
      </c>
      <c r="C9" s="3">
        <f>C8*C7</f>
        <v>84000000</v>
      </c>
      <c r="D9" s="3">
        <f>D8*D7</f>
        <v>141000000</v>
      </c>
      <c r="E9" s="3">
        <f>E8*E7</f>
        <v>198000000</v>
      </c>
    </row>
    <row r="10" spans="1:5">
      <c r="A10" s="3">
        <v>9</v>
      </c>
      <c r="B10" s="4" t="s">
        <v>22</v>
      </c>
      <c r="C10" s="3">
        <f>C9/5</f>
        <v>16800000</v>
      </c>
      <c r="D10" s="3">
        <f>D9/5</f>
        <v>28200000</v>
      </c>
      <c r="E10" s="3">
        <f>E9/5</f>
        <v>39600000</v>
      </c>
    </row>
    <row r="11" spans="1:5">
      <c r="A11" s="3">
        <v>10</v>
      </c>
      <c r="B11" s="4" t="s">
        <v>28</v>
      </c>
      <c r="C11" s="3">
        <f>C9/20</f>
        <v>4200000</v>
      </c>
      <c r="D11" s="3">
        <f>D9/20</f>
        <v>7050000</v>
      </c>
      <c r="E11" s="3">
        <f>E9/20</f>
        <v>9900000</v>
      </c>
    </row>
    <row r="12" spans="1:5">
      <c r="A12" s="1">
        <v>11</v>
      </c>
      <c r="B12" s="2" t="s">
        <v>26</v>
      </c>
    </row>
    <row r="13" spans="1:5">
      <c r="A13" s="1">
        <v>12</v>
      </c>
      <c r="B13" s="2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F0792-697C-5C44-B479-ADF1F4B1CCC1}">
  <dimension ref="A2:A100"/>
  <sheetViews>
    <sheetView topLeftCell="A58" workbookViewId="0">
      <selection activeCell="A37" sqref="A37:A43"/>
    </sheetView>
  </sheetViews>
  <sheetFormatPr baseColWidth="10" defaultRowHeight="16"/>
  <cols>
    <col min="1" max="1" width="114.83203125" bestFit="1" customWidth="1"/>
  </cols>
  <sheetData>
    <row r="2" spans="1:1" ht="19">
      <c r="A2" s="48" t="s">
        <v>222</v>
      </c>
    </row>
    <row r="3" spans="1:1" ht="19">
      <c r="A3" s="48" t="s">
        <v>223</v>
      </c>
    </row>
    <row r="4" spans="1:1" ht="19">
      <c r="A4" s="48" t="s">
        <v>224</v>
      </c>
    </row>
    <row r="5" spans="1:1" ht="19">
      <c r="A5" s="49">
        <v>44457</v>
      </c>
    </row>
    <row r="6" spans="1:1" ht="19">
      <c r="A6" s="50" t="s">
        <v>225</v>
      </c>
    </row>
    <row r="7" spans="1:1" ht="19">
      <c r="A7" s="51" t="s">
        <v>226</v>
      </c>
    </row>
    <row r="8" spans="1:1" ht="19">
      <c r="A8" s="49">
        <v>44457</v>
      </c>
    </row>
    <row r="9" spans="1:1" ht="19">
      <c r="A9" s="50" t="s">
        <v>227</v>
      </c>
    </row>
    <row r="10" spans="1:1" ht="19">
      <c r="A10" s="51" t="s">
        <v>228</v>
      </c>
    </row>
    <row r="11" spans="1:1" ht="19">
      <c r="A11" s="49">
        <v>44457</v>
      </c>
    </row>
    <row r="12" spans="1:1" ht="19">
      <c r="A12" s="50" t="s">
        <v>229</v>
      </c>
    </row>
    <row r="13" spans="1:1" ht="19">
      <c r="A13" s="51" t="s">
        <v>230</v>
      </c>
    </row>
    <row r="14" spans="1:1" ht="19">
      <c r="A14" s="49">
        <v>44455</v>
      </c>
    </row>
    <row r="15" spans="1:1" ht="19">
      <c r="A15" s="50" t="s">
        <v>231</v>
      </c>
    </row>
    <row r="16" spans="1:1" ht="19">
      <c r="A16" s="51" t="s">
        <v>232</v>
      </c>
    </row>
    <row r="17" spans="1:1" ht="19">
      <c r="A17" s="49">
        <v>44454</v>
      </c>
    </row>
    <row r="18" spans="1:1" ht="19">
      <c r="A18" s="50" t="s">
        <v>233</v>
      </c>
    </row>
    <row r="19" spans="1:1" ht="19">
      <c r="A19" s="51" t="s">
        <v>234</v>
      </c>
    </row>
    <row r="20" spans="1:1" ht="19">
      <c r="A20" s="49">
        <v>44452</v>
      </c>
    </row>
    <row r="21" spans="1:1" ht="19">
      <c r="A21" s="50" t="s">
        <v>235</v>
      </c>
    </row>
    <row r="22" spans="1:1" ht="19">
      <c r="A22" s="51" t="s">
        <v>236</v>
      </c>
    </row>
    <row r="23" spans="1:1" ht="19">
      <c r="A23" s="49">
        <v>44449</v>
      </c>
    </row>
    <row r="24" spans="1:1" ht="19">
      <c r="A24" s="50" t="s">
        <v>237</v>
      </c>
    </row>
    <row r="25" spans="1:1" ht="19">
      <c r="A25" s="51" t="s">
        <v>238</v>
      </c>
    </row>
    <row r="26" spans="1:1" ht="19">
      <c r="A26" s="49">
        <v>44449</v>
      </c>
    </row>
    <row r="27" spans="1:1" ht="19">
      <c r="A27" s="50" t="s">
        <v>235</v>
      </c>
    </row>
    <row r="28" spans="1:1" ht="19">
      <c r="A28" s="51" t="s">
        <v>239</v>
      </c>
    </row>
    <row r="29" spans="1:1" ht="19">
      <c r="A29" s="49">
        <v>44449</v>
      </c>
    </row>
    <row r="30" spans="1:1" ht="19">
      <c r="A30" s="50" t="s">
        <v>235</v>
      </c>
    </row>
    <row r="31" spans="1:1" ht="19">
      <c r="A31" s="51" t="s">
        <v>240</v>
      </c>
    </row>
    <row r="32" spans="1:1" ht="19">
      <c r="A32" s="49">
        <v>44448</v>
      </c>
    </row>
    <row r="33" spans="1:1" ht="19">
      <c r="A33" s="52" t="s">
        <v>241</v>
      </c>
    </row>
    <row r="34" spans="1:1" ht="19">
      <c r="A34" s="53" t="s">
        <v>242</v>
      </c>
    </row>
    <row r="35" spans="1:1" ht="19">
      <c r="A35" s="49">
        <v>44447</v>
      </c>
    </row>
    <row r="36" spans="1:1" ht="19">
      <c r="A36" s="50" t="s">
        <v>243</v>
      </c>
    </row>
    <row r="37" spans="1:1" ht="19">
      <c r="A37" s="51" t="s">
        <v>244</v>
      </c>
    </row>
    <row r="38" spans="1:1" ht="19">
      <c r="A38" s="49">
        <v>44446</v>
      </c>
    </row>
    <row r="39" spans="1:1" ht="19">
      <c r="A39" s="50" t="s">
        <v>235</v>
      </c>
    </row>
    <row r="40" spans="1:1" ht="19">
      <c r="A40" s="51" t="s">
        <v>245</v>
      </c>
    </row>
    <row r="41" spans="1:1" ht="19">
      <c r="A41" s="49">
        <v>44446</v>
      </c>
    </row>
    <row r="42" spans="1:1" ht="19">
      <c r="A42" s="50" t="s">
        <v>235</v>
      </c>
    </row>
    <row r="43" spans="1:1" ht="19">
      <c r="A43" s="51" t="s">
        <v>246</v>
      </c>
    </row>
    <row r="44" spans="1:1" ht="19">
      <c r="A44" s="49">
        <v>44445</v>
      </c>
    </row>
    <row r="45" spans="1:1" ht="19">
      <c r="A45" s="50" t="s">
        <v>229</v>
      </c>
    </row>
    <row r="46" spans="1:1" ht="19">
      <c r="A46" s="51" t="s">
        <v>247</v>
      </c>
    </row>
    <row r="47" spans="1:1" ht="19">
      <c r="A47" s="49">
        <v>44439</v>
      </c>
    </row>
    <row r="48" spans="1:1" ht="19">
      <c r="A48" s="52" t="s">
        <v>248</v>
      </c>
    </row>
    <row r="49" spans="1:1" ht="19">
      <c r="A49" s="53" t="s">
        <v>249</v>
      </c>
    </row>
    <row r="50" spans="1:1" ht="19">
      <c r="A50" s="49">
        <v>44439</v>
      </c>
    </row>
    <row r="51" spans="1:1" ht="19">
      <c r="A51" s="52" t="s">
        <v>250</v>
      </c>
    </row>
    <row r="52" spans="1:1" ht="19">
      <c r="A52" s="53" t="s">
        <v>251</v>
      </c>
    </row>
    <row r="53" spans="1:1" ht="19">
      <c r="A53" s="49">
        <v>44438</v>
      </c>
    </row>
    <row r="54" spans="1:1" ht="19">
      <c r="A54" s="50" t="s">
        <v>252</v>
      </c>
    </row>
    <row r="55" spans="1:1" ht="19">
      <c r="A55" s="51" t="s">
        <v>253</v>
      </c>
    </row>
    <row r="56" spans="1:1" ht="19">
      <c r="A56" s="49">
        <v>44438</v>
      </c>
    </row>
    <row r="57" spans="1:1" ht="19">
      <c r="A57" s="52" t="s">
        <v>241</v>
      </c>
    </row>
    <row r="58" spans="1:1" ht="19">
      <c r="A58" s="53" t="s">
        <v>254</v>
      </c>
    </row>
    <row r="59" spans="1:1" ht="19">
      <c r="A59" s="49">
        <v>44437</v>
      </c>
    </row>
    <row r="60" spans="1:1" ht="19">
      <c r="A60" s="50" t="s">
        <v>243</v>
      </c>
    </row>
    <row r="61" spans="1:1" ht="19">
      <c r="A61" s="51" t="s">
        <v>255</v>
      </c>
    </row>
    <row r="62" spans="1:1" ht="19">
      <c r="A62" s="49">
        <v>44437</v>
      </c>
    </row>
    <row r="63" spans="1:1" ht="19">
      <c r="A63" s="50" t="s">
        <v>256</v>
      </c>
    </row>
    <row r="64" spans="1:1" ht="19">
      <c r="A64" s="51" t="s">
        <v>257</v>
      </c>
    </row>
    <row r="65" spans="1:1" ht="19">
      <c r="A65" s="49">
        <v>44436</v>
      </c>
    </row>
    <row r="66" spans="1:1" ht="19">
      <c r="A66" s="50" t="s">
        <v>258</v>
      </c>
    </row>
    <row r="67" spans="1:1" ht="19">
      <c r="A67" s="51" t="s">
        <v>259</v>
      </c>
    </row>
    <row r="68" spans="1:1" ht="19">
      <c r="A68" s="49">
        <v>44435</v>
      </c>
    </row>
    <row r="69" spans="1:1" ht="19">
      <c r="A69" s="52" t="s">
        <v>241</v>
      </c>
    </row>
    <row r="70" spans="1:1" ht="19">
      <c r="A70" s="53" t="s">
        <v>260</v>
      </c>
    </row>
    <row r="71" spans="1:1" ht="19">
      <c r="A71" s="49">
        <v>44434</v>
      </c>
    </row>
    <row r="72" spans="1:1" ht="19">
      <c r="A72" s="50" t="s">
        <v>243</v>
      </c>
    </row>
    <row r="73" spans="1:1" ht="19">
      <c r="A73" s="51" t="s">
        <v>261</v>
      </c>
    </row>
    <row r="74" spans="1:1" ht="19">
      <c r="A74" s="49">
        <v>44433</v>
      </c>
    </row>
    <row r="75" spans="1:1" ht="19">
      <c r="A75" s="52" t="s">
        <v>233</v>
      </c>
    </row>
    <row r="76" spans="1:1" ht="19">
      <c r="A76" s="53" t="s">
        <v>262</v>
      </c>
    </row>
    <row r="77" spans="1:1" ht="19">
      <c r="A77" s="49">
        <v>44433</v>
      </c>
    </row>
    <row r="78" spans="1:1" ht="19">
      <c r="A78" s="52" t="s">
        <v>250</v>
      </c>
    </row>
    <row r="79" spans="1:1" ht="19">
      <c r="A79" s="53" t="s">
        <v>263</v>
      </c>
    </row>
    <row r="80" spans="1:1" ht="19">
      <c r="A80" s="49">
        <v>44432</v>
      </c>
    </row>
    <row r="81" spans="1:1" ht="19">
      <c r="A81" s="50" t="s">
        <v>264</v>
      </c>
    </row>
    <row r="82" spans="1:1" ht="19">
      <c r="A82" s="51" t="s">
        <v>265</v>
      </c>
    </row>
    <row r="83" spans="1:1" ht="19">
      <c r="A83" s="49">
        <v>44432</v>
      </c>
    </row>
    <row r="84" spans="1:1" ht="19">
      <c r="A84" s="52" t="s">
        <v>250</v>
      </c>
    </row>
    <row r="85" spans="1:1" ht="19">
      <c r="A85" s="53" t="s">
        <v>266</v>
      </c>
    </row>
    <row r="86" spans="1:1" ht="19">
      <c r="A86" s="49">
        <v>44428</v>
      </c>
    </row>
    <row r="87" spans="1:1" ht="19">
      <c r="A87" s="50" t="s">
        <v>267</v>
      </c>
    </row>
    <row r="88" spans="1:1" ht="19">
      <c r="A88" s="51" t="s">
        <v>268</v>
      </c>
    </row>
    <row r="89" spans="1:1" ht="19">
      <c r="A89" s="49">
        <v>44426</v>
      </c>
    </row>
    <row r="90" spans="1:1" ht="19">
      <c r="A90" s="52" t="s">
        <v>233</v>
      </c>
    </row>
    <row r="91" spans="1:1" ht="19">
      <c r="A91" s="53" t="s">
        <v>269</v>
      </c>
    </row>
    <row r="92" spans="1:1" ht="19">
      <c r="A92" s="49">
        <v>44426</v>
      </c>
    </row>
    <row r="93" spans="1:1" ht="19">
      <c r="A93" s="52" t="s">
        <v>233</v>
      </c>
    </row>
    <row r="94" spans="1:1" ht="19">
      <c r="A94" s="53" t="s">
        <v>270</v>
      </c>
    </row>
    <row r="95" spans="1:1" ht="19">
      <c r="A95" s="49">
        <v>44426</v>
      </c>
    </row>
    <row r="96" spans="1:1" ht="19">
      <c r="A96" s="52" t="s">
        <v>233</v>
      </c>
    </row>
    <row r="97" spans="1:1" ht="19">
      <c r="A97" s="53" t="s">
        <v>271</v>
      </c>
    </row>
    <row r="98" spans="1:1" ht="19">
      <c r="A98" s="49">
        <v>44426</v>
      </c>
    </row>
    <row r="99" spans="1:1" ht="19">
      <c r="A99" s="50" t="s">
        <v>233</v>
      </c>
    </row>
    <row r="100" spans="1:1" ht="19">
      <c r="A100" s="51" t="s">
        <v>272</v>
      </c>
    </row>
  </sheetData>
  <autoFilter ref="A1:A100" xr:uid="{A85F0792-697C-5C44-B479-ADF1F4B1CCC1}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2FCF-0E6B-5140-B090-D7A5A75D4B66}">
  <dimension ref="A1:B32"/>
  <sheetViews>
    <sheetView topLeftCell="A8" zoomScale="140" zoomScaleNormal="140" workbookViewId="0">
      <selection activeCell="A32" activeCellId="11" sqref="A9 A26 A13 A12 A11 A5 A4 A19 A20 A21 A28 A32"/>
    </sheetView>
  </sheetViews>
  <sheetFormatPr baseColWidth="10" defaultRowHeight="16"/>
  <cols>
    <col min="1" max="1" width="23.6640625" customWidth="1"/>
    <col min="2" max="2" width="13.1640625" bestFit="1" customWidth="1"/>
  </cols>
  <sheetData>
    <row r="1" spans="1:2" ht="17">
      <c r="A1" s="55">
        <v>1404.23</v>
      </c>
    </row>
    <row r="2" spans="1:2" ht="17">
      <c r="A2" s="54">
        <v>252.76</v>
      </c>
    </row>
    <row r="3" spans="1:2" ht="17">
      <c r="A3" s="55">
        <v>7793.77</v>
      </c>
    </row>
    <row r="4" spans="1:2" ht="17">
      <c r="A4" s="54">
        <v>472.61</v>
      </c>
    </row>
    <row r="5" spans="1:2" ht="17">
      <c r="A5" s="55">
        <v>2787.15</v>
      </c>
    </row>
    <row r="6" spans="1:2" ht="17">
      <c r="A6" s="55">
        <v>25000</v>
      </c>
    </row>
    <row r="7" spans="1:2" ht="17">
      <c r="A7" s="55">
        <v>8265</v>
      </c>
    </row>
    <row r="8" spans="1:2" ht="17">
      <c r="A8" s="55">
        <v>14142.4</v>
      </c>
    </row>
    <row r="9" spans="1:2" ht="17">
      <c r="A9" s="55">
        <v>20263.599999999999</v>
      </c>
    </row>
    <row r="10" spans="1:2" ht="17">
      <c r="A10" s="56">
        <v>-68.91</v>
      </c>
    </row>
    <row r="11" spans="1:2" ht="17">
      <c r="A11" s="54">
        <v>275.64999999999998</v>
      </c>
    </row>
    <row r="12" spans="1:2" ht="17">
      <c r="A12" s="55">
        <v>5276.2</v>
      </c>
    </row>
    <row r="13" spans="1:2" ht="17">
      <c r="A13" s="55">
        <v>14987.4</v>
      </c>
    </row>
    <row r="14" spans="1:2" ht="17">
      <c r="A14" s="55">
        <v>101008</v>
      </c>
      <c r="B14" s="55">
        <v>101008</v>
      </c>
    </row>
    <row r="15" spans="1:2" ht="17">
      <c r="A15" s="56">
        <v>-513.25</v>
      </c>
    </row>
    <row r="16" spans="1:2" ht="17">
      <c r="A16" s="57">
        <v>-30000</v>
      </c>
    </row>
    <row r="17" spans="1:1" ht="17">
      <c r="A17" s="55">
        <v>2053</v>
      </c>
    </row>
    <row r="18" spans="1:1" ht="17">
      <c r="A18" s="56">
        <v>-66.63</v>
      </c>
    </row>
    <row r="19" spans="1:1" ht="17">
      <c r="A19" s="54">
        <v>266.5</v>
      </c>
    </row>
    <row r="20" spans="1:1" ht="17">
      <c r="A20" s="54">
        <v>334</v>
      </c>
    </row>
    <row r="21" spans="1:1" ht="17">
      <c r="A21" s="54">
        <v>819</v>
      </c>
    </row>
    <row r="22" spans="1:1" ht="17">
      <c r="A22" s="56">
        <v>-102.2</v>
      </c>
    </row>
    <row r="23" spans="1:1" ht="17">
      <c r="A23" s="54">
        <v>408.8</v>
      </c>
    </row>
    <row r="24" spans="1:1" ht="17">
      <c r="A24" s="56">
        <v>-620</v>
      </c>
    </row>
    <row r="25" spans="1:1" ht="17">
      <c r="A25" s="57">
        <v>-20375</v>
      </c>
    </row>
    <row r="26" spans="1:1" ht="17">
      <c r="A26" s="55">
        <v>54201</v>
      </c>
    </row>
    <row r="27" spans="1:1" ht="17">
      <c r="A27" s="57">
        <v>-25000</v>
      </c>
    </row>
    <row r="28" spans="1:1" ht="17">
      <c r="A28" s="55">
        <v>2488.46</v>
      </c>
    </row>
    <row r="29" spans="1:1" ht="17">
      <c r="A29" s="56">
        <v>-475</v>
      </c>
    </row>
    <row r="30" spans="1:1" ht="17">
      <c r="A30" s="56">
        <v>-273</v>
      </c>
    </row>
    <row r="31" spans="1:1" ht="17">
      <c r="A31" s="56">
        <v>-33</v>
      </c>
    </row>
    <row r="32" spans="1:1" ht="17">
      <c r="A32" s="55">
        <v>1059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C362-FB46-4748-B147-CDC06664CCFB}">
  <dimension ref="B1:D24"/>
  <sheetViews>
    <sheetView zoomScale="170" zoomScaleNormal="170" workbookViewId="0">
      <selection activeCell="C23" sqref="C23"/>
    </sheetView>
  </sheetViews>
  <sheetFormatPr baseColWidth="10" defaultRowHeight="16"/>
  <cols>
    <col min="2" max="2" width="57.1640625" bestFit="1" customWidth="1"/>
    <col min="3" max="3" width="10.83203125" style="12"/>
    <col min="4" max="4" width="60.83203125" customWidth="1"/>
  </cols>
  <sheetData>
    <row r="1" spans="2:4" ht="17" thickBot="1"/>
    <row r="2" spans="2:4" ht="17" thickBot="1">
      <c r="B2" s="138" t="s">
        <v>192</v>
      </c>
      <c r="C2" s="139"/>
      <c r="D2" s="140"/>
    </row>
    <row r="3" spans="2:4" ht="17" thickBot="1">
      <c r="B3" s="141" t="s">
        <v>191</v>
      </c>
      <c r="C3" s="142"/>
      <c r="D3" s="143"/>
    </row>
    <row r="4" spans="2:4">
      <c r="B4" s="37" t="s">
        <v>181</v>
      </c>
      <c r="C4" s="38">
        <v>624000</v>
      </c>
      <c r="D4" s="39" t="s">
        <v>183</v>
      </c>
    </row>
    <row r="5" spans="2:4">
      <c r="B5" s="32" t="s">
        <v>163</v>
      </c>
      <c r="C5" s="30">
        <v>31200</v>
      </c>
      <c r="D5" s="33" t="s">
        <v>202</v>
      </c>
    </row>
    <row r="6" spans="2:4">
      <c r="B6" s="32" t="s">
        <v>164</v>
      </c>
      <c r="C6" s="30">
        <v>10000</v>
      </c>
      <c r="D6" s="33" t="s">
        <v>200</v>
      </c>
    </row>
    <row r="7" spans="2:4">
      <c r="B7" s="32" t="s">
        <v>166</v>
      </c>
      <c r="C7" s="30" t="s">
        <v>165</v>
      </c>
      <c r="D7" s="33"/>
    </row>
    <row r="8" spans="2:4">
      <c r="B8" s="32" t="s">
        <v>454</v>
      </c>
      <c r="C8" s="30">
        <v>2.5</v>
      </c>
      <c r="D8" s="33" t="s">
        <v>455</v>
      </c>
    </row>
    <row r="9" spans="2:4" ht="17">
      <c r="B9" s="34" t="s">
        <v>197</v>
      </c>
      <c r="C9" s="30" t="s">
        <v>456</v>
      </c>
      <c r="D9" s="33" t="s">
        <v>203</v>
      </c>
    </row>
    <row r="10" spans="2:4">
      <c r="B10" s="32" t="s">
        <v>198</v>
      </c>
      <c r="C10" s="30" t="s">
        <v>457</v>
      </c>
      <c r="D10" s="33" t="s">
        <v>199</v>
      </c>
    </row>
    <row r="11" spans="2:4" ht="17" thickBot="1">
      <c r="B11" s="40" t="s">
        <v>169</v>
      </c>
      <c r="C11" s="45" t="s">
        <v>171</v>
      </c>
      <c r="D11" s="41" t="s">
        <v>184</v>
      </c>
    </row>
    <row r="12" spans="2:4" ht="17" thickBot="1">
      <c r="B12" s="141" t="s">
        <v>190</v>
      </c>
      <c r="C12" s="142"/>
      <c r="D12" s="143"/>
    </row>
    <row r="13" spans="2:4">
      <c r="B13" s="37" t="s">
        <v>174</v>
      </c>
      <c r="C13" s="38">
        <v>13200</v>
      </c>
      <c r="D13" s="39" t="s">
        <v>201</v>
      </c>
    </row>
    <row r="14" spans="2:4">
      <c r="B14" s="32" t="s">
        <v>172</v>
      </c>
      <c r="C14" s="30">
        <v>20000</v>
      </c>
      <c r="D14" s="33" t="s">
        <v>185</v>
      </c>
    </row>
    <row r="15" spans="2:4">
      <c r="B15" s="32" t="s">
        <v>196</v>
      </c>
      <c r="C15" s="30" t="s">
        <v>173</v>
      </c>
      <c r="D15" s="33" t="s">
        <v>188</v>
      </c>
    </row>
    <row r="16" spans="2:4">
      <c r="B16" s="32" t="s">
        <v>175</v>
      </c>
      <c r="C16" s="30" t="s">
        <v>204</v>
      </c>
      <c r="D16" s="33" t="s">
        <v>186</v>
      </c>
    </row>
    <row r="17" spans="2:4" ht="17" thickBot="1">
      <c r="B17" s="40" t="s">
        <v>207</v>
      </c>
      <c r="C17" s="45" t="s">
        <v>205</v>
      </c>
      <c r="D17" s="41" t="s">
        <v>187</v>
      </c>
    </row>
    <row r="18" spans="2:4" ht="17" thickBot="1">
      <c r="B18" s="144" t="s">
        <v>189</v>
      </c>
      <c r="C18" s="145"/>
      <c r="D18" s="146"/>
    </row>
    <row r="19" spans="2:4">
      <c r="B19" s="37" t="s">
        <v>193</v>
      </c>
      <c r="C19" s="42">
        <v>120</v>
      </c>
      <c r="D19" s="39" t="s">
        <v>194</v>
      </c>
    </row>
    <row r="20" spans="2:4">
      <c r="B20" s="32" t="s">
        <v>176</v>
      </c>
      <c r="C20" s="31">
        <v>10</v>
      </c>
      <c r="D20" s="33" t="s">
        <v>195</v>
      </c>
    </row>
    <row r="21" spans="2:4">
      <c r="B21" s="32" t="s">
        <v>177</v>
      </c>
      <c r="C21" s="31">
        <v>2000000</v>
      </c>
      <c r="D21" s="33" t="s">
        <v>208</v>
      </c>
    </row>
    <row r="22" spans="2:4">
      <c r="B22" s="32" t="s">
        <v>196</v>
      </c>
      <c r="C22" s="31">
        <f>C21*C19*C20/100</f>
        <v>24000000</v>
      </c>
      <c r="D22" s="33"/>
    </row>
    <row r="23" spans="2:4">
      <c r="B23" s="32" t="s">
        <v>178</v>
      </c>
      <c r="C23" s="31" t="s">
        <v>179</v>
      </c>
      <c r="D23" s="33" t="s">
        <v>186</v>
      </c>
    </row>
    <row r="24" spans="2:4" ht="17" thickBot="1">
      <c r="B24" s="35" t="s">
        <v>206</v>
      </c>
      <c r="C24" s="44" t="s">
        <v>180</v>
      </c>
      <c r="D24" s="36"/>
    </row>
  </sheetData>
  <mergeCells count="4">
    <mergeCell ref="B2:D2"/>
    <mergeCell ref="B3:D3"/>
    <mergeCell ref="B12:D12"/>
    <mergeCell ref="B18:D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67EF-0D2B-8D4C-B5B8-FA64EFBC946B}">
  <dimension ref="A1:E79"/>
  <sheetViews>
    <sheetView topLeftCell="A33" zoomScale="260" zoomScaleNormal="260" workbookViewId="0">
      <selection activeCell="B41" sqref="B41"/>
    </sheetView>
  </sheetViews>
  <sheetFormatPr baseColWidth="10" defaultRowHeight="16"/>
  <cols>
    <col min="1" max="1" width="51.1640625" customWidth="1"/>
    <col min="2" max="2" width="15.33203125" bestFit="1" customWidth="1"/>
    <col min="3" max="3" width="19.6640625" bestFit="1" customWidth="1"/>
    <col min="4" max="4" width="11.83203125" customWidth="1"/>
  </cols>
  <sheetData>
    <row r="1" spans="1:5" ht="17">
      <c r="A1" s="13" t="s">
        <v>80</v>
      </c>
      <c r="B1" t="s">
        <v>100</v>
      </c>
      <c r="C1" t="s">
        <v>85</v>
      </c>
    </row>
    <row r="2" spans="1:5" ht="17">
      <c r="A2" s="13" t="s">
        <v>475</v>
      </c>
      <c r="B2">
        <v>500000</v>
      </c>
      <c r="C2" s="167" t="s">
        <v>476</v>
      </c>
      <c r="D2" s="166"/>
    </row>
    <row r="3" spans="1:5" ht="17">
      <c r="A3" s="13" t="s">
        <v>82</v>
      </c>
      <c r="B3">
        <v>100000</v>
      </c>
      <c r="C3" s="12">
        <v>8</v>
      </c>
      <c r="D3" t="s">
        <v>182</v>
      </c>
    </row>
    <row r="4" spans="1:5" ht="17">
      <c r="A4" s="13" t="s">
        <v>76</v>
      </c>
      <c r="B4">
        <v>100000</v>
      </c>
      <c r="C4" s="15" t="s">
        <v>84</v>
      </c>
      <c r="D4" t="s">
        <v>182</v>
      </c>
    </row>
    <row r="5" spans="1:5" ht="17">
      <c r="A5" s="13" t="s">
        <v>83</v>
      </c>
      <c r="B5">
        <v>100000</v>
      </c>
      <c r="C5" s="15" t="s">
        <v>84</v>
      </c>
      <c r="D5" t="s">
        <v>182</v>
      </c>
    </row>
    <row r="6" spans="1:5" ht="17">
      <c r="A6" s="13" t="s">
        <v>101</v>
      </c>
      <c r="B6">
        <v>120000</v>
      </c>
      <c r="C6" s="15" t="s">
        <v>84</v>
      </c>
      <c r="D6" t="s">
        <v>182</v>
      </c>
    </row>
    <row r="7" spans="1:5" ht="17">
      <c r="A7" s="13" t="s">
        <v>77</v>
      </c>
      <c r="B7">
        <v>120000</v>
      </c>
      <c r="C7" s="15"/>
      <c r="D7" t="s">
        <v>182</v>
      </c>
    </row>
    <row r="8" spans="1:5" ht="17">
      <c r="A8" s="13" t="s">
        <v>78</v>
      </c>
      <c r="C8" s="12"/>
    </row>
    <row r="9" spans="1:5" ht="17">
      <c r="A9" s="13" t="s">
        <v>86</v>
      </c>
      <c r="C9" s="12"/>
    </row>
    <row r="10" spans="1:5" ht="17">
      <c r="A10" s="13" t="s">
        <v>79</v>
      </c>
      <c r="C10" s="12"/>
    </row>
    <row r="11" spans="1:5" ht="17">
      <c r="A11" s="13" t="s">
        <v>15</v>
      </c>
      <c r="B11">
        <f>SUM(B2:B10)</f>
        <v>1040000</v>
      </c>
      <c r="C11" s="12">
        <f>SUM(C2:C10)</f>
        <v>8</v>
      </c>
    </row>
    <row r="12" spans="1:5" ht="17">
      <c r="A12" s="13" t="s">
        <v>87</v>
      </c>
      <c r="B12" s="14">
        <v>0.4</v>
      </c>
    </row>
    <row r="13" spans="1:5" ht="17">
      <c r="A13" s="13" t="s">
        <v>88</v>
      </c>
      <c r="B13">
        <f>(1-B12)*B11</f>
        <v>624000</v>
      </c>
    </row>
    <row r="14" spans="1:5" ht="17">
      <c r="A14" s="13" t="s">
        <v>89</v>
      </c>
      <c r="B14">
        <f>B13*0.075</f>
        <v>46800</v>
      </c>
      <c r="D14" t="s">
        <v>90</v>
      </c>
      <c r="E14" t="s">
        <v>91</v>
      </c>
    </row>
    <row r="15" spans="1:5">
      <c r="E15" t="s">
        <v>92</v>
      </c>
    </row>
    <row r="16" spans="1:5" ht="17">
      <c r="A16" s="13" t="s">
        <v>139</v>
      </c>
      <c r="B16">
        <f>SUM(B2:B7)-B5-B2</f>
        <v>440000</v>
      </c>
      <c r="C16" t="s">
        <v>150</v>
      </c>
      <c r="E16" t="s">
        <v>93</v>
      </c>
    </row>
    <row r="17" spans="1:5" ht="17">
      <c r="A17" s="13" t="s">
        <v>140</v>
      </c>
      <c r="B17">
        <f>(1-B12)*B16</f>
        <v>264000</v>
      </c>
      <c r="E17" t="s">
        <v>94</v>
      </c>
    </row>
    <row r="18" spans="1:5">
      <c r="E18" t="s">
        <v>95</v>
      </c>
    </row>
    <row r="20" spans="1:5">
      <c r="A20" t="s">
        <v>96</v>
      </c>
      <c r="B20" s="22">
        <f>B14</f>
        <v>46800</v>
      </c>
    </row>
    <row r="21" spans="1:5">
      <c r="A21" t="s">
        <v>106</v>
      </c>
      <c r="B21" s="22">
        <v>3</v>
      </c>
      <c r="C21" t="s">
        <v>465</v>
      </c>
    </row>
    <row r="22" spans="1:5">
      <c r="A22" t="s">
        <v>464</v>
      </c>
      <c r="B22" s="22">
        <v>350</v>
      </c>
      <c r="C22" t="s">
        <v>107</v>
      </c>
      <c r="D22" t="s">
        <v>99</v>
      </c>
    </row>
    <row r="23" spans="1:5">
      <c r="A23" s="6" t="s">
        <v>98</v>
      </c>
      <c r="B23" s="6">
        <v>10</v>
      </c>
      <c r="C23" s="9" t="s">
        <v>108</v>
      </c>
    </row>
    <row r="24" spans="1:5">
      <c r="A24" s="6" t="s">
        <v>466</v>
      </c>
      <c r="B24" s="28">
        <v>350</v>
      </c>
      <c r="C24" s="9" t="s">
        <v>460</v>
      </c>
    </row>
    <row r="25" spans="1:5">
      <c r="A25" t="s">
        <v>459</v>
      </c>
      <c r="B25" s="22">
        <v>12500</v>
      </c>
      <c r="C25" t="s">
        <v>109</v>
      </c>
    </row>
    <row r="26" spans="1:5">
      <c r="A26" t="s">
        <v>102</v>
      </c>
      <c r="B26" s="22">
        <f>B20*B25</f>
        <v>585000000</v>
      </c>
      <c r="C26">
        <f>B26*0.9</f>
        <v>526500000</v>
      </c>
      <c r="D26" s="7" t="s">
        <v>468</v>
      </c>
    </row>
    <row r="27" spans="1:5">
      <c r="A27" t="s">
        <v>461</v>
      </c>
      <c r="B27">
        <v>7</v>
      </c>
      <c r="C27" t="s">
        <v>471</v>
      </c>
    </row>
    <row r="28" spans="1:5">
      <c r="A28" t="s">
        <v>462</v>
      </c>
      <c r="B28">
        <v>2.5</v>
      </c>
      <c r="C28" t="s">
        <v>463</v>
      </c>
    </row>
    <row r="29" spans="1:5">
      <c r="A29" t="s">
        <v>103</v>
      </c>
      <c r="B29">
        <v>1.5</v>
      </c>
    </row>
    <row r="30" spans="1:5">
      <c r="A30" t="s">
        <v>104</v>
      </c>
      <c r="B30" s="23">
        <f>B26*B27/100*B28/100*(B29-B21)</f>
        <v>-1535625</v>
      </c>
      <c r="C30" s="137">
        <f>B26*B27/100*B28/100*B29</f>
        <v>1535625</v>
      </c>
      <c r="D30" s="136">
        <f>C30*12</f>
        <v>18427500</v>
      </c>
      <c r="E30" s="7" t="s">
        <v>467</v>
      </c>
    </row>
    <row r="31" spans="1:5">
      <c r="A31" t="s">
        <v>470</v>
      </c>
      <c r="C31" s="136">
        <f>C30*2.5</f>
        <v>3839062.5</v>
      </c>
      <c r="D31" s="136">
        <f>D30*2.5</f>
        <v>46068750</v>
      </c>
      <c r="E31" s="7" t="s">
        <v>469</v>
      </c>
    </row>
    <row r="32" spans="1:5">
      <c r="A32" t="s">
        <v>105</v>
      </c>
      <c r="B32" s="23">
        <f>B20*B27/100*B22*(B29-B21)</f>
        <v>-1719900</v>
      </c>
      <c r="C32" s="137">
        <f>B20*B27/100*B22*2</f>
        <v>2293200</v>
      </c>
      <c r="D32" s="136">
        <f>C32*12</f>
        <v>27518400</v>
      </c>
      <c r="E32" s="7" t="s">
        <v>472</v>
      </c>
    </row>
    <row r="33" spans="1:5">
      <c r="B33" s="23"/>
      <c r="C33" s="137">
        <f>C32*2.5</f>
        <v>5733000</v>
      </c>
      <c r="D33" s="136">
        <f>D32*2.5</f>
        <v>68796000</v>
      </c>
      <c r="E33" s="7"/>
    </row>
    <row r="34" spans="1:5">
      <c r="A34" t="s">
        <v>474</v>
      </c>
      <c r="C34" s="137">
        <f>B20*(B23+B27)/100*B24</f>
        <v>2784600</v>
      </c>
      <c r="D34" s="7" t="s">
        <v>473</v>
      </c>
    </row>
    <row r="35" spans="1:5">
      <c r="C35" s="137">
        <f>C34*2.5</f>
        <v>6961500</v>
      </c>
      <c r="D35" s="7"/>
    </row>
    <row r="36" spans="1:5">
      <c r="A36" t="s">
        <v>117</v>
      </c>
      <c r="B36" s="22">
        <f>(B32+B30)*7</f>
        <v>-22788675</v>
      </c>
      <c r="C36" t="s">
        <v>161</v>
      </c>
    </row>
    <row r="37" spans="1:5">
      <c r="A37" t="s">
        <v>170</v>
      </c>
      <c r="B37" s="24">
        <f>B36*0.9</f>
        <v>-20509807.5</v>
      </c>
      <c r="D37" s="24">
        <f>B37+D42</f>
        <v>10202692.5</v>
      </c>
    </row>
    <row r="38" spans="1:5">
      <c r="A38" t="s">
        <v>118</v>
      </c>
      <c r="B38" s="25">
        <f>B36*0.1</f>
        <v>-2278867.5</v>
      </c>
      <c r="D38" s="25">
        <f>B38+D43</f>
        <v>28433632.5</v>
      </c>
    </row>
    <row r="39" spans="1:5">
      <c r="A39" t="s">
        <v>110</v>
      </c>
    </row>
    <row r="40" spans="1:5">
      <c r="A40" t="s">
        <v>111</v>
      </c>
      <c r="B40" s="22">
        <v>15</v>
      </c>
    </row>
    <row r="41" spans="1:5">
      <c r="A41" t="s">
        <v>112</v>
      </c>
      <c r="B41" s="22">
        <f>B40/100*B26</f>
        <v>87750000</v>
      </c>
    </row>
    <row r="42" spans="1:5">
      <c r="A42" t="s">
        <v>113</v>
      </c>
      <c r="B42" s="22">
        <v>5</v>
      </c>
      <c r="C42" s="22">
        <f>B41*B42/100</f>
        <v>4387500</v>
      </c>
      <c r="D42" s="25">
        <f>C42*7</f>
        <v>30712500</v>
      </c>
    </row>
    <row r="43" spans="1:5">
      <c r="A43" t="s">
        <v>114</v>
      </c>
      <c r="B43" s="22">
        <v>5</v>
      </c>
      <c r="C43" s="22">
        <f>B43/100*B41</f>
        <v>4387500</v>
      </c>
      <c r="D43" s="24">
        <f>C43*7</f>
        <v>30712500</v>
      </c>
    </row>
    <row r="44" spans="1:5">
      <c r="A44" t="s">
        <v>115</v>
      </c>
      <c r="B44" s="22">
        <v>2</v>
      </c>
      <c r="C44" s="22">
        <f>B44/100*B41</f>
        <v>1755000</v>
      </c>
      <c r="D44" s="22">
        <f>C44*7</f>
        <v>12285000</v>
      </c>
    </row>
    <row r="45" spans="1:5">
      <c r="A45" t="s">
        <v>116</v>
      </c>
      <c r="B45" s="22">
        <v>3</v>
      </c>
      <c r="C45" s="22">
        <f>B45/100*B41</f>
        <v>2632500</v>
      </c>
      <c r="D45" s="22">
        <f>C45*7</f>
        <v>18427500</v>
      </c>
    </row>
    <row r="46" spans="1:5">
      <c r="C46" s="29"/>
      <c r="D46" s="29"/>
    </row>
    <row r="47" spans="1:5">
      <c r="A47" s="27" t="s">
        <v>153</v>
      </c>
    </row>
    <row r="48" spans="1:5">
      <c r="A48" t="s">
        <v>146</v>
      </c>
      <c r="B48">
        <v>5</v>
      </c>
      <c r="C48" t="s">
        <v>136</v>
      </c>
    </row>
    <row r="49" spans="1:4">
      <c r="A49" t="s">
        <v>157</v>
      </c>
      <c r="B49" s="22">
        <f>B48/100*B16</f>
        <v>22000</v>
      </c>
      <c r="C49" t="s">
        <v>155</v>
      </c>
    </row>
    <row r="50" spans="1:4">
      <c r="A50" t="s">
        <v>137</v>
      </c>
      <c r="B50">
        <v>20000</v>
      </c>
    </row>
    <row r="51" spans="1:4">
      <c r="A51" t="s">
        <v>138</v>
      </c>
      <c r="B51" s="21">
        <f>B50*B49</f>
        <v>440000000</v>
      </c>
      <c r="C51" s="43">
        <f>B51*0.96</f>
        <v>422400000</v>
      </c>
    </row>
    <row r="52" spans="1:4">
      <c r="A52" t="s">
        <v>141</v>
      </c>
      <c r="B52" s="26">
        <v>18</v>
      </c>
      <c r="C52" t="s">
        <v>142</v>
      </c>
    </row>
    <row r="53" spans="1:4">
      <c r="A53" t="s">
        <v>143</v>
      </c>
      <c r="B53" s="21">
        <f>B52/100*B51</f>
        <v>79200000</v>
      </c>
      <c r="C53" t="s">
        <v>144</v>
      </c>
    </row>
    <row r="54" spans="1:4">
      <c r="A54" t="s">
        <v>158</v>
      </c>
      <c r="B54" s="21">
        <f>B53*7</f>
        <v>554400000</v>
      </c>
      <c r="C54" t="s">
        <v>145</v>
      </c>
    </row>
    <row r="55" spans="1:4">
      <c r="A55" t="s">
        <v>159</v>
      </c>
      <c r="C55" s="21">
        <f>B53*C51/B51</f>
        <v>76032000</v>
      </c>
    </row>
    <row r="56" spans="1:4">
      <c r="C56" s="21">
        <f>B54*C51/B51</f>
        <v>532224000</v>
      </c>
    </row>
    <row r="58" spans="1:4">
      <c r="A58" s="27" t="s">
        <v>154</v>
      </c>
    </row>
    <row r="59" spans="1:4">
      <c r="A59" t="s">
        <v>147</v>
      </c>
      <c r="B59" s="22">
        <v>170</v>
      </c>
    </row>
    <row r="60" spans="1:4">
      <c r="A60" t="s">
        <v>176</v>
      </c>
      <c r="B60" s="28">
        <v>10</v>
      </c>
      <c r="C60" s="7" t="s">
        <v>162</v>
      </c>
    </row>
    <row r="61" spans="1:4">
      <c r="A61" t="s">
        <v>156</v>
      </c>
      <c r="B61" s="22">
        <v>2000000</v>
      </c>
    </row>
    <row r="62" spans="1:4">
      <c r="A62" t="s">
        <v>138</v>
      </c>
      <c r="B62" s="22">
        <f>B61*B59*B60/100</f>
        <v>34000000</v>
      </c>
    </row>
    <row r="63" spans="1:4">
      <c r="A63" t="s">
        <v>152</v>
      </c>
      <c r="B63" s="22">
        <v>14</v>
      </c>
      <c r="C63" t="s">
        <v>160</v>
      </c>
    </row>
    <row r="64" spans="1:4">
      <c r="A64" t="s">
        <v>149</v>
      </c>
      <c r="B64" s="22">
        <f>B63/100*B62</f>
        <v>4760000</v>
      </c>
      <c r="C64" s="22">
        <f>B64*7</f>
        <v>33320000</v>
      </c>
      <c r="D64" t="s">
        <v>148</v>
      </c>
    </row>
    <row r="65" spans="1:5">
      <c r="B65" s="22"/>
      <c r="C65" s="22"/>
    </row>
    <row r="66" spans="1:5">
      <c r="B66" s="22"/>
      <c r="C66" s="22"/>
    </row>
    <row r="67" spans="1:5">
      <c r="A67" t="s">
        <v>151</v>
      </c>
    </row>
    <row r="68" spans="1:5">
      <c r="A68" t="s">
        <v>120</v>
      </c>
    </row>
    <row r="69" spans="1:5">
      <c r="A69" t="s">
        <v>119</v>
      </c>
    </row>
    <row r="73" spans="1:5" ht="17">
      <c r="A73" s="17">
        <v>3</v>
      </c>
      <c r="B73" s="17" t="s">
        <v>121</v>
      </c>
      <c r="C73" s="19" t="s">
        <v>122</v>
      </c>
      <c r="D73" s="19" t="s">
        <v>123</v>
      </c>
      <c r="E73" s="19" t="s">
        <v>124</v>
      </c>
    </row>
    <row r="74" spans="1:5" ht="17">
      <c r="A74" s="18"/>
      <c r="B74" s="18" t="s">
        <v>125</v>
      </c>
      <c r="C74" s="20">
        <v>4.48E-2</v>
      </c>
      <c r="D74" s="20">
        <v>1.0200000000000001E-2</v>
      </c>
      <c r="E74" s="20">
        <v>6.3E-3</v>
      </c>
    </row>
    <row r="75" spans="1:5" ht="17">
      <c r="A75" s="18" t="s">
        <v>126</v>
      </c>
      <c r="B75" s="18" t="s">
        <v>127</v>
      </c>
      <c r="C75" s="20">
        <v>6.0400000000000002E-2</v>
      </c>
      <c r="D75" s="20">
        <v>7.4000000000000003E-3</v>
      </c>
      <c r="E75" s="20">
        <v>6.0000000000000001E-3</v>
      </c>
    </row>
    <row r="76" spans="1:5" ht="17">
      <c r="A76" s="18" t="s">
        <v>128</v>
      </c>
      <c r="B76" s="18" t="s">
        <v>129</v>
      </c>
      <c r="C76" s="20">
        <v>4.2099999999999999E-2</v>
      </c>
      <c r="D76" s="20">
        <v>1.6299999999999999E-2</v>
      </c>
      <c r="E76" s="20">
        <v>1.2500000000000001E-2</v>
      </c>
    </row>
    <row r="77" spans="1:5" ht="17">
      <c r="A77" s="18" t="s">
        <v>130</v>
      </c>
      <c r="B77" s="18" t="s">
        <v>131</v>
      </c>
      <c r="C77" s="20">
        <v>2.7900000000000001E-2</v>
      </c>
      <c r="D77" s="20">
        <v>6.1000000000000004E-3</v>
      </c>
      <c r="E77" s="20">
        <v>2.5999999999999999E-3</v>
      </c>
    </row>
    <row r="78" spans="1:5" ht="17">
      <c r="A78" s="18" t="s">
        <v>132</v>
      </c>
      <c r="B78" s="18" t="s">
        <v>133</v>
      </c>
      <c r="C78" s="20">
        <v>2.0400000000000001E-2</v>
      </c>
      <c r="D78" s="20">
        <v>1.0500000000000001E-2</v>
      </c>
      <c r="E78" s="20">
        <v>3.5000000000000001E-3</v>
      </c>
    </row>
    <row r="79" spans="1:5" ht="17">
      <c r="A79" s="18" t="s">
        <v>134</v>
      </c>
      <c r="B79" s="18" t="s">
        <v>135</v>
      </c>
      <c r="C79" s="20">
        <v>1.38E-2</v>
      </c>
      <c r="D79" s="20">
        <v>7.6E-3</v>
      </c>
      <c r="E79" s="20">
        <v>5.4999999999999997E-3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4ACE-D4DA-4B4C-887B-A2DAD98CC5FC}">
  <dimension ref="B1:D33"/>
  <sheetViews>
    <sheetView zoomScale="190" zoomScaleNormal="190" workbookViewId="0">
      <selection activeCell="B3" sqref="B3:D21"/>
    </sheetView>
  </sheetViews>
  <sheetFormatPr baseColWidth="10" defaultRowHeight="16"/>
  <cols>
    <col min="2" max="2" width="57.1640625" bestFit="1" customWidth="1"/>
    <col min="3" max="3" width="10.83203125" style="12"/>
    <col min="4" max="4" width="60.83203125" customWidth="1"/>
  </cols>
  <sheetData>
    <row r="1" spans="2:4" ht="17" thickBot="1"/>
    <row r="2" spans="2:4" ht="20" thickBot="1">
      <c r="B2" s="183" t="s">
        <v>523</v>
      </c>
      <c r="C2" s="184"/>
      <c r="D2" s="185"/>
    </row>
    <row r="3" spans="2:4" ht="17" thickBot="1">
      <c r="B3" s="141" t="s">
        <v>494</v>
      </c>
      <c r="C3" s="142"/>
      <c r="D3" s="143"/>
    </row>
    <row r="4" spans="2:4">
      <c r="B4" s="37" t="s">
        <v>495</v>
      </c>
      <c r="C4" s="38">
        <v>624000</v>
      </c>
      <c r="D4" s="39" t="s">
        <v>183</v>
      </c>
    </row>
    <row r="5" spans="2:4">
      <c r="B5" s="32" t="s">
        <v>163</v>
      </c>
      <c r="C5" s="30">
        <v>31200</v>
      </c>
      <c r="D5" s="33" t="s">
        <v>202</v>
      </c>
    </row>
    <row r="6" spans="2:4">
      <c r="B6" s="32" t="s">
        <v>498</v>
      </c>
      <c r="C6" s="30">
        <v>10000</v>
      </c>
      <c r="D6" s="33" t="s">
        <v>493</v>
      </c>
    </row>
    <row r="7" spans="2:4">
      <c r="B7" s="32" t="s">
        <v>166</v>
      </c>
      <c r="C7" s="30" t="s">
        <v>165</v>
      </c>
      <c r="D7" s="33"/>
    </row>
    <row r="8" spans="2:4">
      <c r="B8" s="32" t="s">
        <v>477</v>
      </c>
      <c r="C8" s="30">
        <v>3</v>
      </c>
      <c r="D8" s="33" t="s">
        <v>497</v>
      </c>
    </row>
    <row r="9" spans="2:4">
      <c r="B9" s="176" t="s">
        <v>480</v>
      </c>
      <c r="C9" s="30">
        <v>1.5</v>
      </c>
      <c r="D9" s="33" t="s">
        <v>499</v>
      </c>
    </row>
    <row r="10" spans="2:4" ht="17">
      <c r="B10" s="34" t="s">
        <v>478</v>
      </c>
      <c r="C10" s="30">
        <v>450</v>
      </c>
      <c r="D10" s="33" t="s">
        <v>500</v>
      </c>
    </row>
    <row r="11" spans="2:4">
      <c r="B11" s="32" t="s">
        <v>479</v>
      </c>
      <c r="C11" s="168">
        <v>8.5000000000000006E-2</v>
      </c>
      <c r="D11" s="33" t="s">
        <v>501</v>
      </c>
    </row>
    <row r="12" spans="2:4">
      <c r="B12" s="32" t="s">
        <v>481</v>
      </c>
      <c r="C12" s="171">
        <v>2.5000000000000001E-2</v>
      </c>
      <c r="D12" s="33" t="s">
        <v>496</v>
      </c>
    </row>
    <row r="13" spans="2:4">
      <c r="B13" s="32" t="s">
        <v>104</v>
      </c>
      <c r="C13" s="170" t="s">
        <v>7</v>
      </c>
      <c r="D13" s="33" t="s">
        <v>502</v>
      </c>
    </row>
    <row r="14" spans="2:4">
      <c r="B14" s="32" t="s">
        <v>482</v>
      </c>
      <c r="C14" s="170" t="s">
        <v>483</v>
      </c>
      <c r="D14" s="33" t="s">
        <v>503</v>
      </c>
    </row>
    <row r="15" spans="2:4">
      <c r="B15" s="32" t="s">
        <v>484</v>
      </c>
      <c r="C15" s="170" t="s">
        <v>10</v>
      </c>
      <c r="D15" s="33" t="s">
        <v>504</v>
      </c>
    </row>
    <row r="16" spans="2:4">
      <c r="B16" s="32" t="s">
        <v>485</v>
      </c>
      <c r="C16" s="170" t="s">
        <v>486</v>
      </c>
      <c r="D16" s="33" t="s">
        <v>505</v>
      </c>
    </row>
    <row r="17" spans="2:4">
      <c r="B17" s="32" t="s">
        <v>487</v>
      </c>
      <c r="C17" s="30" t="s">
        <v>488</v>
      </c>
      <c r="D17" s="33" t="s">
        <v>506</v>
      </c>
    </row>
    <row r="18" spans="2:4">
      <c r="B18" s="32" t="s">
        <v>489</v>
      </c>
      <c r="C18" s="30" t="s">
        <v>491</v>
      </c>
      <c r="D18" s="33" t="s">
        <v>507</v>
      </c>
    </row>
    <row r="19" spans="2:4">
      <c r="B19" s="32" t="s">
        <v>490</v>
      </c>
      <c r="C19" s="30" t="s">
        <v>47</v>
      </c>
      <c r="D19" s="33" t="s">
        <v>508</v>
      </c>
    </row>
    <row r="20" spans="2:4">
      <c r="B20" s="32" t="s">
        <v>510</v>
      </c>
      <c r="C20" s="179" t="s">
        <v>492</v>
      </c>
      <c r="D20" s="33" t="s">
        <v>509</v>
      </c>
    </row>
    <row r="21" spans="2:4" ht="17" thickBot="1">
      <c r="B21" s="169" t="s">
        <v>519</v>
      </c>
      <c r="C21" s="45" t="s">
        <v>511</v>
      </c>
      <c r="D21" s="177" t="s">
        <v>521</v>
      </c>
    </row>
    <row r="22" spans="2:4" ht="17" thickBot="1">
      <c r="B22" s="141" t="s">
        <v>190</v>
      </c>
      <c r="C22" s="142"/>
      <c r="D22" s="143"/>
    </row>
    <row r="23" spans="2:4">
      <c r="B23" s="37" t="s">
        <v>512</v>
      </c>
      <c r="C23" s="38">
        <v>22000</v>
      </c>
      <c r="D23" s="39" t="s">
        <v>513</v>
      </c>
    </row>
    <row r="24" spans="2:4">
      <c r="B24" s="32" t="s">
        <v>172</v>
      </c>
      <c r="C24" s="30">
        <v>20000</v>
      </c>
      <c r="D24" s="33" t="s">
        <v>185</v>
      </c>
    </row>
    <row r="25" spans="2:4">
      <c r="B25" s="32" t="s">
        <v>196</v>
      </c>
      <c r="C25" s="30" t="s">
        <v>514</v>
      </c>
      <c r="D25" s="33" t="s">
        <v>188</v>
      </c>
    </row>
    <row r="26" spans="2:4" ht="17" thickBot="1">
      <c r="B26" s="174" t="s">
        <v>175</v>
      </c>
      <c r="C26" s="172" t="s">
        <v>515</v>
      </c>
      <c r="D26" s="175" t="s">
        <v>186</v>
      </c>
    </row>
    <row r="27" spans="2:4" ht="17" thickBot="1">
      <c r="B27" s="144" t="s">
        <v>189</v>
      </c>
      <c r="C27" s="145"/>
      <c r="D27" s="146"/>
    </row>
    <row r="28" spans="2:4">
      <c r="B28" s="37" t="s">
        <v>193</v>
      </c>
      <c r="C28" s="42">
        <v>170</v>
      </c>
      <c r="D28" s="39" t="s">
        <v>194</v>
      </c>
    </row>
    <row r="29" spans="2:4">
      <c r="B29" s="32" t="s">
        <v>176</v>
      </c>
      <c r="C29" s="31">
        <v>10</v>
      </c>
      <c r="D29" s="33" t="s">
        <v>195</v>
      </c>
    </row>
    <row r="30" spans="2:4">
      <c r="B30" s="32" t="s">
        <v>177</v>
      </c>
      <c r="C30" s="31" t="s">
        <v>10</v>
      </c>
      <c r="D30" s="33" t="s">
        <v>208</v>
      </c>
    </row>
    <row r="31" spans="2:4">
      <c r="B31" s="40" t="s">
        <v>196</v>
      </c>
      <c r="C31" s="173" t="s">
        <v>517</v>
      </c>
      <c r="D31" s="41"/>
    </row>
    <row r="32" spans="2:4" ht="17" thickBot="1">
      <c r="B32" s="169" t="s">
        <v>178</v>
      </c>
      <c r="C32" s="178" t="s">
        <v>516</v>
      </c>
      <c r="D32" s="177" t="s">
        <v>186</v>
      </c>
    </row>
    <row r="33" spans="2:4" ht="20" thickBot="1">
      <c r="B33" s="180" t="s">
        <v>518</v>
      </c>
      <c r="C33" s="181" t="s">
        <v>522</v>
      </c>
      <c r="D33" s="182" t="s">
        <v>520</v>
      </c>
    </row>
  </sheetData>
  <mergeCells count="4">
    <mergeCell ref="B2:D2"/>
    <mergeCell ref="B3:D3"/>
    <mergeCell ref="B22:D22"/>
    <mergeCell ref="B27:D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B763-ABD1-8F48-B4F9-4122E31AF1E1}">
  <dimension ref="A1:E26"/>
  <sheetViews>
    <sheetView tabSelected="1" zoomScale="130" zoomScaleNormal="130" workbookViewId="0">
      <selection activeCell="C13" sqref="C13"/>
    </sheetView>
  </sheetViews>
  <sheetFormatPr baseColWidth="10" defaultRowHeight="16"/>
  <cols>
    <col min="1" max="1" width="50" bestFit="1" customWidth="1"/>
    <col min="5" max="5" width="70.5" bestFit="1" customWidth="1"/>
  </cols>
  <sheetData>
    <row r="1" spans="1:5" ht="17" thickBot="1">
      <c r="A1" s="141" t="s">
        <v>494</v>
      </c>
      <c r="B1" s="189"/>
      <c r="C1" s="189"/>
      <c r="D1" s="189"/>
      <c r="E1" s="143"/>
    </row>
    <row r="2" spans="1:5" ht="17" thickBot="1">
      <c r="A2" s="46"/>
      <c r="B2" s="199" t="s">
        <v>542</v>
      </c>
      <c r="C2" s="199" t="s">
        <v>543</v>
      </c>
      <c r="D2" s="199" t="s">
        <v>544</v>
      </c>
      <c r="E2" s="47"/>
    </row>
    <row r="3" spans="1:5">
      <c r="A3" s="37" t="s">
        <v>545</v>
      </c>
      <c r="B3" s="190">
        <v>624000</v>
      </c>
      <c r="C3" s="190">
        <v>624000</v>
      </c>
      <c r="D3" s="190">
        <v>624000</v>
      </c>
      <c r="E3" s="39" t="s">
        <v>546</v>
      </c>
    </row>
    <row r="4" spans="1:5">
      <c r="A4" s="32" t="s">
        <v>163</v>
      </c>
      <c r="B4" s="191">
        <v>15600</v>
      </c>
      <c r="C4" s="30">
        <v>31200</v>
      </c>
      <c r="D4" s="191">
        <v>46800</v>
      </c>
      <c r="E4" s="33" t="s">
        <v>547</v>
      </c>
    </row>
    <row r="5" spans="1:5">
      <c r="A5" s="32" t="s">
        <v>498</v>
      </c>
      <c r="B5" s="191">
        <v>5000</v>
      </c>
      <c r="C5" s="30">
        <v>10000</v>
      </c>
      <c r="D5" s="191">
        <v>12500</v>
      </c>
      <c r="E5" s="33" t="s">
        <v>548</v>
      </c>
    </row>
    <row r="6" spans="1:5">
      <c r="A6" s="32" t="s">
        <v>166</v>
      </c>
      <c r="B6" s="191" t="s">
        <v>524</v>
      </c>
      <c r="C6" s="30" t="s">
        <v>165</v>
      </c>
      <c r="D6" s="191" t="s">
        <v>529</v>
      </c>
      <c r="E6" s="33"/>
    </row>
    <row r="7" spans="1:5">
      <c r="A7" s="32" t="s">
        <v>477</v>
      </c>
      <c r="B7" s="191">
        <v>3</v>
      </c>
      <c r="C7" s="30">
        <v>3</v>
      </c>
      <c r="D7" s="191">
        <v>3</v>
      </c>
      <c r="E7" s="33" t="s">
        <v>497</v>
      </c>
    </row>
    <row r="8" spans="1:5">
      <c r="A8" s="176" t="s">
        <v>480</v>
      </c>
      <c r="B8" s="191">
        <v>1.5</v>
      </c>
      <c r="C8" s="30">
        <v>1.5</v>
      </c>
      <c r="D8" s="191">
        <v>1.5</v>
      </c>
      <c r="E8" s="33" t="s">
        <v>499</v>
      </c>
    </row>
    <row r="9" spans="1:5" ht="17">
      <c r="A9" s="34" t="s">
        <v>478</v>
      </c>
      <c r="B9" s="191">
        <v>350</v>
      </c>
      <c r="C9" s="30">
        <v>350</v>
      </c>
      <c r="D9" s="191">
        <v>350</v>
      </c>
      <c r="E9" s="33" t="s">
        <v>500</v>
      </c>
    </row>
    <row r="10" spans="1:5">
      <c r="A10" s="32" t="s">
        <v>479</v>
      </c>
      <c r="B10" s="192">
        <v>8.5000000000000006E-2</v>
      </c>
      <c r="C10" s="168">
        <v>8.5000000000000006E-2</v>
      </c>
      <c r="D10" s="198">
        <v>7.0000000000000007E-2</v>
      </c>
      <c r="E10" s="33" t="s">
        <v>549</v>
      </c>
    </row>
    <row r="11" spans="1:5">
      <c r="A11" s="32" t="s">
        <v>481</v>
      </c>
      <c r="B11" s="193">
        <v>2.5000000000000001E-2</v>
      </c>
      <c r="C11" s="171">
        <v>2.5000000000000001E-2</v>
      </c>
      <c r="D11" s="193">
        <v>2.5000000000000001E-2</v>
      </c>
      <c r="E11" s="33" t="s">
        <v>496</v>
      </c>
    </row>
    <row r="12" spans="1:5">
      <c r="A12" s="32" t="s">
        <v>104</v>
      </c>
      <c r="B12" s="194" t="s">
        <v>525</v>
      </c>
      <c r="C12" s="170" t="s">
        <v>7</v>
      </c>
      <c r="D12" s="194" t="s">
        <v>530</v>
      </c>
      <c r="E12" s="33" t="s">
        <v>502</v>
      </c>
    </row>
    <row r="13" spans="1:5">
      <c r="A13" s="32" t="s">
        <v>482</v>
      </c>
      <c r="B13" s="194" t="s">
        <v>526</v>
      </c>
      <c r="C13" s="170" t="s">
        <v>483</v>
      </c>
      <c r="D13" s="194" t="s">
        <v>531</v>
      </c>
      <c r="E13" s="33" t="s">
        <v>503</v>
      </c>
    </row>
    <row r="14" spans="1:5">
      <c r="A14" s="32" t="s">
        <v>484</v>
      </c>
      <c r="B14" s="194" t="s">
        <v>7</v>
      </c>
      <c r="C14" s="170" t="s">
        <v>10</v>
      </c>
      <c r="D14" s="194" t="s">
        <v>532</v>
      </c>
      <c r="E14" s="33" t="s">
        <v>550</v>
      </c>
    </row>
    <row r="15" spans="1:5">
      <c r="A15" s="32" t="s">
        <v>485</v>
      </c>
      <c r="B15" s="197" t="s">
        <v>527</v>
      </c>
      <c r="C15" s="179" t="s">
        <v>486</v>
      </c>
      <c r="D15" s="197" t="s">
        <v>533</v>
      </c>
      <c r="E15" s="33" t="s">
        <v>505</v>
      </c>
    </row>
    <row r="16" spans="1:5">
      <c r="A16" s="32" t="s">
        <v>487</v>
      </c>
      <c r="B16" s="191" t="s">
        <v>528</v>
      </c>
      <c r="C16" s="30" t="s">
        <v>488</v>
      </c>
      <c r="D16" s="191" t="s">
        <v>534</v>
      </c>
      <c r="E16" s="33" t="s">
        <v>557</v>
      </c>
    </row>
    <row r="17" spans="1:5">
      <c r="A17" s="32" t="s">
        <v>552</v>
      </c>
      <c r="B17" s="191" t="s">
        <v>536</v>
      </c>
      <c r="C17" s="30" t="s">
        <v>491</v>
      </c>
      <c r="D17" s="191" t="s">
        <v>541</v>
      </c>
      <c r="E17" s="33" t="s">
        <v>556</v>
      </c>
    </row>
    <row r="18" spans="1:5">
      <c r="A18" s="32" t="s">
        <v>490</v>
      </c>
      <c r="B18" s="191" t="s">
        <v>11</v>
      </c>
      <c r="C18" s="30" t="s">
        <v>47</v>
      </c>
      <c r="D18" s="191" t="s">
        <v>540</v>
      </c>
      <c r="E18" s="33" t="s">
        <v>555</v>
      </c>
    </row>
    <row r="19" spans="1:5" ht="17" thickBot="1">
      <c r="A19" s="40" t="s">
        <v>510</v>
      </c>
      <c r="B19" s="195" t="s">
        <v>537</v>
      </c>
      <c r="C19" s="186" t="s">
        <v>492</v>
      </c>
      <c r="D19" s="195" t="s">
        <v>539</v>
      </c>
      <c r="E19" s="41" t="s">
        <v>554</v>
      </c>
    </row>
    <row r="20" spans="1:5" ht="17" thickBot="1">
      <c r="A20" s="187" t="s">
        <v>551</v>
      </c>
      <c r="B20" s="196" t="s">
        <v>538</v>
      </c>
      <c r="C20" s="196" t="s">
        <v>511</v>
      </c>
      <c r="D20" s="196" t="s">
        <v>535</v>
      </c>
      <c r="E20" s="188" t="s">
        <v>553</v>
      </c>
    </row>
    <row r="21" spans="1:5">
      <c r="B21" s="14"/>
      <c r="C21" s="14"/>
      <c r="D21" s="14"/>
      <c r="E21" s="14"/>
    </row>
    <row r="26" spans="1:5">
      <c r="B26" s="14"/>
      <c r="C26" s="14"/>
      <c r="D26" s="14"/>
    </row>
  </sheetData>
  <mergeCells count="1">
    <mergeCell ref="A1:E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F79A-EB6E-1D47-B519-AD139CBD47D4}">
  <dimension ref="A1:C20"/>
  <sheetViews>
    <sheetView zoomScale="140" zoomScaleNormal="140" workbookViewId="0">
      <selection activeCell="C13" sqref="C13"/>
    </sheetView>
  </sheetViews>
  <sheetFormatPr baseColWidth="10" defaultRowHeight="16"/>
  <cols>
    <col min="1" max="1" width="38" bestFit="1" customWidth="1"/>
    <col min="2" max="2" width="11" bestFit="1" customWidth="1"/>
  </cols>
  <sheetData>
    <row r="1" spans="1:3">
      <c r="A1" t="s">
        <v>52</v>
      </c>
      <c r="B1" t="s">
        <v>73</v>
      </c>
    </row>
    <row r="2" spans="1:3" ht="21">
      <c r="A2" s="5" t="s">
        <v>35</v>
      </c>
      <c r="B2">
        <v>1.4</v>
      </c>
      <c r="C2" t="s">
        <v>305</v>
      </c>
    </row>
    <row r="3" spans="1:3" ht="21">
      <c r="A3" s="5" t="s">
        <v>29</v>
      </c>
      <c r="B3">
        <v>0.1</v>
      </c>
      <c r="C3" t="s">
        <v>309</v>
      </c>
    </row>
    <row r="4" spans="1:3" ht="21">
      <c r="A4" s="5" t="s">
        <v>30</v>
      </c>
      <c r="B4">
        <v>0.75</v>
      </c>
      <c r="C4" t="s">
        <v>306</v>
      </c>
    </row>
    <row r="5" spans="1:3" ht="21">
      <c r="A5" s="5" t="s">
        <v>31</v>
      </c>
      <c r="B5">
        <v>2.95</v>
      </c>
      <c r="C5" t="s">
        <v>307</v>
      </c>
    </row>
    <row r="6" spans="1:3" ht="21">
      <c r="A6" s="5" t="s">
        <v>32</v>
      </c>
      <c r="B6">
        <v>0.27</v>
      </c>
      <c r="C6" t="s">
        <v>308</v>
      </c>
    </row>
    <row r="7" spans="1:3" ht="21">
      <c r="A7" s="5" t="s">
        <v>33</v>
      </c>
      <c r="B7">
        <v>0.2</v>
      </c>
      <c r="C7" t="s">
        <v>311</v>
      </c>
    </row>
    <row r="8" spans="1:3" ht="21">
      <c r="A8" s="5" t="s">
        <v>34</v>
      </c>
      <c r="B8" s="6">
        <v>14</v>
      </c>
      <c r="C8" t="s">
        <v>310</v>
      </c>
    </row>
    <row r="9" spans="1:3" ht="21">
      <c r="A9" s="5" t="s">
        <v>38</v>
      </c>
      <c r="B9">
        <v>37.729999999999997</v>
      </c>
      <c r="C9" t="s">
        <v>312</v>
      </c>
    </row>
    <row r="10" spans="1:3" ht="21">
      <c r="A10" s="5" t="s">
        <v>36</v>
      </c>
      <c r="B10">
        <v>0.25</v>
      </c>
      <c r="C10" t="s">
        <v>313</v>
      </c>
    </row>
    <row r="11" spans="1:3" ht="21">
      <c r="A11" s="5" t="s">
        <v>37</v>
      </c>
      <c r="B11">
        <v>54</v>
      </c>
      <c r="C11" t="s">
        <v>314</v>
      </c>
    </row>
    <row r="13" spans="1:3" ht="21">
      <c r="A13" s="5" t="s">
        <v>74</v>
      </c>
    </row>
    <row r="14" spans="1:3" ht="21">
      <c r="A14" s="5" t="s">
        <v>39</v>
      </c>
    </row>
    <row r="15" spans="1:3" ht="21">
      <c r="A15" s="5" t="s">
        <v>40</v>
      </c>
      <c r="B15">
        <v>800000</v>
      </c>
    </row>
    <row r="16" spans="1:3" ht="21">
      <c r="A16" s="5" t="s">
        <v>41</v>
      </c>
      <c r="B16">
        <f>B15*14</f>
        <v>11200000</v>
      </c>
    </row>
    <row r="17" spans="1:3" ht="21">
      <c r="A17" s="5" t="s">
        <v>42</v>
      </c>
      <c r="B17" t="s">
        <v>44</v>
      </c>
    </row>
    <row r="18" spans="1:3" ht="21">
      <c r="A18" s="5" t="s">
        <v>43</v>
      </c>
      <c r="B18" t="s">
        <v>45</v>
      </c>
    </row>
    <row r="19" spans="1:3" ht="21">
      <c r="A19" s="5" t="s">
        <v>46</v>
      </c>
      <c r="B19" t="s">
        <v>47</v>
      </c>
      <c r="C19" s="7" t="s">
        <v>49</v>
      </c>
    </row>
    <row r="20" spans="1:3" ht="21">
      <c r="A20" s="5" t="s">
        <v>15</v>
      </c>
      <c r="B2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9565-048D-4B45-A470-D1A51C36A645}">
  <dimension ref="A1:B6"/>
  <sheetViews>
    <sheetView topLeftCell="A2" zoomScale="170" zoomScaleNormal="170" workbookViewId="0">
      <selection activeCell="A7" sqref="A7"/>
    </sheetView>
  </sheetViews>
  <sheetFormatPr baseColWidth="10" defaultRowHeight="16"/>
  <cols>
    <col min="1" max="1" width="38" bestFit="1" customWidth="1"/>
  </cols>
  <sheetData>
    <row r="1" spans="1:2" ht="21">
      <c r="A1" s="5" t="s">
        <v>52</v>
      </c>
      <c r="B1" t="s">
        <v>53</v>
      </c>
    </row>
    <row r="2" spans="1:2">
      <c r="A2" t="s">
        <v>50</v>
      </c>
      <c r="B2" t="s">
        <v>58</v>
      </c>
    </row>
    <row r="3" spans="1:2">
      <c r="A3" t="s">
        <v>51</v>
      </c>
      <c r="B3" t="s">
        <v>58</v>
      </c>
    </row>
    <row r="4" spans="1:2">
      <c r="A4" t="s">
        <v>54</v>
      </c>
      <c r="B4" t="s">
        <v>57</v>
      </c>
    </row>
    <row r="5" spans="1:2">
      <c r="A5" t="s">
        <v>55</v>
      </c>
      <c r="B5" t="s">
        <v>56</v>
      </c>
    </row>
    <row r="6" spans="1:2">
      <c r="A6" t="s">
        <v>59</v>
      </c>
      <c r="B6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A477-E513-E648-BDF6-8D03E27C7F03}">
  <dimension ref="A1:B14"/>
  <sheetViews>
    <sheetView topLeftCell="A2" zoomScale="240" zoomScaleNormal="240" workbookViewId="0">
      <selection activeCell="F2" sqref="F2"/>
    </sheetView>
  </sheetViews>
  <sheetFormatPr baseColWidth="10" defaultRowHeight="16"/>
  <cols>
    <col min="1" max="1" width="6" style="12" bestFit="1" customWidth="1"/>
    <col min="2" max="2" width="26.83203125" style="9" bestFit="1" customWidth="1"/>
  </cols>
  <sheetData>
    <row r="1" spans="1:2">
      <c r="A1" s="12" t="s">
        <v>0</v>
      </c>
      <c r="B1" s="11" t="s">
        <v>71</v>
      </c>
    </row>
    <row r="2" spans="1:2">
      <c r="A2" s="12">
        <v>1</v>
      </c>
      <c r="B2" s="8" t="s">
        <v>66</v>
      </c>
    </row>
    <row r="3" spans="1:2">
      <c r="A3" s="12">
        <v>2</v>
      </c>
      <c r="B3" s="8" t="s">
        <v>67</v>
      </c>
    </row>
    <row r="4" spans="1:2">
      <c r="A4" s="12">
        <v>3</v>
      </c>
      <c r="B4" s="8" t="s">
        <v>68</v>
      </c>
    </row>
    <row r="5" spans="1:2">
      <c r="A5" s="12">
        <v>4</v>
      </c>
      <c r="B5" s="8" t="s">
        <v>69</v>
      </c>
    </row>
    <row r="6" spans="1:2">
      <c r="A6" s="12">
        <v>5</v>
      </c>
      <c r="B6" s="8" t="s">
        <v>70</v>
      </c>
    </row>
    <row r="7" spans="1:2">
      <c r="A7" s="12">
        <v>5</v>
      </c>
      <c r="B7" s="8" t="s">
        <v>65</v>
      </c>
    </row>
    <row r="8" spans="1:2">
      <c r="B8" s="10" t="s">
        <v>72</v>
      </c>
    </row>
    <row r="9" spans="1:2">
      <c r="A9" s="12">
        <v>1</v>
      </c>
      <c r="B9" s="8" t="s">
        <v>60</v>
      </c>
    </row>
    <row r="10" spans="1:2">
      <c r="A10" s="12">
        <v>2</v>
      </c>
      <c r="B10" s="8" t="s">
        <v>61</v>
      </c>
    </row>
    <row r="11" spans="1:2">
      <c r="A11" s="12">
        <v>3</v>
      </c>
      <c r="B11" s="8" t="s">
        <v>62</v>
      </c>
    </row>
    <row r="12" spans="1:2">
      <c r="A12" s="12">
        <v>4</v>
      </c>
      <c r="B12" s="8" t="s">
        <v>63</v>
      </c>
    </row>
    <row r="13" spans="1:2">
      <c r="A13" s="12">
        <v>5</v>
      </c>
      <c r="B13" s="8" t="s">
        <v>64</v>
      </c>
    </row>
    <row r="14" spans="1:2">
      <c r="B14" s="8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33AE-4563-4A44-B1CF-87261CB62753}">
  <dimension ref="A1:E75"/>
  <sheetViews>
    <sheetView topLeftCell="A20" zoomScale="260" zoomScaleNormal="260" workbookViewId="0">
      <selection activeCell="A28" sqref="A28"/>
    </sheetView>
  </sheetViews>
  <sheetFormatPr baseColWidth="10" defaultRowHeight="16"/>
  <cols>
    <col min="1" max="1" width="51.1640625" customWidth="1"/>
    <col min="2" max="2" width="15.33203125" bestFit="1" customWidth="1"/>
    <col min="3" max="3" width="19.6640625" bestFit="1" customWidth="1"/>
    <col min="4" max="4" width="11.83203125" customWidth="1"/>
  </cols>
  <sheetData>
    <row r="1" spans="1:5" ht="17">
      <c r="A1" s="13" t="s">
        <v>80</v>
      </c>
      <c r="B1" t="s">
        <v>100</v>
      </c>
      <c r="C1" t="s">
        <v>85</v>
      </c>
    </row>
    <row r="2" spans="1:5" ht="17">
      <c r="A2" s="13" t="s">
        <v>81</v>
      </c>
      <c r="B2">
        <v>500000</v>
      </c>
      <c r="C2" s="12">
        <v>9</v>
      </c>
    </row>
    <row r="3" spans="1:5" ht="17">
      <c r="A3" s="13" t="s">
        <v>82</v>
      </c>
      <c r="B3">
        <v>100000</v>
      </c>
      <c r="C3" s="12">
        <v>8</v>
      </c>
      <c r="D3" t="s">
        <v>182</v>
      </c>
    </row>
    <row r="4" spans="1:5" ht="17">
      <c r="A4" s="13" t="s">
        <v>76</v>
      </c>
      <c r="B4">
        <v>100000</v>
      </c>
      <c r="C4" s="15" t="s">
        <v>84</v>
      </c>
      <c r="D4" t="s">
        <v>182</v>
      </c>
    </row>
    <row r="5" spans="1:5" ht="17">
      <c r="A5" s="13" t="s">
        <v>83</v>
      </c>
      <c r="B5">
        <v>100000</v>
      </c>
      <c r="C5" s="15" t="s">
        <v>84</v>
      </c>
      <c r="D5" t="s">
        <v>182</v>
      </c>
    </row>
    <row r="6" spans="1:5" ht="17">
      <c r="A6" s="13" t="s">
        <v>101</v>
      </c>
      <c r="B6">
        <v>120000</v>
      </c>
      <c r="C6" s="15" t="s">
        <v>84</v>
      </c>
      <c r="D6" t="s">
        <v>182</v>
      </c>
    </row>
    <row r="7" spans="1:5" ht="17">
      <c r="A7" s="13" t="s">
        <v>77</v>
      </c>
      <c r="B7">
        <v>120000</v>
      </c>
      <c r="C7" s="15"/>
      <c r="D7" t="s">
        <v>182</v>
      </c>
    </row>
    <row r="8" spans="1:5" ht="17">
      <c r="A8" s="13" t="s">
        <v>78</v>
      </c>
      <c r="C8" s="12"/>
    </row>
    <row r="9" spans="1:5" ht="17">
      <c r="A9" s="13" t="s">
        <v>86</v>
      </c>
      <c r="C9" s="12"/>
    </row>
    <row r="10" spans="1:5" ht="17">
      <c r="A10" s="13" t="s">
        <v>79</v>
      </c>
      <c r="C10" s="12"/>
    </row>
    <row r="11" spans="1:5" ht="17">
      <c r="A11" s="13" t="s">
        <v>15</v>
      </c>
      <c r="B11">
        <f>SUM(B2:B10)</f>
        <v>1040000</v>
      </c>
      <c r="C11" s="12">
        <f>SUM(C2:C10)</f>
        <v>17</v>
      </c>
    </row>
    <row r="12" spans="1:5" ht="17">
      <c r="A12" s="13" t="s">
        <v>87</v>
      </c>
      <c r="B12" s="14">
        <v>0.4</v>
      </c>
    </row>
    <row r="13" spans="1:5" ht="17">
      <c r="A13" s="13" t="s">
        <v>88</v>
      </c>
      <c r="B13">
        <f>(1-B12)*B11</f>
        <v>624000</v>
      </c>
    </row>
    <row r="14" spans="1:5" ht="17">
      <c r="A14" s="13" t="s">
        <v>89</v>
      </c>
      <c r="B14">
        <f>B13*0.05</f>
        <v>31200</v>
      </c>
      <c r="D14" t="s">
        <v>90</v>
      </c>
      <c r="E14" t="s">
        <v>91</v>
      </c>
    </row>
    <row r="15" spans="1:5">
      <c r="E15" t="s">
        <v>92</v>
      </c>
    </row>
    <row r="16" spans="1:5" ht="17">
      <c r="A16" s="13" t="s">
        <v>139</v>
      </c>
      <c r="B16">
        <f>SUM(B2:B7)-B5-B2</f>
        <v>440000</v>
      </c>
      <c r="C16" t="s">
        <v>150</v>
      </c>
      <c r="E16" t="s">
        <v>93</v>
      </c>
    </row>
    <row r="17" spans="1:5" ht="17">
      <c r="A17" s="13" t="s">
        <v>140</v>
      </c>
      <c r="B17">
        <f>(1-B12)*B16</f>
        <v>264000</v>
      </c>
      <c r="E17" t="s">
        <v>94</v>
      </c>
    </row>
    <row r="18" spans="1:5">
      <c r="E18" t="s">
        <v>95</v>
      </c>
    </row>
    <row r="20" spans="1:5">
      <c r="A20" t="s">
        <v>96</v>
      </c>
      <c r="B20" s="22">
        <f>B14</f>
        <v>31200</v>
      </c>
    </row>
    <row r="21" spans="1:5">
      <c r="A21" t="s">
        <v>106</v>
      </c>
      <c r="B21" s="22">
        <v>3</v>
      </c>
    </row>
    <row r="22" spans="1:5">
      <c r="A22" t="s">
        <v>97</v>
      </c>
      <c r="B22" s="22">
        <v>350</v>
      </c>
      <c r="C22" t="s">
        <v>107</v>
      </c>
      <c r="D22" t="s">
        <v>99</v>
      </c>
    </row>
    <row r="23" spans="1:5">
      <c r="A23" t="s">
        <v>98</v>
      </c>
      <c r="B23" s="16">
        <v>0.04</v>
      </c>
      <c r="C23" s="9" t="s">
        <v>108</v>
      </c>
    </row>
    <row r="25" spans="1:5">
      <c r="A25" t="s">
        <v>459</v>
      </c>
      <c r="B25" s="22">
        <v>10000</v>
      </c>
      <c r="C25" t="s">
        <v>109</v>
      </c>
    </row>
    <row r="26" spans="1:5">
      <c r="A26" t="s">
        <v>102</v>
      </c>
      <c r="B26" s="22">
        <f>B20*B25</f>
        <v>312000000</v>
      </c>
    </row>
    <row r="27" spans="1:5">
      <c r="A27" t="s">
        <v>461</v>
      </c>
      <c r="B27">
        <v>15</v>
      </c>
      <c r="C27" t="s">
        <v>460</v>
      </c>
    </row>
    <row r="28" spans="1:5">
      <c r="A28" t="s">
        <v>453</v>
      </c>
      <c r="B28">
        <v>20</v>
      </c>
      <c r="C28" t="s">
        <v>458</v>
      </c>
    </row>
    <row r="29" spans="1:5">
      <c r="A29" t="s">
        <v>103</v>
      </c>
      <c r="B29">
        <v>4.5</v>
      </c>
    </row>
    <row r="30" spans="1:5">
      <c r="A30" t="s">
        <v>104</v>
      </c>
      <c r="B30" s="23">
        <f>B26*B27/100*B28/100*(B29-B21)</f>
        <v>14040000</v>
      </c>
    </row>
    <row r="31" spans="1:5">
      <c r="A31" t="s">
        <v>105</v>
      </c>
      <c r="B31" s="23">
        <f>B20*B27/100*B22*(B29-B21)</f>
        <v>2457000</v>
      </c>
    </row>
    <row r="32" spans="1:5">
      <c r="A32" t="s">
        <v>117</v>
      </c>
      <c r="B32" s="22">
        <f>(B31+B30)*7</f>
        <v>115479000</v>
      </c>
      <c r="C32" t="s">
        <v>161</v>
      </c>
    </row>
    <row r="33" spans="1:4">
      <c r="A33" t="s">
        <v>170</v>
      </c>
      <c r="B33" s="24">
        <f>B32*0.9</f>
        <v>103931100</v>
      </c>
      <c r="D33" s="24">
        <f>B33+D38</f>
        <v>120311100</v>
      </c>
    </row>
    <row r="34" spans="1:4">
      <c r="A34" t="s">
        <v>118</v>
      </c>
      <c r="B34" s="25">
        <f>B32*0.1</f>
        <v>11547900</v>
      </c>
      <c r="D34" s="25">
        <f>B34+D39</f>
        <v>27927900</v>
      </c>
    </row>
    <row r="35" spans="1:4">
      <c r="A35" t="s">
        <v>110</v>
      </c>
    </row>
    <row r="36" spans="1:4">
      <c r="A36" t="s">
        <v>111</v>
      </c>
      <c r="B36" s="22">
        <v>15</v>
      </c>
    </row>
    <row r="37" spans="1:4">
      <c r="A37" t="s">
        <v>112</v>
      </c>
      <c r="B37" s="22">
        <f>B36/100*B26</f>
        <v>46800000</v>
      </c>
    </row>
    <row r="38" spans="1:4">
      <c r="A38" t="s">
        <v>113</v>
      </c>
      <c r="B38" s="22">
        <v>5</v>
      </c>
      <c r="C38" s="22">
        <f>B37*B38/100</f>
        <v>2340000</v>
      </c>
      <c r="D38" s="25">
        <f>C38*7</f>
        <v>16380000</v>
      </c>
    </row>
    <row r="39" spans="1:4">
      <c r="A39" t="s">
        <v>114</v>
      </c>
      <c r="B39" s="22">
        <v>5</v>
      </c>
      <c r="C39" s="22">
        <f>B39/100*B37</f>
        <v>2340000</v>
      </c>
      <c r="D39" s="24">
        <f>C39*7</f>
        <v>16380000</v>
      </c>
    </row>
    <row r="40" spans="1:4">
      <c r="A40" t="s">
        <v>115</v>
      </c>
      <c r="B40" s="22">
        <v>2</v>
      </c>
      <c r="C40" s="22">
        <f>B40/100*B37</f>
        <v>936000</v>
      </c>
      <c r="D40" s="22">
        <f>C40*7</f>
        <v>6552000</v>
      </c>
    </row>
    <row r="41" spans="1:4">
      <c r="A41" t="s">
        <v>116</v>
      </c>
      <c r="B41" s="22">
        <v>3</v>
      </c>
      <c r="C41" s="22">
        <f>B41/100*B37</f>
        <v>1404000</v>
      </c>
      <c r="D41" s="22">
        <f>C41*7</f>
        <v>9828000</v>
      </c>
    </row>
    <row r="42" spans="1:4">
      <c r="C42" s="29"/>
      <c r="D42" s="29"/>
    </row>
    <row r="43" spans="1:4">
      <c r="A43" s="27" t="s">
        <v>153</v>
      </c>
    </row>
    <row r="44" spans="1:4">
      <c r="A44" t="s">
        <v>146</v>
      </c>
      <c r="B44">
        <v>5</v>
      </c>
      <c r="C44" t="s">
        <v>136</v>
      </c>
    </row>
    <row r="45" spans="1:4">
      <c r="A45" t="s">
        <v>157</v>
      </c>
      <c r="B45" s="22">
        <f>B44/100*B17</f>
        <v>13200</v>
      </c>
      <c r="C45" t="s">
        <v>155</v>
      </c>
    </row>
    <row r="46" spans="1:4">
      <c r="A46" t="s">
        <v>137</v>
      </c>
      <c r="B46">
        <v>20000</v>
      </c>
    </row>
    <row r="47" spans="1:4">
      <c r="A47" t="s">
        <v>138</v>
      </c>
      <c r="B47" s="21">
        <f>B46*B45</f>
        <v>264000000</v>
      </c>
      <c r="C47" s="43">
        <f>B47*0.96</f>
        <v>253440000</v>
      </c>
    </row>
    <row r="48" spans="1:4">
      <c r="A48" t="s">
        <v>141</v>
      </c>
      <c r="B48" s="26">
        <v>18</v>
      </c>
      <c r="C48" t="s">
        <v>142</v>
      </c>
    </row>
    <row r="49" spans="1:4">
      <c r="A49" t="s">
        <v>143</v>
      </c>
      <c r="B49" s="21">
        <f>B48/100*B47</f>
        <v>47520000</v>
      </c>
      <c r="C49" t="s">
        <v>144</v>
      </c>
    </row>
    <row r="50" spans="1:4">
      <c r="A50" t="s">
        <v>158</v>
      </c>
      <c r="B50" s="21">
        <f>B49*7</f>
        <v>332640000</v>
      </c>
      <c r="C50" t="s">
        <v>145</v>
      </c>
    </row>
    <row r="51" spans="1:4">
      <c r="A51" t="s">
        <v>159</v>
      </c>
      <c r="C51" s="21">
        <f>B49*C47/B47</f>
        <v>45619200</v>
      </c>
    </row>
    <row r="52" spans="1:4">
      <c r="C52" s="21">
        <f>B50*C47/B47</f>
        <v>319334400</v>
      </c>
    </row>
    <row r="54" spans="1:4">
      <c r="A54" s="27" t="s">
        <v>154</v>
      </c>
    </row>
    <row r="55" spans="1:4">
      <c r="A55" t="s">
        <v>147</v>
      </c>
      <c r="B55" s="22">
        <v>120</v>
      </c>
    </row>
    <row r="56" spans="1:4">
      <c r="A56" t="s">
        <v>176</v>
      </c>
      <c r="B56" s="28">
        <v>10</v>
      </c>
      <c r="C56" s="7" t="s">
        <v>162</v>
      </c>
    </row>
    <row r="57" spans="1:4">
      <c r="A57" t="s">
        <v>156</v>
      </c>
      <c r="B57" s="22">
        <v>2000000</v>
      </c>
    </row>
    <row r="58" spans="1:4">
      <c r="A58" t="s">
        <v>138</v>
      </c>
      <c r="B58" s="22">
        <f>B57*B55*B56/100</f>
        <v>24000000</v>
      </c>
    </row>
    <row r="59" spans="1:4">
      <c r="A59" t="s">
        <v>152</v>
      </c>
      <c r="B59" s="22">
        <v>14</v>
      </c>
      <c r="C59" t="s">
        <v>160</v>
      </c>
    </row>
    <row r="60" spans="1:4">
      <c r="A60" t="s">
        <v>149</v>
      </c>
      <c r="B60" s="22">
        <f>B59/100*B58</f>
        <v>3360000.0000000005</v>
      </c>
      <c r="C60" s="22">
        <f>B60*7</f>
        <v>23520000.000000004</v>
      </c>
      <c r="D60" t="s">
        <v>148</v>
      </c>
    </row>
    <row r="61" spans="1:4">
      <c r="B61" s="22"/>
      <c r="C61" s="22"/>
    </row>
    <row r="62" spans="1:4">
      <c r="B62" s="22"/>
      <c r="C62" s="22"/>
    </row>
    <row r="63" spans="1:4">
      <c r="A63" t="s">
        <v>151</v>
      </c>
    </row>
    <row r="64" spans="1:4">
      <c r="A64" t="s">
        <v>120</v>
      </c>
    </row>
    <row r="65" spans="1:5">
      <c r="A65" t="s">
        <v>119</v>
      </c>
    </row>
    <row r="69" spans="1:5" ht="17">
      <c r="A69" s="17">
        <v>3</v>
      </c>
      <c r="B69" s="17" t="s">
        <v>121</v>
      </c>
      <c r="C69" s="19" t="s">
        <v>122</v>
      </c>
      <c r="D69" s="19" t="s">
        <v>123</v>
      </c>
      <c r="E69" s="19" t="s">
        <v>124</v>
      </c>
    </row>
    <row r="70" spans="1:5" ht="17">
      <c r="A70" s="18"/>
      <c r="B70" s="18" t="s">
        <v>125</v>
      </c>
      <c r="C70" s="20">
        <v>4.48E-2</v>
      </c>
      <c r="D70" s="20">
        <v>1.0200000000000001E-2</v>
      </c>
      <c r="E70" s="20">
        <v>6.3E-3</v>
      </c>
    </row>
    <row r="71" spans="1:5" ht="17">
      <c r="A71" s="18" t="s">
        <v>126</v>
      </c>
      <c r="B71" s="18" t="s">
        <v>127</v>
      </c>
      <c r="C71" s="20">
        <v>6.0400000000000002E-2</v>
      </c>
      <c r="D71" s="20">
        <v>7.4000000000000003E-3</v>
      </c>
      <c r="E71" s="20">
        <v>6.0000000000000001E-3</v>
      </c>
    </row>
    <row r="72" spans="1:5" ht="17">
      <c r="A72" s="18" t="s">
        <v>128</v>
      </c>
      <c r="B72" s="18" t="s">
        <v>129</v>
      </c>
      <c r="C72" s="20">
        <v>4.2099999999999999E-2</v>
      </c>
      <c r="D72" s="20">
        <v>1.6299999999999999E-2</v>
      </c>
      <c r="E72" s="20">
        <v>1.2500000000000001E-2</v>
      </c>
    </row>
    <row r="73" spans="1:5" ht="17">
      <c r="A73" s="18" t="s">
        <v>130</v>
      </c>
      <c r="B73" s="18" t="s">
        <v>131</v>
      </c>
      <c r="C73" s="20">
        <v>2.7900000000000001E-2</v>
      </c>
      <c r="D73" s="20">
        <v>6.1000000000000004E-3</v>
      </c>
      <c r="E73" s="20">
        <v>2.5999999999999999E-3</v>
      </c>
    </row>
    <row r="74" spans="1:5" ht="17">
      <c r="A74" s="18" t="s">
        <v>132</v>
      </c>
      <c r="B74" s="18" t="s">
        <v>133</v>
      </c>
      <c r="C74" s="20">
        <v>2.0400000000000001E-2</v>
      </c>
      <c r="D74" s="20">
        <v>1.0500000000000001E-2</v>
      </c>
      <c r="E74" s="20">
        <v>3.5000000000000001E-3</v>
      </c>
    </row>
    <row r="75" spans="1:5" ht="17">
      <c r="A75" s="18" t="s">
        <v>134</v>
      </c>
      <c r="B75" s="18" t="s">
        <v>135</v>
      </c>
      <c r="C75" s="20">
        <v>1.38E-2</v>
      </c>
      <c r="D75" s="20">
        <v>7.6E-3</v>
      </c>
      <c r="E75" s="20">
        <v>5.4999999999999997E-3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CA36-1B48-3749-95CC-1468B2F974D2}">
  <dimension ref="B1:D23"/>
  <sheetViews>
    <sheetView zoomScale="170" zoomScaleNormal="170" workbookViewId="0">
      <selection activeCell="C10" sqref="C10"/>
    </sheetView>
  </sheetViews>
  <sheetFormatPr baseColWidth="10" defaultRowHeight="16"/>
  <cols>
    <col min="2" max="2" width="57.1640625" bestFit="1" customWidth="1"/>
    <col min="3" max="3" width="10.83203125" style="12"/>
    <col min="4" max="4" width="60.83203125" customWidth="1"/>
  </cols>
  <sheetData>
    <row r="1" spans="2:4" ht="17" thickBot="1"/>
    <row r="2" spans="2:4" ht="17" thickBot="1">
      <c r="B2" s="138" t="s">
        <v>192</v>
      </c>
      <c r="C2" s="139"/>
      <c r="D2" s="140"/>
    </row>
    <row r="3" spans="2:4" ht="17" thickBot="1">
      <c r="B3" s="141" t="s">
        <v>191</v>
      </c>
      <c r="C3" s="142"/>
      <c r="D3" s="143"/>
    </row>
    <row r="4" spans="2:4">
      <c r="B4" s="37" t="s">
        <v>181</v>
      </c>
      <c r="C4" s="38">
        <v>624000</v>
      </c>
      <c r="D4" s="39" t="s">
        <v>183</v>
      </c>
    </row>
    <row r="5" spans="2:4">
      <c r="B5" s="32" t="s">
        <v>163</v>
      </c>
      <c r="C5" s="30">
        <v>31200</v>
      </c>
      <c r="D5" s="33" t="s">
        <v>202</v>
      </c>
    </row>
    <row r="6" spans="2:4">
      <c r="B6" s="32" t="s">
        <v>164</v>
      </c>
      <c r="C6" s="30">
        <v>10000</v>
      </c>
      <c r="D6" s="33" t="s">
        <v>200</v>
      </c>
    </row>
    <row r="7" spans="2:4">
      <c r="B7" s="32" t="s">
        <v>166</v>
      </c>
      <c r="C7" s="30" t="s">
        <v>165</v>
      </c>
      <c r="D7" s="33"/>
    </row>
    <row r="8" spans="2:4" ht="17">
      <c r="B8" s="34" t="s">
        <v>197</v>
      </c>
      <c r="C8" s="30" t="s">
        <v>167</v>
      </c>
      <c r="D8" s="33" t="s">
        <v>203</v>
      </c>
    </row>
    <row r="9" spans="2:4">
      <c r="B9" s="32" t="s">
        <v>198</v>
      </c>
      <c r="C9" s="30" t="s">
        <v>168</v>
      </c>
      <c r="D9" s="33" t="s">
        <v>199</v>
      </c>
    </row>
    <row r="10" spans="2:4" ht="17" thickBot="1">
      <c r="B10" s="40" t="s">
        <v>169</v>
      </c>
      <c r="C10" s="45" t="s">
        <v>171</v>
      </c>
      <c r="D10" s="41" t="s">
        <v>184</v>
      </c>
    </row>
    <row r="11" spans="2:4" ht="17" thickBot="1">
      <c r="B11" s="141" t="s">
        <v>190</v>
      </c>
      <c r="C11" s="142"/>
      <c r="D11" s="143"/>
    </row>
    <row r="12" spans="2:4">
      <c r="B12" s="37" t="s">
        <v>174</v>
      </c>
      <c r="C12" s="38">
        <v>13200</v>
      </c>
      <c r="D12" s="39" t="s">
        <v>201</v>
      </c>
    </row>
    <row r="13" spans="2:4">
      <c r="B13" s="32" t="s">
        <v>172</v>
      </c>
      <c r="C13" s="30">
        <v>20000</v>
      </c>
      <c r="D13" s="33" t="s">
        <v>185</v>
      </c>
    </row>
    <row r="14" spans="2:4">
      <c r="B14" s="32" t="s">
        <v>196</v>
      </c>
      <c r="C14" s="30" t="s">
        <v>173</v>
      </c>
      <c r="D14" s="33" t="s">
        <v>188</v>
      </c>
    </row>
    <row r="15" spans="2:4">
      <c r="B15" s="32" t="s">
        <v>175</v>
      </c>
      <c r="C15" s="30" t="s">
        <v>204</v>
      </c>
      <c r="D15" s="33" t="s">
        <v>186</v>
      </c>
    </row>
    <row r="16" spans="2:4" ht="17" thickBot="1">
      <c r="B16" s="40" t="s">
        <v>207</v>
      </c>
      <c r="C16" s="45" t="s">
        <v>205</v>
      </c>
      <c r="D16" s="41" t="s">
        <v>187</v>
      </c>
    </row>
    <row r="17" spans="2:4" ht="17" thickBot="1">
      <c r="B17" s="144" t="s">
        <v>189</v>
      </c>
      <c r="C17" s="145"/>
      <c r="D17" s="146"/>
    </row>
    <row r="18" spans="2:4">
      <c r="B18" s="37" t="s">
        <v>193</v>
      </c>
      <c r="C18" s="42">
        <v>120</v>
      </c>
      <c r="D18" s="39" t="s">
        <v>194</v>
      </c>
    </row>
    <row r="19" spans="2:4">
      <c r="B19" s="32" t="s">
        <v>176</v>
      </c>
      <c r="C19" s="31">
        <v>10</v>
      </c>
      <c r="D19" s="33" t="s">
        <v>195</v>
      </c>
    </row>
    <row r="20" spans="2:4">
      <c r="B20" s="32" t="s">
        <v>177</v>
      </c>
      <c r="C20" s="31">
        <v>2000000</v>
      </c>
      <c r="D20" s="33" t="s">
        <v>208</v>
      </c>
    </row>
    <row r="21" spans="2:4">
      <c r="B21" s="32" t="s">
        <v>196</v>
      </c>
      <c r="C21" s="31">
        <f>C20*C18*C19/100</f>
        <v>24000000</v>
      </c>
      <c r="D21" s="33"/>
    </row>
    <row r="22" spans="2:4">
      <c r="B22" s="32" t="s">
        <v>178</v>
      </c>
      <c r="C22" s="31" t="s">
        <v>179</v>
      </c>
      <c r="D22" s="33" t="s">
        <v>186</v>
      </c>
    </row>
    <row r="23" spans="2:4" ht="17" thickBot="1">
      <c r="B23" s="35" t="s">
        <v>206</v>
      </c>
      <c r="C23" s="44" t="s">
        <v>180</v>
      </c>
      <c r="D23" s="36"/>
    </row>
  </sheetData>
  <mergeCells count="4">
    <mergeCell ref="B2:D2"/>
    <mergeCell ref="B3:D3"/>
    <mergeCell ref="B11:D11"/>
    <mergeCell ref="B17:D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80B6-DAAD-E740-83F5-370CB2ACC04B}">
  <dimension ref="A1:E37"/>
  <sheetViews>
    <sheetView zoomScale="160" zoomScaleNormal="160" workbookViewId="0">
      <selection activeCell="B2" sqref="B2"/>
    </sheetView>
  </sheetViews>
  <sheetFormatPr baseColWidth="10" defaultRowHeight="16"/>
  <cols>
    <col min="1" max="1" width="49" bestFit="1" customWidth="1"/>
    <col min="3" max="3" width="27.1640625" bestFit="1" customWidth="1"/>
    <col min="4" max="4" width="24.5" bestFit="1" customWidth="1"/>
    <col min="5" max="5" width="79.33203125" customWidth="1"/>
  </cols>
  <sheetData>
    <row r="1" spans="1:5" ht="17">
      <c r="A1" s="13" t="s">
        <v>80</v>
      </c>
      <c r="B1" t="s">
        <v>100</v>
      </c>
      <c r="C1" t="s">
        <v>85</v>
      </c>
      <c r="D1" t="s">
        <v>212</v>
      </c>
    </row>
    <row r="2" spans="1:5" ht="17">
      <c r="A2" s="13" t="s">
        <v>81</v>
      </c>
      <c r="B2">
        <v>500000</v>
      </c>
      <c r="C2" s="12">
        <v>9</v>
      </c>
      <c r="D2" t="s">
        <v>213</v>
      </c>
    </row>
    <row r="3" spans="1:5" ht="17">
      <c r="A3" s="13" t="s">
        <v>82</v>
      </c>
      <c r="B3">
        <v>100000</v>
      </c>
      <c r="C3" s="12">
        <v>8</v>
      </c>
      <c r="D3" t="s">
        <v>182</v>
      </c>
      <c r="E3" t="s">
        <v>214</v>
      </c>
    </row>
    <row r="4" spans="1:5" ht="17">
      <c r="A4" s="13" t="s">
        <v>76</v>
      </c>
      <c r="B4">
        <v>100000</v>
      </c>
      <c r="C4" s="15" t="s">
        <v>84</v>
      </c>
      <c r="D4" t="s">
        <v>182</v>
      </c>
      <c r="E4" t="s">
        <v>215</v>
      </c>
    </row>
    <row r="5" spans="1:5" ht="17">
      <c r="A5" s="13" t="s">
        <v>83</v>
      </c>
      <c r="B5">
        <v>100000</v>
      </c>
      <c r="C5" s="15" t="s">
        <v>84</v>
      </c>
      <c r="D5" t="s">
        <v>182</v>
      </c>
      <c r="E5" t="s">
        <v>215</v>
      </c>
    </row>
    <row r="6" spans="1:5" ht="17">
      <c r="A6" s="13" t="s">
        <v>101</v>
      </c>
      <c r="B6">
        <v>120000</v>
      </c>
      <c r="C6" s="15" t="s">
        <v>84</v>
      </c>
      <c r="D6" t="s">
        <v>182</v>
      </c>
      <c r="E6" t="s">
        <v>216</v>
      </c>
    </row>
    <row r="7" spans="1:5" ht="17">
      <c r="A7" s="13" t="s">
        <v>77</v>
      </c>
      <c r="B7">
        <v>120000</v>
      </c>
      <c r="C7" s="15"/>
      <c r="D7" t="s">
        <v>182</v>
      </c>
      <c r="E7" t="s">
        <v>217</v>
      </c>
    </row>
    <row r="8" spans="1:5" ht="17">
      <c r="A8" s="13" t="s">
        <v>218</v>
      </c>
      <c r="C8" s="15"/>
      <c r="E8" t="s">
        <v>219</v>
      </c>
    </row>
    <row r="9" spans="1:5" ht="17">
      <c r="A9" s="13" t="s">
        <v>78</v>
      </c>
      <c r="C9" s="12"/>
      <c r="E9" t="s">
        <v>84</v>
      </c>
    </row>
    <row r="10" spans="1:5" ht="17">
      <c r="A10" s="13" t="s">
        <v>86</v>
      </c>
      <c r="C10" s="12"/>
      <c r="E10" t="s">
        <v>84</v>
      </c>
    </row>
    <row r="11" spans="1:5" ht="17">
      <c r="A11" s="13" t="s">
        <v>79</v>
      </c>
      <c r="C11" s="12"/>
      <c r="E11" t="s">
        <v>84</v>
      </c>
    </row>
    <row r="12" spans="1:5" ht="17">
      <c r="A12" s="13" t="s">
        <v>15</v>
      </c>
      <c r="B12">
        <f>SUM(B2:B11)</f>
        <v>1040000</v>
      </c>
      <c r="C12" s="12">
        <f>SUM(C2:C11)</f>
        <v>17</v>
      </c>
    </row>
    <row r="13" spans="1:5" ht="17">
      <c r="A13" s="13" t="s">
        <v>87</v>
      </c>
      <c r="B13" s="14">
        <v>0.4</v>
      </c>
    </row>
    <row r="14" spans="1:5" ht="17">
      <c r="A14" s="13" t="s">
        <v>88</v>
      </c>
      <c r="B14">
        <f>(1-B13)*B12</f>
        <v>624000</v>
      </c>
    </row>
    <row r="15" spans="1:5" ht="17">
      <c r="A15" s="13" t="s">
        <v>89</v>
      </c>
      <c r="B15">
        <f>B14*0.05</f>
        <v>31200</v>
      </c>
      <c r="D15" t="s">
        <v>90</v>
      </c>
      <c r="E15" t="s">
        <v>91</v>
      </c>
    </row>
    <row r="16" spans="1:5">
      <c r="E16" t="s">
        <v>92</v>
      </c>
    </row>
    <row r="17" spans="1:5" ht="17">
      <c r="A17" s="13" t="s">
        <v>139</v>
      </c>
      <c r="B17">
        <f>SUM(B2:B7)-B5-B2</f>
        <v>440000</v>
      </c>
      <c r="C17" t="s">
        <v>150</v>
      </c>
      <c r="E17" t="s">
        <v>93</v>
      </c>
    </row>
    <row r="18" spans="1:5" ht="17">
      <c r="A18" s="13" t="s">
        <v>140</v>
      </c>
      <c r="B18">
        <f>(1-B13)*B17</f>
        <v>264000</v>
      </c>
      <c r="E18" t="s">
        <v>94</v>
      </c>
    </row>
    <row r="19" spans="1:5">
      <c r="E19" t="s">
        <v>95</v>
      </c>
    </row>
    <row r="21" spans="1:5">
      <c r="A21" t="s">
        <v>96</v>
      </c>
      <c r="B21" s="22">
        <f>B15</f>
        <v>31200</v>
      </c>
    </row>
    <row r="23" spans="1:5">
      <c r="A23" t="s">
        <v>283</v>
      </c>
      <c r="B23" t="s">
        <v>279</v>
      </c>
      <c r="C23" t="s">
        <v>281</v>
      </c>
      <c r="D23" t="s">
        <v>280</v>
      </c>
      <c r="E23" t="s">
        <v>282</v>
      </c>
    </row>
    <row r="24" spans="1:5">
      <c r="A24" t="s">
        <v>82</v>
      </c>
      <c r="B24">
        <v>800000</v>
      </c>
    </row>
    <row r="25" spans="1:5">
      <c r="A25" t="s">
        <v>274</v>
      </c>
      <c r="B25">
        <v>200000</v>
      </c>
    </row>
    <row r="26" spans="1:5">
      <c r="A26" t="s">
        <v>275</v>
      </c>
      <c r="B26">
        <v>150000</v>
      </c>
    </row>
    <row r="27" spans="1:5">
      <c r="A27" t="s">
        <v>276</v>
      </c>
    </row>
    <row r="28" spans="1:5">
      <c r="A28" t="s">
        <v>277</v>
      </c>
    </row>
    <row r="29" spans="1:5">
      <c r="A29" t="s">
        <v>278</v>
      </c>
    </row>
    <row r="30" spans="1:5">
      <c r="A30" t="s">
        <v>83</v>
      </c>
    </row>
    <row r="32" spans="1:5">
      <c r="A32" t="s">
        <v>209</v>
      </c>
    </row>
    <row r="33" spans="1:1">
      <c r="A33" t="s">
        <v>210</v>
      </c>
    </row>
    <row r="34" spans="1:1">
      <c r="A34" t="s">
        <v>211</v>
      </c>
    </row>
    <row r="35" spans="1:1">
      <c r="A35" t="s">
        <v>220</v>
      </c>
    </row>
    <row r="36" spans="1:1">
      <c r="A36" t="s">
        <v>221</v>
      </c>
    </row>
    <row r="37" spans="1:1">
      <c r="A37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2BA9-3527-B047-92DE-68DF7C4A6F2D}">
  <dimension ref="A1:H38"/>
  <sheetViews>
    <sheetView zoomScale="160" zoomScaleNormal="160" workbookViewId="0">
      <selection activeCell="D9" sqref="D9"/>
    </sheetView>
  </sheetViews>
  <sheetFormatPr baseColWidth="10" defaultRowHeight="16"/>
  <cols>
    <col min="1" max="1" width="49.1640625" bestFit="1" customWidth="1"/>
    <col min="2" max="2" width="16" bestFit="1" customWidth="1"/>
    <col min="3" max="3" width="16" customWidth="1"/>
    <col min="4" max="4" width="15.6640625" bestFit="1" customWidth="1"/>
    <col min="5" max="5" width="16" bestFit="1" customWidth="1"/>
    <col min="6" max="6" width="45.33203125" bestFit="1" customWidth="1"/>
    <col min="7" max="7" width="30.83203125" customWidth="1"/>
  </cols>
  <sheetData>
    <row r="1" spans="1:8">
      <c r="A1" s="58" t="s">
        <v>283</v>
      </c>
      <c r="B1" s="58" t="s">
        <v>284</v>
      </c>
      <c r="C1" s="58" t="s">
        <v>285</v>
      </c>
      <c r="D1" s="58" t="s">
        <v>281</v>
      </c>
      <c r="E1" s="58" t="s">
        <v>282</v>
      </c>
      <c r="G1" s="58" t="s">
        <v>445</v>
      </c>
      <c r="H1" s="58" t="s">
        <v>444</v>
      </c>
    </row>
    <row r="2" spans="1:8">
      <c r="A2" t="s">
        <v>82</v>
      </c>
      <c r="B2" s="22">
        <v>800000</v>
      </c>
      <c r="C2" s="22">
        <v>200000</v>
      </c>
      <c r="D2" s="22">
        <f>B2*20*0.5</f>
        <v>8000000</v>
      </c>
      <c r="E2" s="22">
        <f>C2*60</f>
        <v>12000000</v>
      </c>
      <c r="F2" t="s">
        <v>303</v>
      </c>
      <c r="G2" t="s">
        <v>451</v>
      </c>
      <c r="H2" t="s">
        <v>446</v>
      </c>
    </row>
    <row r="3" spans="1:8">
      <c r="A3" t="s">
        <v>274</v>
      </c>
      <c r="B3" s="22">
        <v>500000</v>
      </c>
      <c r="C3" s="22">
        <v>60000</v>
      </c>
      <c r="D3" s="22">
        <f>B3*20*0.5</f>
        <v>5000000</v>
      </c>
      <c r="E3" s="22">
        <f>C3*60</f>
        <v>3600000</v>
      </c>
      <c r="F3" t="s">
        <v>303</v>
      </c>
      <c r="G3" t="s">
        <v>452</v>
      </c>
      <c r="H3" t="s">
        <v>447</v>
      </c>
    </row>
    <row r="4" spans="1:8">
      <c r="A4" t="s">
        <v>275</v>
      </c>
      <c r="B4" s="22">
        <v>300000</v>
      </c>
      <c r="C4" s="22">
        <v>40000</v>
      </c>
      <c r="D4" s="22">
        <f>B4*20*0.5</f>
        <v>3000000</v>
      </c>
      <c r="E4" s="22">
        <f>C4*60</f>
        <v>2400000</v>
      </c>
      <c r="F4" t="s">
        <v>303</v>
      </c>
      <c r="H4" t="s">
        <v>448</v>
      </c>
    </row>
    <row r="5" spans="1:8">
      <c r="A5" t="s">
        <v>433</v>
      </c>
      <c r="B5" s="22">
        <f>550*1000</f>
        <v>550000</v>
      </c>
      <c r="C5" s="22">
        <f>(30*1000)+(120*1000)</f>
        <v>150000</v>
      </c>
      <c r="D5" s="22">
        <f>B5*20</f>
        <v>11000000</v>
      </c>
      <c r="E5" s="22">
        <f>C5*20</f>
        <v>3000000</v>
      </c>
      <c r="F5" t="s">
        <v>289</v>
      </c>
      <c r="H5" t="s">
        <v>449</v>
      </c>
    </row>
    <row r="6" spans="1:8">
      <c r="A6" t="s">
        <v>286</v>
      </c>
      <c r="B6" s="22">
        <v>120000</v>
      </c>
      <c r="C6" s="22">
        <v>120000</v>
      </c>
      <c r="D6" s="22">
        <f>B6*20</f>
        <v>2400000</v>
      </c>
      <c r="E6" s="22">
        <f>C6*100</f>
        <v>12000000</v>
      </c>
      <c r="F6" t="s">
        <v>304</v>
      </c>
      <c r="H6" t="s">
        <v>450</v>
      </c>
    </row>
    <row r="7" spans="1:8">
      <c r="A7" t="s">
        <v>278</v>
      </c>
      <c r="B7" s="22">
        <v>900000</v>
      </c>
      <c r="C7" s="22">
        <v>100000</v>
      </c>
      <c r="D7" s="22">
        <v>1000000</v>
      </c>
      <c r="E7" s="22">
        <v>1000000</v>
      </c>
      <c r="F7" t="s">
        <v>297</v>
      </c>
    </row>
    <row r="8" spans="1:8">
      <c r="A8" t="s">
        <v>83</v>
      </c>
      <c r="B8" s="22">
        <v>300000</v>
      </c>
      <c r="C8" s="22">
        <v>30000</v>
      </c>
      <c r="D8" s="22">
        <v>1000000</v>
      </c>
      <c r="E8" s="22">
        <v>1000000</v>
      </c>
      <c r="F8" t="s">
        <v>297</v>
      </c>
    </row>
    <row r="9" spans="1:8">
      <c r="A9" t="s">
        <v>15</v>
      </c>
      <c r="B9" s="22">
        <f>SUM(B2:B8)</f>
        <v>3470000</v>
      </c>
      <c r="C9" s="22">
        <f>SUM(C2:C8)</f>
        <v>700000</v>
      </c>
      <c r="D9" s="22">
        <f>SUM(D2:D8)</f>
        <v>31400000</v>
      </c>
      <c r="E9" s="28">
        <f>SUM(E2:E8)</f>
        <v>35000000</v>
      </c>
    </row>
    <row r="10" spans="1:8">
      <c r="A10" s="58" t="s">
        <v>288</v>
      </c>
      <c r="B10" s="22" t="s">
        <v>287</v>
      </c>
      <c r="C10" s="22">
        <f>0.5*C9</f>
        <v>350000</v>
      </c>
      <c r="D10" s="22"/>
      <c r="E10" s="22"/>
    </row>
    <row r="11" spans="1:8">
      <c r="A11" t="s">
        <v>298</v>
      </c>
      <c r="B11" s="22"/>
      <c r="C11" s="22">
        <f>C10/2</f>
        <v>175000</v>
      </c>
      <c r="D11" s="22"/>
      <c r="E11" s="22"/>
      <c r="F11" t="s">
        <v>293</v>
      </c>
    </row>
    <row r="13" spans="1:8">
      <c r="A13" t="s">
        <v>291</v>
      </c>
    </row>
    <row r="14" spans="1:8">
      <c r="A14" t="s">
        <v>290</v>
      </c>
    </row>
    <row r="15" spans="1:8">
      <c r="A15" t="s">
        <v>292</v>
      </c>
    </row>
    <row r="17" spans="1:6">
      <c r="E17">
        <f>4/30</f>
        <v>0.13333333333333333</v>
      </c>
    </row>
    <row r="18" spans="1:6">
      <c r="A18" t="s">
        <v>295</v>
      </c>
    </row>
    <row r="19" spans="1:6">
      <c r="A19" t="s">
        <v>294</v>
      </c>
    </row>
    <row r="20" spans="1:6">
      <c r="A20" t="s">
        <v>296</v>
      </c>
    </row>
    <row r="22" spans="1:6">
      <c r="A22" t="s">
        <v>299</v>
      </c>
      <c r="C22" t="s">
        <v>300</v>
      </c>
      <c r="D22" t="s">
        <v>301</v>
      </c>
    </row>
    <row r="23" spans="1:6">
      <c r="A23" t="s">
        <v>302</v>
      </c>
    </row>
    <row r="24" spans="1:6">
      <c r="B24" t="s">
        <v>431</v>
      </c>
      <c r="C24" t="s">
        <v>432</v>
      </c>
      <c r="D24" t="s">
        <v>434</v>
      </c>
    </row>
    <row r="25" spans="1:6">
      <c r="A25" t="s">
        <v>427</v>
      </c>
      <c r="B25">
        <v>30</v>
      </c>
      <c r="C25">
        <f>B25*1000</f>
        <v>30000</v>
      </c>
      <c r="D25">
        <v>0</v>
      </c>
    </row>
    <row r="26" spans="1:6">
      <c r="A26" t="s">
        <v>428</v>
      </c>
      <c r="B26">
        <v>40</v>
      </c>
      <c r="C26">
        <f>B26*1000+2500</f>
        <v>42500</v>
      </c>
      <c r="D26">
        <v>0</v>
      </c>
      <c r="F26">
        <f>30000/12</f>
        <v>2500</v>
      </c>
    </row>
    <row r="27" spans="1:6">
      <c r="A27" t="s">
        <v>429</v>
      </c>
      <c r="B27">
        <v>50</v>
      </c>
      <c r="C27">
        <f>B27*1000+5000</f>
        <v>55000</v>
      </c>
      <c r="D27">
        <v>0</v>
      </c>
    </row>
    <row r="28" spans="1:6">
      <c r="A28" t="s">
        <v>430</v>
      </c>
      <c r="B28">
        <v>60</v>
      </c>
      <c r="C28">
        <f>B28*1000+7500</f>
        <v>67500</v>
      </c>
      <c r="D28">
        <f>B28*1200</f>
        <v>72000</v>
      </c>
    </row>
    <row r="29" spans="1:6">
      <c r="A29" t="s">
        <v>443</v>
      </c>
      <c r="B29">
        <v>70</v>
      </c>
      <c r="C29">
        <f>B29*1000+10000</f>
        <v>80000</v>
      </c>
    </row>
    <row r="30" spans="1:6">
      <c r="A30" t="s">
        <v>435</v>
      </c>
      <c r="B30">
        <v>80</v>
      </c>
      <c r="C30">
        <f>B30*1000+12500</f>
        <v>92500</v>
      </c>
    </row>
    <row r="31" spans="1:6">
      <c r="A31" t="s">
        <v>436</v>
      </c>
      <c r="B31">
        <v>90</v>
      </c>
      <c r="C31">
        <f>B31*1000+15000</f>
        <v>105000</v>
      </c>
    </row>
    <row r="32" spans="1:6">
      <c r="A32" t="s">
        <v>437</v>
      </c>
      <c r="B32">
        <v>100</v>
      </c>
      <c r="C32">
        <f>B32*1000+17500</f>
        <v>117500</v>
      </c>
    </row>
    <row r="33" spans="1:5">
      <c r="A33" t="s">
        <v>438</v>
      </c>
      <c r="B33">
        <v>110</v>
      </c>
      <c r="C33">
        <f>B33*1000+20000</f>
        <v>130000</v>
      </c>
    </row>
    <row r="34" spans="1:5">
      <c r="A34" t="s">
        <v>439</v>
      </c>
      <c r="B34">
        <v>120</v>
      </c>
      <c r="C34">
        <f>B34*1000+22500</f>
        <v>142500</v>
      </c>
    </row>
    <row r="35" spans="1:5">
      <c r="A35" t="s">
        <v>440</v>
      </c>
      <c r="B35">
        <v>130</v>
      </c>
      <c r="C35">
        <f>B35*1000+25000</f>
        <v>155000</v>
      </c>
    </row>
    <row r="36" spans="1:5">
      <c r="A36" t="s">
        <v>441</v>
      </c>
      <c r="B36">
        <v>140</v>
      </c>
      <c r="C36">
        <f>B36*1000+27500</f>
        <v>167500</v>
      </c>
    </row>
    <row r="37" spans="1:5">
      <c r="A37" t="s">
        <v>442</v>
      </c>
      <c r="B37">
        <v>150</v>
      </c>
      <c r="C37">
        <f>B37*1000+30000</f>
        <v>180000</v>
      </c>
      <c r="D37">
        <f>167500/C37</f>
        <v>0.93055555555555558</v>
      </c>
      <c r="E37">
        <f>C37*1.2</f>
        <v>216000</v>
      </c>
    </row>
    <row r="38" spans="1:5">
      <c r="C38">
        <v>1000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11C07-D8CB-3849-A99D-FDBBA8A2E93E}">
  <dimension ref="A1:U45"/>
  <sheetViews>
    <sheetView zoomScale="150" zoomScaleNormal="150" workbookViewId="0">
      <selection activeCell="C2" sqref="C2"/>
    </sheetView>
  </sheetViews>
  <sheetFormatPr baseColWidth="10" defaultColWidth="8.83203125" defaultRowHeight="16"/>
  <cols>
    <col min="1" max="1" width="31.83203125" style="135" bestFit="1" customWidth="1"/>
    <col min="2" max="2" width="41.5" bestFit="1" customWidth="1"/>
    <col min="3" max="3" width="13.83203125" style="12" bestFit="1" customWidth="1"/>
    <col min="4" max="4" width="17.1640625" style="12" customWidth="1"/>
    <col min="5" max="5" width="18.83203125" style="12" customWidth="1"/>
    <col min="6" max="6" width="49.33203125" customWidth="1"/>
    <col min="7" max="7" width="18.83203125" customWidth="1"/>
    <col min="8" max="8" width="18.5" customWidth="1"/>
    <col min="21" max="21" width="12.33203125" bestFit="1" customWidth="1"/>
  </cols>
  <sheetData>
    <row r="1" spans="1:9">
      <c r="A1" s="59" t="s">
        <v>315</v>
      </c>
      <c r="B1" s="60" t="s">
        <v>316</v>
      </c>
      <c r="C1" s="61" t="s">
        <v>317</v>
      </c>
      <c r="D1" s="61" t="s">
        <v>318</v>
      </c>
      <c r="E1" s="61" t="s">
        <v>319</v>
      </c>
      <c r="F1" s="62" t="s">
        <v>212</v>
      </c>
      <c r="G1" s="63" t="s">
        <v>320</v>
      </c>
      <c r="H1" s="63" t="s">
        <v>321</v>
      </c>
    </row>
    <row r="2" spans="1:9" ht="17">
      <c r="A2" s="64" t="s">
        <v>322</v>
      </c>
      <c r="B2" s="65" t="s">
        <v>323</v>
      </c>
      <c r="C2" s="66">
        <v>8000</v>
      </c>
      <c r="D2" s="66"/>
      <c r="E2" s="66"/>
      <c r="F2" s="67" t="s">
        <v>324</v>
      </c>
      <c r="G2" t="s">
        <v>325</v>
      </c>
      <c r="H2" t="s">
        <v>326</v>
      </c>
      <c r="I2" s="68" t="s">
        <v>327</v>
      </c>
    </row>
    <row r="3" spans="1:9" ht="17">
      <c r="A3" s="64" t="s">
        <v>328</v>
      </c>
      <c r="B3" s="69" t="s">
        <v>329</v>
      </c>
      <c r="C3" s="70">
        <f>C2*0.15</f>
        <v>1200</v>
      </c>
      <c r="D3" s="66">
        <f>120*1200</f>
        <v>144000</v>
      </c>
      <c r="E3" s="66"/>
      <c r="F3" s="67" t="s">
        <v>330</v>
      </c>
      <c r="G3" t="s">
        <v>331</v>
      </c>
      <c r="H3" t="s">
        <v>332</v>
      </c>
      <c r="I3" s="68" t="s">
        <v>333</v>
      </c>
    </row>
    <row r="4" spans="1:9" ht="17">
      <c r="A4" s="154" t="s">
        <v>334</v>
      </c>
      <c r="B4" s="65" t="s">
        <v>335</v>
      </c>
      <c r="C4" s="66">
        <f>C3/4</f>
        <v>300</v>
      </c>
      <c r="D4" s="66"/>
      <c r="E4" s="66"/>
      <c r="F4" s="67"/>
      <c r="G4" t="s">
        <v>336</v>
      </c>
      <c r="H4" t="s">
        <v>332</v>
      </c>
      <c r="I4" s="68" t="s">
        <v>337</v>
      </c>
    </row>
    <row r="5" spans="1:9">
      <c r="A5" s="155"/>
      <c r="B5" s="65" t="s">
        <v>338</v>
      </c>
      <c r="C5" s="66">
        <f>ROUNDDOWN((C2-C3)*0.103, 0)</f>
        <v>700</v>
      </c>
      <c r="D5" s="66"/>
      <c r="E5" s="66"/>
      <c r="F5" s="67"/>
    </row>
    <row r="6" spans="1:9" ht="18" thickBot="1">
      <c r="A6" s="156"/>
      <c r="B6" s="71" t="s">
        <v>339</v>
      </c>
      <c r="C6" s="72">
        <v>200</v>
      </c>
      <c r="D6" s="72" t="s">
        <v>340</v>
      </c>
      <c r="E6" s="72"/>
      <c r="F6" s="73"/>
    </row>
    <row r="7" spans="1:9" ht="15.75" customHeight="1">
      <c r="A7" s="157" t="s">
        <v>341</v>
      </c>
      <c r="B7" s="74" t="s">
        <v>342</v>
      </c>
      <c r="C7" s="75">
        <v>1200</v>
      </c>
      <c r="D7" s="74"/>
      <c r="E7" s="74"/>
      <c r="F7" s="76" t="s">
        <v>343</v>
      </c>
      <c r="G7">
        <v>1180</v>
      </c>
      <c r="H7">
        <v>1050</v>
      </c>
      <c r="I7" t="s">
        <v>344</v>
      </c>
    </row>
    <row r="8" spans="1:9">
      <c r="A8" s="158"/>
      <c r="B8" s="77" t="s">
        <v>345</v>
      </c>
      <c r="C8" s="78">
        <v>1500</v>
      </c>
      <c r="D8" s="77"/>
      <c r="E8" s="77"/>
      <c r="F8" s="79" t="s">
        <v>346</v>
      </c>
      <c r="G8">
        <v>1000</v>
      </c>
      <c r="H8">
        <v>1000</v>
      </c>
      <c r="I8" t="s">
        <v>347</v>
      </c>
    </row>
    <row r="9" spans="1:9">
      <c r="A9" s="158"/>
      <c r="B9" s="77" t="s">
        <v>348</v>
      </c>
      <c r="C9" s="80">
        <f>C8*C7</f>
        <v>1800000</v>
      </c>
      <c r="D9" s="81"/>
      <c r="E9" s="77"/>
      <c r="F9" s="79"/>
    </row>
    <row r="10" spans="1:9">
      <c r="A10" s="82" t="s">
        <v>349</v>
      </c>
      <c r="B10" s="83">
        <v>0.18</v>
      </c>
      <c r="C10" s="80">
        <f>C9*B10</f>
        <v>324000</v>
      </c>
      <c r="D10" s="77"/>
      <c r="E10" s="77"/>
      <c r="F10" s="79"/>
    </row>
    <row r="11" spans="1:9">
      <c r="A11" s="82" t="s">
        <v>350</v>
      </c>
      <c r="B11" s="83">
        <v>0.12</v>
      </c>
      <c r="C11" s="80">
        <f>C10*B11/B10</f>
        <v>216000</v>
      </c>
      <c r="D11" s="77"/>
      <c r="E11" s="77"/>
      <c r="F11" s="159" t="s">
        <v>351</v>
      </c>
      <c r="G11">
        <v>820</v>
      </c>
      <c r="H11">
        <v>820</v>
      </c>
      <c r="I11" t="s">
        <v>352</v>
      </c>
    </row>
    <row r="12" spans="1:9" ht="17" thickBot="1">
      <c r="A12" s="84" t="s">
        <v>353</v>
      </c>
      <c r="B12" s="85">
        <v>0.06</v>
      </c>
      <c r="C12" s="86">
        <f>C10-C11</f>
        <v>108000</v>
      </c>
      <c r="D12" s="87"/>
      <c r="E12" s="87"/>
      <c r="F12" s="160"/>
      <c r="G12">
        <f>G11*1.18</f>
        <v>967.59999999999991</v>
      </c>
      <c r="H12">
        <f>H11*1.05</f>
        <v>861</v>
      </c>
      <c r="I12" t="s">
        <v>354</v>
      </c>
    </row>
    <row r="13" spans="1:9" ht="15" customHeight="1">
      <c r="A13" s="161" t="s">
        <v>355</v>
      </c>
      <c r="B13" s="88" t="s">
        <v>356</v>
      </c>
      <c r="C13" s="89">
        <f>C7*0.05</f>
        <v>60</v>
      </c>
      <c r="D13" s="90"/>
      <c r="E13" s="90"/>
      <c r="F13" s="91"/>
      <c r="G13">
        <v>100</v>
      </c>
      <c r="H13" t="s">
        <v>357</v>
      </c>
      <c r="I13" t="s">
        <v>358</v>
      </c>
    </row>
    <row r="14" spans="1:9">
      <c r="A14" s="162"/>
      <c r="B14" s="92" t="s">
        <v>359</v>
      </c>
      <c r="C14" s="93">
        <v>400</v>
      </c>
      <c r="D14" s="65"/>
      <c r="E14" s="65"/>
      <c r="F14" s="94" t="s">
        <v>360</v>
      </c>
      <c r="G14">
        <f>20*1.18</f>
        <v>23.599999999999998</v>
      </c>
      <c r="H14">
        <v>23.6</v>
      </c>
      <c r="I14" t="s">
        <v>115</v>
      </c>
    </row>
    <row r="15" spans="1:9" ht="17" thickBot="1">
      <c r="A15" s="163"/>
      <c r="B15" s="92" t="s">
        <v>361</v>
      </c>
      <c r="C15" s="93">
        <f>C14*C13</f>
        <v>24000</v>
      </c>
      <c r="D15" s="65"/>
      <c r="E15" s="65"/>
      <c r="F15" s="95"/>
    </row>
    <row r="16" spans="1:9">
      <c r="A16" s="96" t="s">
        <v>362</v>
      </c>
      <c r="B16" s="97">
        <v>1</v>
      </c>
      <c r="C16" s="93">
        <v>24000</v>
      </c>
      <c r="D16" s="65"/>
      <c r="E16" s="65"/>
      <c r="F16" s="94" t="s">
        <v>363</v>
      </c>
    </row>
    <row r="17" spans="1:21">
      <c r="A17" s="98" t="s">
        <v>364</v>
      </c>
      <c r="B17" s="97">
        <v>0.626</v>
      </c>
      <c r="C17" s="93">
        <f>C16*B17</f>
        <v>15024</v>
      </c>
      <c r="D17" s="65"/>
      <c r="E17" s="65"/>
      <c r="F17" s="94" t="s">
        <v>365</v>
      </c>
      <c r="G17">
        <f>SUM(G12:G14)</f>
        <v>1091.1999999999998</v>
      </c>
      <c r="H17">
        <f>SUM(H12:H14)</f>
        <v>884.6</v>
      </c>
    </row>
    <row r="18" spans="1:21" ht="17" thickBot="1">
      <c r="A18" s="99" t="s">
        <v>353</v>
      </c>
      <c r="B18" s="100">
        <v>0.374</v>
      </c>
      <c r="C18" s="101">
        <f>C16-C17</f>
        <v>8976</v>
      </c>
      <c r="D18" s="71"/>
      <c r="E18" s="71"/>
      <c r="F18" s="102" t="s">
        <v>366</v>
      </c>
      <c r="G18">
        <f>G7-G17</f>
        <v>88.800000000000182</v>
      </c>
      <c r="H18">
        <f>H7-H17</f>
        <v>165.39999999999998</v>
      </c>
      <c r="I18" t="s">
        <v>367</v>
      </c>
      <c r="M18">
        <v>10</v>
      </c>
      <c r="N18">
        <v>12</v>
      </c>
      <c r="O18">
        <v>7</v>
      </c>
      <c r="P18">
        <f>O18*N18*M18</f>
        <v>840</v>
      </c>
    </row>
    <row r="19" spans="1:21" ht="15" customHeight="1">
      <c r="A19" s="164" t="s">
        <v>368</v>
      </c>
      <c r="B19" s="103" t="s">
        <v>369</v>
      </c>
      <c r="C19" s="104">
        <v>120</v>
      </c>
      <c r="D19" s="103"/>
      <c r="E19" s="103"/>
      <c r="F19" s="105" t="s">
        <v>370</v>
      </c>
      <c r="G19">
        <v>28.8</v>
      </c>
      <c r="H19">
        <v>5.4</v>
      </c>
      <c r="I19" t="s">
        <v>371</v>
      </c>
    </row>
    <row r="20" spans="1:21">
      <c r="A20" s="158"/>
      <c r="B20" s="77" t="s">
        <v>359</v>
      </c>
      <c r="C20" s="80">
        <v>250</v>
      </c>
      <c r="D20" s="77"/>
      <c r="E20" s="77"/>
      <c r="F20" s="79"/>
      <c r="G20">
        <f>G18-G19</f>
        <v>60.000000000000185</v>
      </c>
      <c r="H20">
        <v>60</v>
      </c>
      <c r="I20" t="s">
        <v>372</v>
      </c>
    </row>
    <row r="21" spans="1:21" ht="15" customHeight="1">
      <c r="A21" s="158"/>
      <c r="B21" s="77" t="s">
        <v>348</v>
      </c>
      <c r="C21" s="80">
        <f>C20*C19</f>
        <v>30000</v>
      </c>
      <c r="D21" s="77"/>
      <c r="E21" s="77"/>
      <c r="F21" s="79" t="s">
        <v>373</v>
      </c>
    </row>
    <row r="22" spans="1:21">
      <c r="A22" s="82" t="s">
        <v>349</v>
      </c>
      <c r="B22" s="83">
        <v>0.12</v>
      </c>
      <c r="C22" s="80">
        <f>C21*B22</f>
        <v>3600</v>
      </c>
      <c r="D22" s="77"/>
      <c r="E22" s="77"/>
      <c r="F22" s="79"/>
      <c r="G22">
        <v>1100</v>
      </c>
      <c r="H22" t="s">
        <v>374</v>
      </c>
    </row>
    <row r="23" spans="1:21">
      <c r="A23" s="82" t="s">
        <v>350</v>
      </c>
      <c r="B23" s="83">
        <v>0.06</v>
      </c>
      <c r="C23" s="80">
        <f>C22*B23/B22</f>
        <v>1800</v>
      </c>
      <c r="D23" s="77"/>
      <c r="E23" s="77"/>
      <c r="F23" s="159" t="s">
        <v>375</v>
      </c>
      <c r="G23" t="s">
        <v>376</v>
      </c>
      <c r="H23" t="s">
        <v>377</v>
      </c>
    </row>
    <row r="24" spans="1:21" ht="17" thickBot="1">
      <c r="A24" s="106" t="s">
        <v>353</v>
      </c>
      <c r="B24" s="107">
        <v>0.06</v>
      </c>
      <c r="C24" s="108">
        <f>C22-C23</f>
        <v>1800</v>
      </c>
      <c r="D24" s="109"/>
      <c r="E24" s="109"/>
      <c r="F24" s="165"/>
      <c r="G24">
        <v>1</v>
      </c>
      <c r="H24">
        <v>100</v>
      </c>
      <c r="I24" t="s">
        <v>378</v>
      </c>
    </row>
    <row r="25" spans="1:21" ht="15" customHeight="1">
      <c r="A25" s="147" t="s">
        <v>379</v>
      </c>
      <c r="B25" s="90" t="s">
        <v>380</v>
      </c>
      <c r="C25" s="110"/>
      <c r="D25" s="110">
        <v>2000</v>
      </c>
      <c r="E25" s="111">
        <f>D25*5</f>
        <v>10000</v>
      </c>
      <c r="F25" s="112" t="s">
        <v>381</v>
      </c>
      <c r="G25">
        <v>2</v>
      </c>
      <c r="H25">
        <v>170</v>
      </c>
      <c r="I25" t="s">
        <v>382</v>
      </c>
    </row>
    <row r="26" spans="1:21">
      <c r="A26" s="148"/>
      <c r="B26" s="65" t="s">
        <v>383</v>
      </c>
      <c r="C26" s="93"/>
      <c r="D26" s="113">
        <v>2000</v>
      </c>
      <c r="E26" s="93">
        <f>D26*5</f>
        <v>10000</v>
      </c>
      <c r="F26" s="94" t="s">
        <v>384</v>
      </c>
      <c r="G26">
        <v>3</v>
      </c>
      <c r="H26">
        <v>240</v>
      </c>
      <c r="I26" t="s">
        <v>385</v>
      </c>
    </row>
    <row r="27" spans="1:21" ht="15" customHeight="1">
      <c r="A27" s="148"/>
      <c r="B27" s="65" t="s">
        <v>348</v>
      </c>
      <c r="C27" s="93"/>
      <c r="D27" s="93">
        <f>D26*D25</f>
        <v>4000000</v>
      </c>
      <c r="E27" s="93">
        <f t="shared" ref="E27:E30" si="0">D27*5</f>
        <v>20000000</v>
      </c>
      <c r="F27" s="94"/>
      <c r="G27">
        <v>4</v>
      </c>
      <c r="H27">
        <v>310</v>
      </c>
    </row>
    <row r="28" spans="1:21">
      <c r="A28" s="98" t="s">
        <v>349</v>
      </c>
      <c r="B28" s="97">
        <v>0.18</v>
      </c>
      <c r="C28" s="93"/>
      <c r="D28" s="93">
        <f>D27*B28</f>
        <v>720000</v>
      </c>
      <c r="E28" s="93">
        <f t="shared" si="0"/>
        <v>3600000</v>
      </c>
      <c r="F28" s="94"/>
      <c r="G28">
        <v>5</v>
      </c>
      <c r="H28">
        <v>380</v>
      </c>
    </row>
    <row r="29" spans="1:21">
      <c r="A29" s="98" t="s">
        <v>386</v>
      </c>
      <c r="B29" s="97">
        <v>0.06</v>
      </c>
      <c r="C29" s="93"/>
      <c r="D29" s="93">
        <f>D27*B29</f>
        <v>240000</v>
      </c>
      <c r="E29" s="93">
        <f t="shared" si="0"/>
        <v>1200000</v>
      </c>
      <c r="F29" s="149" t="s">
        <v>387</v>
      </c>
      <c r="G29">
        <v>6</v>
      </c>
      <c r="H29">
        <v>450</v>
      </c>
    </row>
    <row r="30" spans="1:21" ht="17" thickBot="1">
      <c r="A30" s="114" t="s">
        <v>388</v>
      </c>
      <c r="B30" s="115">
        <v>0.12</v>
      </c>
      <c r="C30" s="116"/>
      <c r="D30" s="116">
        <f>D28-D29</f>
        <v>480000</v>
      </c>
      <c r="E30" s="117">
        <f t="shared" si="0"/>
        <v>2400000</v>
      </c>
      <c r="F30" s="150"/>
      <c r="G30">
        <v>7</v>
      </c>
      <c r="H30">
        <v>520</v>
      </c>
      <c r="T30">
        <v>10500000</v>
      </c>
      <c r="U30">
        <f>T30/T31</f>
        <v>600</v>
      </c>
    </row>
    <row r="31" spans="1:21">
      <c r="A31" s="147" t="s">
        <v>389</v>
      </c>
      <c r="B31" s="118" t="s">
        <v>390</v>
      </c>
      <c r="C31" s="110"/>
      <c r="D31" s="110">
        <v>1</v>
      </c>
      <c r="E31" s="111">
        <f>D31*7</f>
        <v>7</v>
      </c>
      <c r="F31" s="91" t="s">
        <v>391</v>
      </c>
      <c r="H31" s="119"/>
      <c r="J31">
        <f>((1500*2000)+(500*200))/(2100)</f>
        <v>1476.1904761904761</v>
      </c>
      <c r="T31" s="120">
        <v>17500</v>
      </c>
      <c r="U31">
        <f>U30/70</f>
        <v>8.5714285714285712</v>
      </c>
    </row>
    <row r="32" spans="1:21" ht="17" thickBot="1">
      <c r="A32" s="151"/>
      <c r="B32" s="121" t="s">
        <v>392</v>
      </c>
      <c r="C32" s="122"/>
      <c r="D32" s="122">
        <v>35000</v>
      </c>
      <c r="E32" s="122">
        <f>D32*7</f>
        <v>245000</v>
      </c>
      <c r="F32" s="102"/>
      <c r="G32">
        <f>D32*10*0.5</f>
        <v>175000</v>
      </c>
      <c r="U32">
        <f>U31*T30</f>
        <v>90000000</v>
      </c>
    </row>
    <row r="33" spans="1:9" ht="17" thickBot="1">
      <c r="A33" s="152" t="s">
        <v>393</v>
      </c>
      <c r="B33" s="153"/>
      <c r="C33" s="123">
        <f>C24+C18+C12</f>
        <v>118776</v>
      </c>
      <c r="D33" s="123"/>
      <c r="E33" s="123"/>
      <c r="F33" s="124" t="s">
        <v>394</v>
      </c>
      <c r="G33">
        <v>8</v>
      </c>
      <c r="H33">
        <v>590</v>
      </c>
    </row>
    <row r="34" spans="1:9" ht="17">
      <c r="A34" s="125" t="s">
        <v>395</v>
      </c>
      <c r="B34" s="126" t="s">
        <v>396</v>
      </c>
      <c r="C34" s="127">
        <f>C24+C18+C12</f>
        <v>118776</v>
      </c>
      <c r="D34" s="127">
        <f>(C34+D32*0.3)*10+(D30)</f>
        <v>1772760</v>
      </c>
      <c r="E34" s="127">
        <f t="shared" ref="E34:E39" si="1">D34*7</f>
        <v>12409320</v>
      </c>
      <c r="F34" s="126" t="s">
        <v>397</v>
      </c>
      <c r="G34">
        <v>9</v>
      </c>
      <c r="H34">
        <v>660</v>
      </c>
    </row>
    <row r="35" spans="1:9" ht="34">
      <c r="A35" s="65" t="s">
        <v>398</v>
      </c>
      <c r="B35" s="128" t="s">
        <v>399</v>
      </c>
      <c r="C35" s="129">
        <f>C24+C18+C12</f>
        <v>118776</v>
      </c>
      <c r="D35" s="129">
        <f>(C35+D32*0.3)*20+(D30)</f>
        <v>3065520</v>
      </c>
      <c r="E35" s="127">
        <f t="shared" si="1"/>
        <v>21458640</v>
      </c>
      <c r="F35" s="126" t="s">
        <v>400</v>
      </c>
      <c r="G35">
        <v>10</v>
      </c>
      <c r="H35">
        <v>730</v>
      </c>
    </row>
    <row r="36" spans="1:9" ht="34">
      <c r="A36" s="65" t="s">
        <v>401</v>
      </c>
      <c r="B36" s="128" t="s">
        <v>402</v>
      </c>
      <c r="C36" s="129">
        <f>C24+C18+C12</f>
        <v>118776</v>
      </c>
      <c r="D36" s="129">
        <f>(C36+D32*0.3)*30+(D30)</f>
        <v>4358280</v>
      </c>
      <c r="E36" s="127">
        <f t="shared" si="1"/>
        <v>30507960</v>
      </c>
      <c r="F36" s="126" t="s">
        <v>403</v>
      </c>
      <c r="G36">
        <v>11</v>
      </c>
      <c r="H36">
        <v>800</v>
      </c>
    </row>
    <row r="37" spans="1:9" ht="34">
      <c r="A37" s="65" t="s">
        <v>404</v>
      </c>
      <c r="B37" s="128" t="s">
        <v>405</v>
      </c>
      <c r="C37" s="129">
        <f>C24+C18+C12</f>
        <v>118776</v>
      </c>
      <c r="D37" s="129">
        <f>(C37+D32*0.3)*40+(D30)</f>
        <v>5651040</v>
      </c>
      <c r="E37" s="127">
        <f t="shared" si="1"/>
        <v>39557280</v>
      </c>
      <c r="F37" s="126" t="s">
        <v>406</v>
      </c>
      <c r="G37">
        <v>12</v>
      </c>
      <c r="H37">
        <v>870</v>
      </c>
      <c r="I37" t="s">
        <v>407</v>
      </c>
    </row>
    <row r="38" spans="1:9" ht="34">
      <c r="A38" s="65" t="s">
        <v>408</v>
      </c>
      <c r="B38" s="128" t="s">
        <v>409</v>
      </c>
      <c r="C38" s="129">
        <f>C24+C18+C12</f>
        <v>118776</v>
      </c>
      <c r="D38" s="129">
        <f>(C38+D32*0.3)*50+(D30)</f>
        <v>6943800</v>
      </c>
      <c r="E38" s="127">
        <f t="shared" si="1"/>
        <v>48606600</v>
      </c>
      <c r="F38" s="126" t="s">
        <v>410</v>
      </c>
      <c r="H38">
        <f>H37*G22</f>
        <v>957000</v>
      </c>
      <c r="I38" t="s">
        <v>411</v>
      </c>
    </row>
    <row r="39" spans="1:9" ht="17">
      <c r="A39" s="65" t="s">
        <v>412</v>
      </c>
      <c r="B39" s="128" t="s">
        <v>413</v>
      </c>
      <c r="C39" s="129">
        <f>C24+C18+C12</f>
        <v>118776</v>
      </c>
      <c r="D39" s="129">
        <f>(C38+D32*0.3)*60+(D30)</f>
        <v>8236560</v>
      </c>
      <c r="E39" s="127">
        <f t="shared" si="1"/>
        <v>57655920</v>
      </c>
      <c r="F39" s="126" t="s">
        <v>414</v>
      </c>
      <c r="H39">
        <f>H38*2</f>
        <v>1914000</v>
      </c>
      <c r="I39" t="s">
        <v>415</v>
      </c>
    </row>
    <row r="40" spans="1:9" s="130" customFormat="1" ht="17">
      <c r="A40" s="128" t="s">
        <v>416</v>
      </c>
      <c r="B40" s="128" t="s">
        <v>417</v>
      </c>
      <c r="C40" s="93">
        <f>C24+C18+C12</f>
        <v>118776</v>
      </c>
      <c r="D40" s="93">
        <f>D39*2</f>
        <v>16473120</v>
      </c>
      <c r="E40" s="93">
        <f>E39*2</f>
        <v>115311840</v>
      </c>
      <c r="F40" s="126" t="s">
        <v>418</v>
      </c>
      <c r="H40" s="93">
        <f>H39*1500*0.02</f>
        <v>57420000</v>
      </c>
      <c r="I40" t="s">
        <v>419</v>
      </c>
    </row>
    <row r="41" spans="1:9" ht="17">
      <c r="A41" s="128" t="s">
        <v>420</v>
      </c>
      <c r="B41" s="128" t="s">
        <v>421</v>
      </c>
      <c r="C41" s="129">
        <f>C24+C18+C12</f>
        <v>118776</v>
      </c>
      <c r="D41" s="129">
        <f>D39*4</f>
        <v>32946240</v>
      </c>
      <c r="E41" s="129">
        <f>E40*2</f>
        <v>230623680</v>
      </c>
      <c r="F41" s="126" t="s">
        <v>422</v>
      </c>
      <c r="H41">
        <f>870*1100</f>
        <v>957000</v>
      </c>
      <c r="I41" t="s">
        <v>423</v>
      </c>
    </row>
    <row r="42" spans="1:9">
      <c r="A42" s="131" t="s">
        <v>424</v>
      </c>
      <c r="B42" s="131" t="s">
        <v>425</v>
      </c>
      <c r="C42" s="132">
        <f>C24+C18+C12</f>
        <v>118776</v>
      </c>
      <c r="D42" s="132">
        <f>D39*6</f>
        <v>49419360</v>
      </c>
      <c r="E42" s="132">
        <f>E39*6+(E30)+(E30)</f>
        <v>350735520</v>
      </c>
      <c r="F42" s="133" t="s">
        <v>426</v>
      </c>
    </row>
    <row r="43" spans="1:9">
      <c r="A43" s="2"/>
      <c r="B43" s="2"/>
      <c r="C43" s="134"/>
      <c r="D43" s="134"/>
      <c r="E43" s="134"/>
      <c r="F43" s="2"/>
    </row>
    <row r="44" spans="1:9">
      <c r="A44" s="2"/>
      <c r="B44" s="2"/>
      <c r="C44" s="134"/>
      <c r="D44" s="134"/>
      <c r="E44" s="134"/>
      <c r="F44" s="2"/>
    </row>
    <row r="45" spans="1:9">
      <c r="A45" s="2"/>
      <c r="B45" s="2"/>
      <c r="C45" s="134"/>
      <c r="D45" s="134"/>
      <c r="E45" s="134"/>
      <c r="F45" s="2"/>
    </row>
  </sheetData>
  <mergeCells count="10">
    <mergeCell ref="A25:A27"/>
    <mergeCell ref="F29:F30"/>
    <mergeCell ref="A31:A32"/>
    <mergeCell ref="A33:B33"/>
    <mergeCell ref="A4:A6"/>
    <mergeCell ref="A7:A9"/>
    <mergeCell ref="F11:F12"/>
    <mergeCell ref="A13:A15"/>
    <mergeCell ref="A19:A21"/>
    <mergeCell ref="F23:F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MFI</vt:lpstr>
      <vt:lpstr>Consumer acquisition</vt:lpstr>
      <vt:lpstr>Merchant Acquisition</vt:lpstr>
      <vt:lpstr>Support</vt:lpstr>
      <vt:lpstr>Sakal Financials</vt:lpstr>
      <vt:lpstr>Financial Summary for Deck</vt:lpstr>
      <vt:lpstr>Consumer count per city</vt:lpstr>
      <vt:lpstr>Consumer by City</vt:lpstr>
      <vt:lpstr>Updated sales</vt:lpstr>
      <vt:lpstr>Sheet2</vt:lpstr>
      <vt:lpstr>Sheet3</vt:lpstr>
      <vt:lpstr>Financial Summary Deck - 10 oct</vt:lpstr>
      <vt:lpstr>Sakal Financials 10 oct</vt:lpstr>
      <vt:lpstr>Financial Summary Deck - 17 oct</vt:lpstr>
      <vt:lpstr>P&amp;Cs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2021-09-11T12:12:59Z</dcterms:created>
  <dcterms:modified xsi:type="dcterms:W3CDTF">2021-10-19T10:48:24Z</dcterms:modified>
</cp:coreProperties>
</file>