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oozeShare\WAIU MVP\"/>
    </mc:Choice>
  </mc:AlternateContent>
  <bookViews>
    <workbookView xWindow="0" yWindow="0" windowWidth="20490" windowHeight="7755"/>
  </bookViews>
  <sheets>
    <sheet name="Earning - By month &amp; phases" sheetId="6" r:id="rId1"/>
    <sheet name="Expenses - Old2" sheetId="10" r:id="rId2"/>
    <sheet name="Points Old" sheetId="13" r:id="rId3"/>
    <sheet name="Budgeting" sheetId="5" r:id="rId4"/>
    <sheet name="Activity list" sheetId="4" r:id="rId5"/>
    <sheet name="Open Queries" sheetId="1" r:id="rId6"/>
    <sheet name="Legal Age Of Buying Alcohol" sheetId="2" r:id="rId7"/>
    <sheet name="Expenses" sheetId="7" r:id="rId8"/>
    <sheet name="Budgeting Copy" sheetId="9" r:id="rId9"/>
    <sheet name="Points + Cash" sheetId="14" r:id="rId10"/>
    <sheet name="Expenses - Deck" sheetId="15" r:id="rId11"/>
    <sheet name="Expenses - Deck (2)" sheetId="16" r:id="rId12"/>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6" l="1"/>
  <c r="C18" i="6"/>
  <c r="C17" i="6"/>
  <c r="C16" i="6"/>
  <c r="E34" i="16" l="1"/>
  <c r="E40" i="15" l="1"/>
  <c r="E22" i="16" l="1"/>
  <c r="E23" i="16"/>
  <c r="E24" i="16"/>
  <c r="E25" i="16"/>
  <c r="E26" i="16"/>
  <c r="E27" i="16"/>
  <c r="E4" i="16"/>
  <c r="E33" i="16"/>
  <c r="E32" i="16"/>
  <c r="E20" i="16"/>
  <c r="E9" i="16"/>
  <c r="E8" i="16"/>
  <c r="E7" i="16"/>
  <c r="E3" i="16"/>
  <c r="E7" i="15"/>
  <c r="E6" i="15"/>
  <c r="E46" i="15"/>
  <c r="D45" i="15"/>
  <c r="E45" i="15" s="1"/>
  <c r="E39" i="15"/>
  <c r="E41" i="15" s="1"/>
  <c r="E37" i="15"/>
  <c r="E36" i="15"/>
  <c r="E34" i="15"/>
  <c r="E28" i="15"/>
  <c r="E27" i="15"/>
  <c r="E26" i="15"/>
  <c r="E25" i="15"/>
  <c r="E24" i="15"/>
  <c r="E23" i="15"/>
  <c r="E22" i="15"/>
  <c r="E21" i="15"/>
  <c r="E20" i="15"/>
  <c r="E19" i="15"/>
  <c r="E29" i="15" s="1"/>
  <c r="E18" i="15"/>
  <c r="E17" i="15"/>
  <c r="E16" i="15"/>
  <c r="E15" i="15"/>
  <c r="E14" i="15"/>
  <c r="E10" i="15"/>
  <c r="D9" i="15"/>
  <c r="E9" i="15" s="1"/>
  <c r="E8" i="15"/>
  <c r="E5" i="15"/>
  <c r="E4" i="15"/>
  <c r="E3" i="15"/>
  <c r="E30" i="15" l="1"/>
  <c r="E31" i="15" s="1"/>
  <c r="E42" i="15" s="1"/>
  <c r="E39" i="16"/>
  <c r="E28" i="16"/>
  <c r="E29" i="16" s="1"/>
  <c r="E30" i="16" s="1"/>
  <c r="E11" i="16"/>
  <c r="E11" i="15"/>
  <c r="E23" i="10"/>
  <c r="E40" i="16" l="1"/>
  <c r="E41" i="16" s="1"/>
  <c r="E43" i="15"/>
  <c r="H11" i="6"/>
  <c r="H18" i="6" s="1"/>
  <c r="H19" i="6" s="1"/>
  <c r="G11" i="6"/>
  <c r="G18" i="6" s="1"/>
  <c r="G19" i="6" s="1"/>
  <c r="G21" i="6" s="1"/>
  <c r="G13" i="6"/>
  <c r="F20" i="14"/>
  <c r="F19" i="14"/>
  <c r="F18" i="14"/>
  <c r="F17" i="14"/>
  <c r="F16" i="14"/>
  <c r="E27" i="6" l="1"/>
  <c r="E26" i="6"/>
  <c r="D28" i="6"/>
  <c r="E28" i="6" s="1"/>
  <c r="E10" i="10"/>
  <c r="E8" i="10"/>
  <c r="E5" i="10"/>
  <c r="E4" i="10"/>
  <c r="E3" i="10"/>
  <c r="D30" i="6" l="1"/>
  <c r="E30" i="6" s="1"/>
  <c r="D29" i="6"/>
  <c r="E29" i="6" s="1"/>
  <c r="F37" i="5"/>
  <c r="F42" i="5"/>
  <c r="E42" i="5"/>
  <c r="F41" i="5"/>
  <c r="F38" i="5"/>
  <c r="F39" i="5"/>
  <c r="F40" i="5"/>
  <c r="E41" i="5"/>
  <c r="E40" i="5"/>
  <c r="E39" i="5"/>
  <c r="E38" i="5"/>
  <c r="D31" i="6" l="1"/>
  <c r="E31" i="6" s="1"/>
  <c r="F20" i="13"/>
  <c r="F19" i="13"/>
  <c r="F18" i="13"/>
  <c r="F17" i="13"/>
  <c r="F16" i="13"/>
  <c r="E34" i="10" l="1"/>
  <c r="D9" i="10"/>
  <c r="E9" i="10" s="1"/>
  <c r="E11" i="10" s="1"/>
  <c r="E43" i="10"/>
  <c r="D42" i="10"/>
  <c r="E42" i="10" s="1"/>
  <c r="E37" i="10"/>
  <c r="E36" i="10"/>
  <c r="E35" i="10"/>
  <c r="E28" i="10"/>
  <c r="E27" i="10"/>
  <c r="E26" i="10"/>
  <c r="E25" i="10"/>
  <c r="E24" i="10"/>
  <c r="E22" i="10"/>
  <c r="E21" i="10"/>
  <c r="E20" i="10"/>
  <c r="E19" i="10"/>
  <c r="E18" i="10"/>
  <c r="E17" i="10"/>
  <c r="E16" i="10"/>
  <c r="E15" i="10"/>
  <c r="E14" i="10"/>
  <c r="E29" i="10" l="1"/>
  <c r="E30" i="10" s="1"/>
  <c r="E31" i="10" s="1"/>
  <c r="E38" i="10"/>
  <c r="F25" i="5"/>
  <c r="E24" i="5"/>
  <c r="D24" i="5"/>
  <c r="E25" i="5"/>
  <c r="D25" i="5"/>
  <c r="C25" i="5"/>
  <c r="C29" i="5"/>
  <c r="C11" i="9"/>
  <c r="C10" i="9"/>
  <c r="C9" i="9"/>
  <c r="C34" i="9"/>
  <c r="C20" i="9"/>
  <c r="C21" i="9" s="1"/>
  <c r="C15" i="9"/>
  <c r="C16" i="9" s="1"/>
  <c r="C13" i="9"/>
  <c r="C8" i="9"/>
  <c r="F1" i="9"/>
  <c r="H1" i="9" s="1"/>
  <c r="D49" i="7"/>
  <c r="D48" i="7"/>
  <c r="D47" i="7"/>
  <c r="D46" i="7"/>
  <c r="D45" i="7"/>
  <c r="D44" i="7"/>
  <c r="D43" i="7"/>
  <c r="B41" i="7"/>
  <c r="E39" i="10" l="1"/>
  <c r="E40" i="10" s="1"/>
  <c r="C22" i="9"/>
  <c r="C24" i="9" s="1"/>
  <c r="C44" i="9"/>
  <c r="D44" i="9" s="1"/>
  <c r="C3" i="6"/>
  <c r="C5" i="6" s="1"/>
  <c r="C20" i="5"/>
  <c r="C21" i="5" s="1"/>
  <c r="C13" i="5"/>
  <c r="C15" i="5" s="1"/>
  <c r="C16" i="5" s="1"/>
  <c r="C8" i="5"/>
  <c r="G36" i="4"/>
  <c r="D24" i="4"/>
  <c r="D30" i="4" s="1"/>
  <c r="D32" i="4" s="1"/>
  <c r="G21" i="4"/>
  <c r="G22" i="4" s="1"/>
  <c r="G17" i="4"/>
  <c r="G18" i="4" s="1"/>
  <c r="F15" i="4"/>
  <c r="G10" i="4"/>
  <c r="G11" i="4" s="1"/>
  <c r="C10" i="5" l="1"/>
  <c r="C9" i="5"/>
  <c r="C11" i="5"/>
  <c r="C28" i="9"/>
  <c r="C30" i="9" s="1"/>
  <c r="C25" i="9"/>
  <c r="C4" i="6"/>
  <c r="C6" i="6" s="1"/>
  <c r="C8" i="6" s="1"/>
  <c r="G23" i="4"/>
  <c r="G24" i="4" s="1"/>
  <c r="G12" i="4"/>
  <c r="G13" i="4"/>
  <c r="I13" i="4" s="1"/>
  <c r="C20" i="6" l="1"/>
  <c r="C12" i="6"/>
  <c r="C14" i="6" s="1"/>
  <c r="C9" i="6"/>
  <c r="H24" i="4"/>
  <c r="G26" i="4"/>
  <c r="G30" i="4"/>
  <c r="G32" i="4" s="1"/>
  <c r="C22" i="5"/>
  <c r="C10" i="6" l="1"/>
  <c r="C11" i="6" s="1"/>
  <c r="C22" i="6"/>
  <c r="C23" i="6" s="1"/>
  <c r="C24" i="5"/>
  <c r="C27" i="5" s="1"/>
  <c r="C24" i="6" l="1"/>
  <c r="C25" i="6" s="1"/>
  <c r="C33" i="6" s="1"/>
  <c r="D33" i="6" s="1"/>
  <c r="E33" i="6" s="1"/>
  <c r="C32" i="5"/>
  <c r="C34" i="5" s="1"/>
  <c r="C28" i="5"/>
  <c r="C35" i="6" l="1"/>
  <c r="D35" i="6" s="1"/>
  <c r="E35" i="6" s="1"/>
  <c r="C41" i="6"/>
  <c r="C38" i="6"/>
  <c r="C36" i="6"/>
  <c r="D36" i="6" s="1"/>
  <c r="E36" i="6" s="1"/>
  <c r="C37" i="6"/>
  <c r="D38" i="6" s="1"/>
  <c r="C34" i="6"/>
  <c r="D34" i="6" s="1"/>
  <c r="E34" i="6" s="1"/>
  <c r="C40" i="6"/>
  <c r="C39" i="6"/>
  <c r="C32" i="6"/>
  <c r="D37" i="6" l="1"/>
  <c r="E37" i="6" s="1"/>
  <c r="E38" i="6"/>
  <c r="D39" i="6"/>
  <c r="D40" i="6" s="1"/>
  <c r="D41" i="6"/>
  <c r="E41" i="6" l="1"/>
  <c r="E39" i="6"/>
  <c r="E40" i="6" s="1"/>
</calcChain>
</file>

<file path=xl/sharedStrings.xml><?xml version="1.0" encoding="utf-8"?>
<sst xmlns="http://schemas.openxmlformats.org/spreadsheetml/2006/main" count="908" uniqueCount="500">
  <si>
    <t>S. No.</t>
  </si>
  <si>
    <t>Open Query</t>
  </si>
  <si>
    <t>Andaman and Nicobar Islands</t>
  </si>
  <si>
    <t>Andhra Pradesh</t>
  </si>
  <si>
    <t>Arunachal Pradesh</t>
  </si>
  <si>
    <t>Assam</t>
  </si>
  <si>
    <t>Bihar</t>
  </si>
  <si>
    <t>Illegal</t>
  </si>
  <si>
    <t>Total ban on all alcohol since 4 April 2016[11]</t>
  </si>
  <si>
    <t>Chandigarh</t>
  </si>
  <si>
    <t>Chhattisgarh</t>
  </si>
  <si>
    <t>Dadra and Nagar Haveli and Daman and Diu</t>
  </si>
  <si>
    <t>Delhi</t>
  </si>
  <si>
    <t>Unspecified, However minimum legal age to purchase alcohol is 25.[13]</t>
  </si>
  <si>
    <t>Goa</t>
  </si>
  <si>
    <t>Gujarat</t>
  </si>
  <si>
    <r>
      <t>Non-Residents of Gujarat can apply for limited Liquor Permits. </t>
    </r>
    <r>
      <rPr>
        <sz val="11"/>
        <color rgb="FF0B0080"/>
        <rFont val="Arial"/>
        <family val="2"/>
      </rPr>
      <t>Banned since 1960</t>
    </r>
    <r>
      <rPr>
        <sz val="11"/>
        <color rgb="FF202122"/>
        <rFont val="Arial"/>
        <family val="2"/>
      </rPr>
      <t>.</t>
    </r>
    <r>
      <rPr>
        <vertAlign val="superscript"/>
        <sz val="8"/>
        <color rgb="FF0B0080"/>
        <rFont val="Arial"/>
        <family val="2"/>
      </rPr>
      <t>[15]</t>
    </r>
  </si>
  <si>
    <t>Haryana</t>
  </si>
  <si>
    <r>
      <t>The Punjab Excise Act, which also extends to Haryana,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</si>
  <si>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Himachal Pradesh</t>
  </si>
  <si>
    <t>Jammu and Kashmir</t>
  </si>
  <si>
    <t>Jharkhand</t>
  </si>
  <si>
    <t>Karnataka</t>
  </si>
  <si>
    <r>
      <t>Arrack</t>
    </r>
    <r>
      <rPr>
        <sz val="11"/>
        <color rgb="FF202122"/>
        <rFont val="Arial"/>
        <family val="2"/>
      </rPr>
      <t> has been banned in Karnataka since 1 July 2007.</t>
    </r>
    <r>
      <rPr>
        <vertAlign val="superscript"/>
        <sz val="8"/>
        <color rgb="FF0B0080"/>
        <rFont val="Arial"/>
        <family val="2"/>
      </rPr>
      <t>[23][24]</t>
    </r>
    <r>
      <rPr>
        <sz val="11"/>
        <color rgb="FF202122"/>
        <rFont val="Arial"/>
        <family val="2"/>
      </rPr>
      <t> The Karanataka Excise Department, 1967, stipulate that </t>
    </r>
    <r>
      <rPr>
        <i/>
        <sz val="11"/>
        <color rgb="FF202122"/>
        <rFont val="Arial"/>
        <family val="2"/>
      </rPr>
      <t>drinking</t>
    </r>
    <r>
      <rPr>
        <sz val="11"/>
        <color rgb="FF202122"/>
        <rFont val="Arial"/>
        <family val="2"/>
      </rPr>
      <t> age is 21. However, the Karnataka Excise Act, 1965, states 18 as the minimum age to </t>
    </r>
    <r>
      <rPr>
        <i/>
        <sz val="11"/>
        <color rgb="FF202122"/>
        <rFont val="Arial"/>
        <family val="2"/>
      </rPr>
      <t>purchase</t>
    </r>
    <r>
      <rPr>
        <sz val="11"/>
        <color rgb="FF202122"/>
        <rFont val="Arial"/>
        <family val="2"/>
      </rPr>
      <t> alcohol. The law is ambiguous and in practise many bars serve those above age 18 though a few bars refuse service to anyone below 21. </t>
    </r>
    <r>
      <rPr>
        <vertAlign val="superscript"/>
        <sz val="8"/>
        <color rgb="FF0B0080"/>
        <rFont val="Arial"/>
        <family val="2"/>
      </rPr>
      <t>[25][26]</t>
    </r>
  </si>
  <si>
    <t>Kerala</t>
  </si>
  <si>
    <r>
      <t>Kerala government has planned to implement prohibition of hard liquor in 10 years.</t>
    </r>
    <r>
      <rPr>
        <vertAlign val="superscript"/>
        <sz val="8"/>
        <color rgb="FF0B0080"/>
        <rFont val="Arial"/>
        <family val="2"/>
      </rPr>
      <t>[28][3]</t>
    </r>
  </si>
  <si>
    <t>Ladakh</t>
  </si>
  <si>
    <t>Lakshadweep</t>
  </si>
  <si>
    <r>
      <t>Illegal</t>
    </r>
    <r>
      <rPr>
        <vertAlign val="superscript"/>
        <sz val="8"/>
        <color rgb="FF0B0080"/>
        <rFont val="Arial"/>
        <family val="2"/>
      </rPr>
      <t>[10]</t>
    </r>
  </si>
  <si>
    <r>
      <t>Consumption is legal only on the resort island of </t>
    </r>
    <r>
      <rPr>
        <sz val="11"/>
        <color rgb="FF0B0080"/>
        <rFont val="Arial"/>
        <family val="2"/>
      </rPr>
      <t>Bangaram</t>
    </r>
    <r>
      <rPr>
        <sz val="11"/>
        <color rgb="FF202122"/>
        <rFont val="Arial"/>
        <family val="2"/>
      </rPr>
      <t>.</t>
    </r>
    <r>
      <rPr>
        <vertAlign val="superscript"/>
        <sz val="8"/>
        <color rgb="FF0B0080"/>
        <rFont val="Arial"/>
        <family val="2"/>
      </rPr>
      <t>[30]</t>
    </r>
  </si>
  <si>
    <t>Madhya Pradesh</t>
  </si>
  <si>
    <t>Maharashtra</t>
  </si>
  <si>
    <r>
      <t>In Maharashtra, a liquor licence obtained from a Government Civil Hospital is required to drink, although this is largely not enforced. Additionally, state legislature empowers district governments to ban alcohol entirely. As a result, three districts, </t>
    </r>
    <r>
      <rPr>
        <sz val="11"/>
        <color rgb="FF0B0080"/>
        <rFont val="Arial"/>
        <family val="2"/>
      </rPr>
      <t>Wardha</t>
    </r>
    <r>
      <rPr>
        <sz val="11"/>
        <color rgb="FF202122"/>
        <rFont val="Arial"/>
        <family val="2"/>
      </rPr>
      <t>, </t>
    </r>
    <r>
      <rPr>
        <sz val="11"/>
        <color rgb="FF0B0080"/>
        <rFont val="Arial"/>
        <family val="2"/>
      </rPr>
      <t>Gadchiroli</t>
    </r>
    <r>
      <rPr>
        <sz val="11"/>
        <color rgb="FF202122"/>
        <rFont val="Arial"/>
        <family val="2"/>
      </rPr>
      <t> and </t>
    </r>
    <r>
      <rPr>
        <sz val="11"/>
        <color rgb="FF0B0080"/>
        <rFont val="Arial"/>
        <family val="2"/>
      </rPr>
      <t>Chandrapur</t>
    </r>
    <r>
      <rPr>
        <sz val="11"/>
        <color rgb="FF202122"/>
        <rFont val="Arial"/>
        <family val="2"/>
      </rPr>
      <t> have imposed a total ban on the production and sale of alcohol.</t>
    </r>
  </si>
  <si>
    <t>Manipur</t>
  </si>
  <si>
    <r>
      <t>Partial prohibition since 2002, prohibited in the districts of </t>
    </r>
    <r>
      <rPr>
        <sz val="11"/>
        <color rgb="FF0B0080"/>
        <rFont val="Arial"/>
        <family val="2"/>
      </rPr>
      <t>Bishnupur</t>
    </r>
    <r>
      <rPr>
        <sz val="11"/>
        <color rgb="FF202122"/>
        <rFont val="Arial"/>
        <family val="2"/>
      </rPr>
      <t>, </t>
    </r>
    <r>
      <rPr>
        <sz val="11"/>
        <color rgb="FF0B0080"/>
        <rFont val="Arial"/>
        <family val="2"/>
      </rPr>
      <t>Imphal East</t>
    </r>
    <r>
      <rPr>
        <sz val="11"/>
        <color rgb="FF202122"/>
        <rFont val="Arial"/>
        <family val="2"/>
      </rPr>
      <t>, </t>
    </r>
    <r>
      <rPr>
        <sz val="11"/>
        <color rgb="FF0B0080"/>
        <rFont val="Arial"/>
        <family val="2"/>
      </rPr>
      <t>Imphal West</t>
    </r>
    <r>
      <rPr>
        <sz val="11"/>
        <color rgb="FF202122"/>
        <rFont val="Arial"/>
        <family val="2"/>
      </rPr>
      <t> and </t>
    </r>
    <r>
      <rPr>
        <sz val="11"/>
        <color rgb="FF0B0080"/>
        <rFont val="Arial"/>
        <family val="2"/>
      </rPr>
      <t>Thoubal</t>
    </r>
    <r>
      <rPr>
        <vertAlign val="superscript"/>
        <sz val="8"/>
        <color rgb="FF0B0080"/>
        <rFont val="Arial"/>
        <family val="2"/>
      </rPr>
      <t>[32]</t>
    </r>
  </si>
  <si>
    <t>Meghalaya</t>
  </si>
  <si>
    <t>Mizoram</t>
  </si>
  <si>
    <t>Illegal[34]</t>
  </si>
  <si>
    <t>Banned since 2019[35]</t>
  </si>
  <si>
    <t>Nagaland</t>
  </si>
  <si>
    <r>
      <t>Illegal</t>
    </r>
    <r>
      <rPr>
        <vertAlign val="superscript"/>
        <sz val="8"/>
        <color rgb="FF0B0080"/>
        <rFont val="Arial"/>
        <family val="2"/>
      </rPr>
      <t>[2]</t>
    </r>
  </si>
  <si>
    <t>Sale and consumption illegal since 1989.[36]</t>
  </si>
  <si>
    <t>Odisha</t>
  </si>
  <si>
    <t>Puducherry</t>
  </si>
  <si>
    <t>Punjab</t>
  </si>
  <si>
    <r>
      <t>The Punjab Excise Act prohibits establishments from employing "women in any part of such premises in which such liquor or intoxicating drug is consumed by the public".</t>
    </r>
    <r>
      <rPr>
        <vertAlign val="superscript"/>
        <sz val="8"/>
        <color rgb="FF0B0080"/>
        <rFont val="Arial"/>
        <family val="2"/>
      </rPr>
      <t>[16]</t>
    </r>
    <r>
      <rPr>
        <sz val="11"/>
        <color rgb="FF202122"/>
        <rFont val="Arial"/>
        <family val="2"/>
      </rPr>
      <t> Section 30 of the Punjab Excise Act has been declared unconstitutional by the Supreme Court of India on 12 December 2007, which was responsible for not allowing women to work in such premises.</t>
    </r>
    <r>
      <rPr>
        <vertAlign val="superscript"/>
        <sz val="8"/>
        <color rgb="FF0B0080"/>
        <rFont val="Arial"/>
        <family val="2"/>
      </rPr>
      <t>[17]</t>
    </r>
  </si>
  <si>
    <t>Rajasthan</t>
  </si>
  <si>
    <t>Sikkim</t>
  </si>
  <si>
    <t>Tamil Nadu</t>
  </si>
  <si>
    <t>Telangana</t>
  </si>
  <si>
    <t>Tripura</t>
  </si>
  <si>
    <t>Uttar Pradesh</t>
  </si>
  <si>
    <t>Section 22 [41]</t>
  </si>
  <si>
    <t>Uttarakhand</t>
  </si>
  <si>
    <t>West Bengal</t>
  </si>
  <si>
    <t>dd</t>
  </si>
  <si>
    <t>21 (beer) 25 (others)</t>
  </si>
  <si>
    <t>State</t>
  </si>
  <si>
    <t>Legal Drinking Age</t>
  </si>
  <si>
    <t>Comments</t>
  </si>
  <si>
    <t>Products for each age range to be defined</t>
  </si>
  <si>
    <t>What pain areas are we removing</t>
  </si>
  <si>
    <t>What is in it fo FL4</t>
  </si>
  <si>
    <t>What is in it fo FL3</t>
  </si>
  <si>
    <t>Finalize features of the FL3</t>
  </si>
  <si>
    <t>Finalize features of the FL4</t>
  </si>
  <si>
    <t>Geographic scope pf launch &amp; expansion</t>
  </si>
  <si>
    <t>FL3 selection criteria</t>
  </si>
  <si>
    <t>Future need</t>
  </si>
  <si>
    <t>FL3 upgrade criteria &amp; approach</t>
  </si>
  <si>
    <t>Delivery module features</t>
  </si>
  <si>
    <t>Delivery costing &amp; expectations</t>
  </si>
  <si>
    <t>Gaming &amp; probably another alternative?</t>
  </si>
  <si>
    <t>Earning model</t>
  </si>
  <si>
    <t>Point estimation for FL4 (min/max)</t>
  </si>
  <si>
    <t>Point estimation for FL3 (min/max)</t>
  </si>
  <si>
    <t>Finalize privacy control for each service</t>
  </si>
  <si>
    <t>Decision on membership tiers &amp; respective features</t>
  </si>
  <si>
    <t>Value per point decision</t>
  </si>
  <si>
    <t>Need to define signup targets (FL3/FL4)</t>
  </si>
  <si>
    <t>Identify top FL3s for each location per scope</t>
  </si>
  <si>
    <t>Define prospect to win ratio</t>
  </si>
  <si>
    <t>Decision needed on patent  - Go/No-Go</t>
  </si>
  <si>
    <t>Copyright plan</t>
  </si>
  <si>
    <t xml:space="preserve">Value per point decision, bonus pointing, </t>
  </si>
  <si>
    <t>Who to use for branding</t>
  </si>
  <si>
    <t>Goodle hangout concept</t>
  </si>
  <si>
    <t>Future consideration</t>
  </si>
  <si>
    <t>Budgeting</t>
  </si>
  <si>
    <t>Need Capex, Opex numbers</t>
  </si>
  <si>
    <t>How to simulate or do a usability study?</t>
  </si>
  <si>
    <t>Milestone bases timelines or time boxed milestones?</t>
  </si>
  <si>
    <t>Survey?</t>
  </si>
  <si>
    <t>Devil's advocate</t>
  </si>
  <si>
    <t>Why the app wont click? What are the weaknesses in it?</t>
  </si>
  <si>
    <t>How to drive coolness quotient of the app</t>
  </si>
  <si>
    <t>How to let friends bday be flagged</t>
  </si>
  <si>
    <t>Based on phone number or facebook connection?</t>
  </si>
  <si>
    <t>Finer elements</t>
  </si>
  <si>
    <t>Identify products &amp; segregate</t>
  </si>
  <si>
    <t>Look at each data field &amp; decide need to have</t>
  </si>
  <si>
    <t>Should we employ 3rd parties for Privacy &amp; security e.g. Sudesi, HackerOne?</t>
  </si>
  <si>
    <t>Artist registration to be proposed for events</t>
  </si>
  <si>
    <t>parallel need, can rent to others as well</t>
  </si>
  <si>
    <t>Notes</t>
  </si>
  <si>
    <t>Define all offers &amp; discounts on both sharing &amp; offers</t>
  </si>
  <si>
    <t>Keep it generic for now, regardless of age group
Existing features of sharing, offerring, chati, event org is enough for now</t>
  </si>
  <si>
    <t>Bonus for regular users, initial launch offers
define where to do what</t>
  </si>
  <si>
    <t>Event artist &amp; organizer registration</t>
  </si>
  <si>
    <t>3 day turnaround once ready</t>
  </si>
  <si>
    <t>Testing</t>
  </si>
  <si>
    <t>Rahul patil</t>
  </si>
  <si>
    <t>Gaming/chatting</t>
  </si>
  <si>
    <t>Raju patil</t>
  </si>
  <si>
    <t>UPI/Payment</t>
  </si>
  <si>
    <t>Sharing/Offer</t>
  </si>
  <si>
    <t>Another person</t>
  </si>
  <si>
    <t>Delivery module</t>
  </si>
  <si>
    <t>To someone</t>
  </si>
  <si>
    <t xml:space="preserve">Login to FL3, Menu edit, open for delivery, 
Cash on delivery?? Delivery time 40 mins hard SLA
FL4: Usual
FL3 - Punch a time and accept order, cook, start delivery, give tracking, phone discreet calling, feedback, quality &amp; standard agreement, SOP, courier to use minimum services from the app
branding - 
rating - 
association - </t>
  </si>
  <si>
    <t>Office space?</t>
  </si>
  <si>
    <t>Localization</t>
  </si>
  <si>
    <t>Delivery service, offer, event, providing artists, display, accounting service (wallet mgmt, payments by sharing/offer), dashboard, web based data extract,
Menu upload, editable food pricing, switch on/off, customer checkin, token service, yearly licence extension check, automated dry day notification (for admin too) - published on 1st April</t>
  </si>
  <si>
    <t>How to blacklist or stop serving from a suspended FL3</t>
  </si>
  <si>
    <t xml:space="preserve">Alok to fill &amp; share </t>
  </si>
  <si>
    <t>Related to monetization</t>
  </si>
  <si>
    <t>Metros &amp; cosmopolitans,</t>
  </si>
  <si>
    <t>No accredition process</t>
  </si>
  <si>
    <t>Breakdown by profit centers</t>
  </si>
  <si>
    <t>tbc</t>
  </si>
  <si>
    <t>need study</t>
  </si>
  <si>
    <t>30%?</t>
  </si>
  <si>
    <t>Raju Patil, Rahul Patil</t>
  </si>
  <si>
    <t>Information needed to raise it?</t>
  </si>
  <si>
    <t>survey?</t>
  </si>
  <si>
    <t xml:space="preserve">Product note by 15th June, then finalize the company (10 days), app 2 month, </t>
  </si>
  <si>
    <t>90 days launch target starting 13th June: 9 Sep</t>
  </si>
  <si>
    <t>Registration</t>
  </si>
  <si>
    <t>S. no.</t>
  </si>
  <si>
    <t>Activity</t>
  </si>
  <si>
    <t>Dependency</t>
  </si>
  <si>
    <t>Capital ratio decision</t>
  </si>
  <si>
    <t>Description</t>
  </si>
  <si>
    <t>VC aspect</t>
  </si>
  <si>
    <t>Need stats on quantum of business
Reserves needed for 1 year?</t>
  </si>
  <si>
    <t>Display aspect closure</t>
  </si>
  <si>
    <t>Logo, name, theme, vision, mission</t>
  </si>
  <si>
    <t>Formation</t>
  </si>
  <si>
    <t>Costing</t>
  </si>
  <si>
    <t>IT</t>
  </si>
  <si>
    <t>Admin</t>
  </si>
  <si>
    <r>
      <t xml:space="preserve">FL4 Reg:
- Self:    
- Share: 
- Offer:  
</t>
    </r>
    <r>
      <rPr>
        <sz val="11"/>
        <color rgb="FFFF0000"/>
        <rFont val="Calibri"/>
        <family val="2"/>
        <scheme val="minor"/>
      </rPr>
      <t>Point sharing costing?</t>
    </r>
    <r>
      <rPr>
        <sz val="11"/>
        <color theme="1"/>
        <rFont val="Calibri"/>
        <family val="2"/>
        <scheme val="minor"/>
      </rPr>
      <t xml:space="preserve">
FL3 Reg:
- </t>
    </r>
  </si>
  <si>
    <t>Coverage</t>
  </si>
  <si>
    <r>
      <t xml:space="preserve">
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P2: 
FL4: 
Phase 1: 
</t>
    </r>
    <r>
      <rPr>
        <sz val="11"/>
        <color rgb="FFFF0000"/>
        <rFont val="Calibri"/>
        <family val="2"/>
        <scheme val="minor"/>
      </rPr>
      <t xml:space="preserve">Delivery?
</t>
    </r>
  </si>
  <si>
    <t>Based on turnover (e.g. 3cr/y in KOP), rating (dineout/zomato)
seating capacity, lounge (y/n), FSSAI rating?, existing FL4 for the FL3 &gt;5k</t>
  </si>
  <si>
    <t>Sale</t>
  </si>
  <si>
    <t>Drink cost</t>
  </si>
  <si>
    <t>Customer count</t>
  </si>
  <si>
    <t>Existing FL3s 15% customer are retained of which we will target 25% i.e. 3.75% of total customers
Of the remaining 85%, we will target 10% i.e. 8.5% of total.
i.e. 12.25% Of their customer can be BS customers</t>
  </si>
  <si>
    <t>Total customer 10000</t>
  </si>
  <si>
    <t>Total sale</t>
  </si>
  <si>
    <t>Our earning 74%</t>
  </si>
  <si>
    <t>Sharing</t>
  </si>
  <si>
    <t>Delivery (10% customers)</t>
  </si>
  <si>
    <t>Offer 5%</t>
  </si>
  <si>
    <t>Average bill</t>
  </si>
  <si>
    <t>Total</t>
  </si>
  <si>
    <t>5% BS earning</t>
  </si>
  <si>
    <t>Total per FL3</t>
  </si>
  <si>
    <t>Pune</t>
  </si>
  <si>
    <t>Earning during firs 6 month is ignored</t>
  </si>
  <si>
    <t>Mumbai</t>
  </si>
  <si>
    <t>Bangalore</t>
  </si>
  <si>
    <t>Delhi/NCR</t>
  </si>
  <si>
    <t>Chennai</t>
  </si>
  <si>
    <t>Kolkata?</t>
  </si>
  <si>
    <t>10 city</t>
  </si>
  <si>
    <t>Growth 10% FL3 acquisition i.e. 3 per city</t>
  </si>
  <si>
    <t xml:space="preserve">5 per city per month </t>
  </si>
  <si>
    <t>30 FL3 per phase (5 more phases after initial phase)</t>
  </si>
  <si>
    <t>50 FL3</t>
  </si>
  <si>
    <t>50 FL3 in each city</t>
  </si>
  <si>
    <t>150 more after 5 phase</t>
  </si>
  <si>
    <t>200 after 3 years per city</t>
  </si>
  <si>
    <t>Total earning per month after Phase 1 i.e after 6 month
Total customer 1437~ 1400</t>
  </si>
  <si>
    <t>per person/per month</t>
  </si>
  <si>
    <t>Customer in pune - 200*1400 = 2.8L= 5% of population</t>
  </si>
  <si>
    <t>10 city 28L</t>
  </si>
  <si>
    <t>per month</t>
  </si>
  <si>
    <t>Capex</t>
  </si>
  <si>
    <t>App</t>
  </si>
  <si>
    <t>opex</t>
  </si>
  <si>
    <t>Maintenance</t>
  </si>
  <si>
    <t>Aadhaar</t>
  </si>
  <si>
    <t>Customer care</t>
  </si>
  <si>
    <t>App admin</t>
  </si>
  <si>
    <t>1.5</t>
  </si>
  <si>
    <t>Receptionist</t>
  </si>
  <si>
    <t>Accountant</t>
  </si>
  <si>
    <t>Business Development Manager</t>
  </si>
  <si>
    <t>Sales team?</t>
  </si>
  <si>
    <t>Infra</t>
  </si>
  <si>
    <r>
      <t xml:space="preserve">Delivery: 5%
Redemption(Self/Share):
4% - BS
10% - FL4: Cashback points
15% - FL3: 
71% : FL3 expense
Offer (200% cost):
1st 100% : Same as above except no cashback to FL4
So here BS gets extra 10%
2nd 100%:
60% - BS
40% - FL3
Total:
BS: 74%
FL3: 55%
</t>
    </r>
    <r>
      <rPr>
        <b/>
        <u/>
        <sz val="11"/>
        <color theme="1"/>
        <rFont val="Calibri"/>
        <family val="2"/>
        <scheme val="minor"/>
      </rPr>
      <t>Delivery FL3 needs to accept BS as well</t>
    </r>
  </si>
  <si>
    <r>
      <rPr>
        <b/>
        <sz val="11"/>
        <color theme="1"/>
        <rFont val="Calibri"/>
        <family val="2"/>
        <scheme val="minor"/>
      </rPr>
      <t xml:space="preserve">Restaurant </t>
    </r>
    <r>
      <rPr>
        <sz val="11"/>
        <color theme="1"/>
        <rFont val="Calibri"/>
        <family val="2"/>
        <scheme val="minor"/>
      </rPr>
      <t>Material 50%
Tax  7%
Admin  7%
Light  3%
Salary  4%
Total: 71%</t>
    </r>
  </si>
  <si>
    <r>
      <rPr>
        <b/>
        <u/>
        <sz val="11"/>
        <color theme="1"/>
        <rFont val="Calibri"/>
        <family val="2"/>
        <scheme val="minor"/>
      </rPr>
      <t>Restaurant Expenses:</t>
    </r>
    <r>
      <rPr>
        <sz val="11"/>
        <color theme="1"/>
        <rFont val="Calibri"/>
        <family val="2"/>
        <scheme val="minor"/>
      </rPr>
      <t xml:space="preserve">
Inventory 50%
Tax  7%
Admin  7%
Light  3%
Salary  4%
</t>
    </r>
    <r>
      <rPr>
        <b/>
        <sz val="11"/>
        <color rgb="FF0070C0"/>
        <rFont val="Calibri"/>
        <family val="2"/>
        <scheme val="minor"/>
      </rPr>
      <t>Total: 71%</t>
    </r>
    <r>
      <rPr>
        <sz val="11"/>
        <color theme="1"/>
        <rFont val="Calibri"/>
        <family val="2"/>
        <scheme val="minor"/>
      </rPr>
      <t xml:space="preserve">
</t>
    </r>
    <r>
      <rPr>
        <b/>
        <u/>
        <sz val="11"/>
        <color theme="1"/>
        <rFont val="Calibri"/>
        <family val="2"/>
        <scheme val="minor"/>
      </rPr>
      <t>Profit: 29%</t>
    </r>
  </si>
  <si>
    <t>High Level Budgeting</t>
  </si>
  <si>
    <r>
      <t xml:space="preserve">FL3: </t>
    </r>
    <r>
      <rPr>
        <sz val="11"/>
        <color rgb="FFFF0000"/>
        <rFont val="Calibri"/>
        <family val="2"/>
        <scheme val="minor"/>
      </rPr>
      <t>Rough count of FL3 by city</t>
    </r>
    <r>
      <rPr>
        <sz val="11"/>
        <color theme="1"/>
        <rFont val="Calibri"/>
        <family val="2"/>
        <scheme val="minor"/>
      </rPr>
      <t xml:space="preserve">
Baseline: Pune - 2200 FL3 (1600 city area)
Restaurants selected for BS: 30% (480-500)
Phase 1 (6 months): 10% = 50 (weekly 3)
Next phases: 5 new FL3 per month</t>
    </r>
  </si>
  <si>
    <r>
      <rPr>
        <sz val="11"/>
        <color rgb="FFFF0000"/>
        <rFont val="Calibri"/>
        <family val="2"/>
        <scheme val="minor"/>
      </rPr>
      <t>Existing FL4 customer per FL3: 10,000</t>
    </r>
    <r>
      <rPr>
        <sz val="11"/>
        <color theme="1"/>
        <rFont val="Calibri"/>
        <family val="2"/>
        <scheme val="minor"/>
      </rPr>
      <t xml:space="preserve">
15% customers are retained by FL3 on an average
BS will target 25% i.e. 375 customers 
Of the remaining 85%, we will target 10% i.e. 850  total.
Total: 1225 customer per FL3 of 10k base = 12.25%</t>
    </r>
  </si>
  <si>
    <t>Offer FL4 = 5%</t>
  </si>
  <si>
    <t>Sharing FL4 = All</t>
  </si>
  <si>
    <t>BS customers</t>
  </si>
  <si>
    <t>Per sale costs assuming once per month</t>
  </si>
  <si>
    <t>BS based sale cost for each FL3</t>
  </si>
  <si>
    <t>FL3 share 15%</t>
  </si>
  <si>
    <t>FL4 share 10%</t>
  </si>
  <si>
    <t>BS share 4%</t>
  </si>
  <si>
    <t>Our earning 37%</t>
  </si>
  <si>
    <r>
      <rPr>
        <b/>
        <sz val="11"/>
        <color theme="1"/>
        <rFont val="Calibri"/>
        <family val="2"/>
        <scheme val="minor"/>
      </rPr>
      <t>Delivery: 5%</t>
    </r>
    <r>
      <rPr>
        <sz val="11"/>
        <color theme="1"/>
        <rFont val="Calibri"/>
        <family val="2"/>
        <scheme val="minor"/>
      </rPr>
      <t xml:space="preserve">
</t>
    </r>
    <r>
      <rPr>
        <b/>
        <sz val="11"/>
        <color theme="1"/>
        <rFont val="Calibri"/>
        <family val="2"/>
        <scheme val="minor"/>
      </rPr>
      <t xml:space="preserve">
Redemption(Self/Share):</t>
    </r>
    <r>
      <rPr>
        <sz val="11"/>
        <color theme="1"/>
        <rFont val="Calibri"/>
        <family val="2"/>
        <scheme val="minor"/>
      </rPr>
      <t xml:space="preserve">
4% - BS
10% - FL4: Cashback points
15% - FL3: 
71% : FL3 expense
</t>
    </r>
    <r>
      <rPr>
        <b/>
        <sz val="11"/>
        <color theme="1"/>
        <rFont val="Calibri"/>
        <family val="2"/>
        <scheme val="minor"/>
      </rPr>
      <t>Offer (200% cost):</t>
    </r>
    <r>
      <rPr>
        <sz val="11"/>
        <color theme="1"/>
        <rFont val="Calibri"/>
        <family val="2"/>
        <scheme val="minor"/>
      </rPr>
      <t xml:space="preserve">
1st 100% : Same as above, but no cashback to FL4 so BS gets extra 10%
2nd 100%: 60% - BS,  40% - FL3
Total: BS: 74%, FL3: 55% of original value 250
i.e 37% of Total sale value of 500
</t>
    </r>
    <r>
      <rPr>
        <b/>
        <u/>
        <sz val="11"/>
        <color theme="1"/>
        <rFont val="Calibri"/>
        <family val="2"/>
        <scheme val="minor"/>
      </rPr>
      <t xml:space="preserve">Delivery FL3 needs to accept BS as well </t>
    </r>
  </si>
  <si>
    <t>Changed from 750 per bill</t>
  </si>
  <si>
    <t xml:space="preserve">Delivery 10% </t>
  </si>
  <si>
    <t>Per month</t>
  </si>
  <si>
    <t>Acquisition in first 6 months - 50</t>
  </si>
  <si>
    <t>About 100 Rs
per customer, per month</t>
  </si>
  <si>
    <t>Earning during first 6 month is ignored as it might entirely go into maintenance</t>
  </si>
  <si>
    <t>So assumes customer went only to one FL3 in entire month</t>
  </si>
  <si>
    <t>National earning per month</t>
  </si>
  <si>
    <t>5 per city per month 
30 FL3 per phase (5 more phases after initial phase)</t>
  </si>
  <si>
    <t>150 more after all phases</t>
  </si>
  <si>
    <t xml:space="preserve">Therefore total 200 FLA per city after 3 years </t>
  </si>
  <si>
    <t>4 times earlining with one FL3</t>
  </si>
  <si>
    <t>Customers in 10 cities = 28L</t>
  </si>
  <si>
    <t>Opex</t>
  </si>
  <si>
    <t>With existing FL3 customer only</t>
  </si>
  <si>
    <t>Average regular customers - 15%</t>
  </si>
  <si>
    <t>Total customer target per FL3</t>
  </si>
  <si>
    <t>Average per sale spend per month</t>
  </si>
  <si>
    <t>Monthly sale value</t>
  </si>
  <si>
    <t>Total earning per month after 6 months 
Total customer per FL3 = 1225
Total customer in Pune = 1225*50= 61250</t>
  </si>
  <si>
    <t>Customer in pune - 1225*200 = 245000L= 3% of population</t>
  </si>
  <si>
    <t>Revenue Category &amp; Phases</t>
  </si>
  <si>
    <t>Details</t>
  </si>
  <si>
    <t>Average Customers per FL3</t>
  </si>
  <si>
    <t>Assuming 3 years old business</t>
  </si>
  <si>
    <t>Total Earning Per FL3 Per Month</t>
  </si>
  <si>
    <t>Advertising</t>
  </si>
  <si>
    <t>Raw materials</t>
  </si>
  <si>
    <t>License or equivalent fees (such as Corporation yearly registration fees) imposed by a government</t>
  </si>
  <si>
    <t>Real estate expenses, including</t>
  </si>
  <si>
    <t>Office space rent</t>
  </si>
  <si>
    <t>furniture and equipment</t>
  </si>
  <si>
    <t>property taxes and equivalent assessments</t>
  </si>
  <si>
    <t>Operations taxes, such as fees assessed on transportation carriers for use of highways</t>
  </si>
  <si>
    <t>Fuel costs such as power for operations, fuel for production</t>
  </si>
  <si>
    <t>Public Utilities such as telephone service, Internet connectivity, etc.</t>
  </si>
  <si>
    <t>Maintenance of equipment</t>
  </si>
  <si>
    <t>Office supplies and consumables</t>
  </si>
  <si>
    <t>Insurance premium</t>
  </si>
  <si>
    <t>Depreciation of equipment and eventual replacement costs (unless the facility has no moving parts it probably will wear out eventually)</t>
  </si>
  <si>
    <t>Taxes on production or operation (such as subsidence fees imposed on oil wells)</t>
  </si>
  <si>
    <t>Income taxes</t>
  </si>
  <si>
    <t>Vehicle</t>
  </si>
  <si>
    <r>
      <t>Salaries</t>
    </r>
    <r>
      <rPr>
        <sz val="11"/>
        <rFont val="Arial"/>
        <family val="2"/>
      </rPr>
      <t> or Wages of personnel</t>
    </r>
  </si>
  <si>
    <r>
      <t>Rent</t>
    </r>
    <r>
      <rPr>
        <sz val="11"/>
        <rFont val="Arial"/>
        <family val="2"/>
      </rPr>
      <t> or Lease payments</t>
    </r>
  </si>
  <si>
    <r>
      <t>Damage due to uninsured losses, </t>
    </r>
    <r>
      <rPr>
        <sz val="11"/>
        <rFont val="Arial"/>
        <family val="2"/>
      </rPr>
      <t>accident, sabotage, negligence, terrorism and routine wear and tear.</t>
    </r>
  </si>
  <si>
    <t>Payment vendor costs</t>
  </si>
  <si>
    <t>SMS integration - Twilio</t>
  </si>
  <si>
    <t>Email</t>
  </si>
  <si>
    <t>Server</t>
  </si>
  <si>
    <t>Storage</t>
  </si>
  <si>
    <t>Cloud</t>
  </si>
  <si>
    <t>Location based content - CDN</t>
  </si>
  <si>
    <t>Imaging software</t>
  </si>
  <si>
    <t>iOS &amp; Andriod release &amp; patches</t>
  </si>
  <si>
    <t>Chat</t>
  </si>
  <si>
    <t>Dev tools</t>
  </si>
  <si>
    <t>API</t>
  </si>
  <si>
    <t>Legal</t>
  </si>
  <si>
    <t>Sales</t>
  </si>
  <si>
    <t>45% of the features on an app are never used</t>
  </si>
  <si>
    <t>Wifi</t>
  </si>
  <si>
    <t>Per city</t>
  </si>
  <si>
    <t>Customer care - Phone, email</t>
  </si>
  <si>
    <t>Manager</t>
  </si>
  <si>
    <t>Monthly</t>
  </si>
  <si>
    <t>Desktop, laptop</t>
  </si>
  <si>
    <t>Type of cost</t>
  </si>
  <si>
    <t>Count</t>
  </si>
  <si>
    <t>Rate</t>
  </si>
  <si>
    <t>Email, Microsoft suite, other softwares</t>
  </si>
  <si>
    <t>Public Utilities such as telephone service, Internet connectivity, mobile cost</t>
  </si>
  <si>
    <t>Manager / HR</t>
  </si>
  <si>
    <t>S.No.</t>
  </si>
  <si>
    <t>A</t>
  </si>
  <si>
    <t>D</t>
  </si>
  <si>
    <t>App Development</t>
  </si>
  <si>
    <t>License or equivalent fees GST, LLP reg, bank acc, shopact 3 yr, msme reg, PMC lic</t>
  </si>
  <si>
    <t>Office space rent - conf/mtg room, cust cr, reception, manager, BDM/sales, admin, owner</t>
  </si>
  <si>
    <t>Billdesk</t>
  </si>
  <si>
    <t>CSR 2% for turnover above 200CR</t>
  </si>
  <si>
    <t>Fuel costs such as electricity, backup</t>
  </si>
  <si>
    <t>Legal - IP/competition law/exclusivity agreement/advert/privacy/consultancy/business model</t>
  </si>
  <si>
    <t>Legal - consultancy</t>
  </si>
  <si>
    <t>Branding products - Packaging, stickers, flyer</t>
  </si>
  <si>
    <t>E</t>
  </si>
  <si>
    <t>Income tax 30%</t>
  </si>
  <si>
    <t>Business Development Manager - Contract signing</t>
  </si>
  <si>
    <t>F</t>
  </si>
  <si>
    <t>G</t>
  </si>
  <si>
    <t>H</t>
  </si>
  <si>
    <t>I</t>
  </si>
  <si>
    <t>?</t>
  </si>
  <si>
    <t>Per month per fl3</t>
  </si>
  <si>
    <t>FL4 share 8%</t>
  </si>
  <si>
    <t>FL3 share 14%</t>
  </si>
  <si>
    <t>BS share 7%</t>
  </si>
  <si>
    <t>Expenses 1</t>
  </si>
  <si>
    <t>Net Earning</t>
  </si>
  <si>
    <t>Earning - Expense</t>
  </si>
  <si>
    <t>After 6 phases (3 yrs)</t>
  </si>
  <si>
    <t>CAPEX</t>
  </si>
  <si>
    <t>Advertisement/Promotion cross location - 20L per location for 6 months</t>
  </si>
  <si>
    <t>Furnishing, equipment, electricals</t>
  </si>
  <si>
    <t>Recurring Operating Cost</t>
  </si>
  <si>
    <t>Total for 1 location</t>
  </si>
  <si>
    <t>Total for 10 location - Needed on day 1 &amp; every month thereon</t>
  </si>
  <si>
    <t>Dynamic Operating Cost (Volume based)</t>
  </si>
  <si>
    <t>Ph2 80 FL3 in each city</t>
  </si>
  <si>
    <t>Streaming cost</t>
  </si>
  <si>
    <t>CA</t>
  </si>
  <si>
    <t>Branding products - Logo, trademark, copyright, patent</t>
  </si>
  <si>
    <t>Customer care employee- Phone, email</t>
  </si>
  <si>
    <t>Maintenance 20% of development - Yearly</t>
  </si>
  <si>
    <t>1 month target 10 FL3 per location</t>
  </si>
  <si>
    <t>100 FL3 over 10 location</t>
  </si>
  <si>
    <t>N/A</t>
  </si>
  <si>
    <t>1 FL3 Only</t>
  </si>
  <si>
    <t>Earning per month at the end of 5th month</t>
  </si>
  <si>
    <t>Earning per month at the end of 4th month</t>
  </si>
  <si>
    <t>Earning per month at the end of 3rd month</t>
  </si>
  <si>
    <t>Earning per month at the end of 2nd month</t>
  </si>
  <si>
    <t>Earning per month at the end of 1st month</t>
  </si>
  <si>
    <t>Offer FL4 = 7%</t>
  </si>
  <si>
    <t>Module</t>
  </si>
  <si>
    <t>Points Value</t>
  </si>
  <si>
    <t>Transfer cost</t>
  </si>
  <si>
    <t>Purchase</t>
  </si>
  <si>
    <t>10000+</t>
  </si>
  <si>
    <t>Depiction</t>
  </si>
  <si>
    <t>Pint/Glass of wine</t>
  </si>
  <si>
    <t>Drinks for a couple</t>
  </si>
  <si>
    <t>3 wine glasses</t>
  </si>
  <si>
    <t>Wine/Champagne bottle</t>
  </si>
  <si>
    <t>Whiskey bottle</t>
  </si>
  <si>
    <t>Family</t>
  </si>
  <si>
    <t>Transfer</t>
  </si>
  <si>
    <t>Gifting</t>
  </si>
  <si>
    <t>9000+</t>
  </si>
  <si>
    <t>8100+</t>
  </si>
  <si>
    <t>`</t>
  </si>
  <si>
    <t>Offer</t>
  </si>
  <si>
    <t>Offer - Share</t>
  </si>
  <si>
    <t>Cosmos:
Wallet: 1000 
Bill 1000
Paid 900
Cashback Points 20
Other:
Wallet: 1000 
Bill 1000
Paid 900</t>
  </si>
  <si>
    <t>Regular customers</t>
  </si>
  <si>
    <r>
      <t xml:space="preserve">Drink Sharing - 25% of </t>
    </r>
    <r>
      <rPr>
        <sz val="11"/>
        <color rgb="FF00B050"/>
        <rFont val="Calibri"/>
        <family val="2"/>
        <scheme val="minor"/>
      </rPr>
      <t xml:space="preserve">Regular </t>
    </r>
    <r>
      <rPr>
        <sz val="11"/>
        <color theme="1"/>
        <rFont val="Calibri"/>
        <family val="2"/>
        <scheme val="minor"/>
      </rPr>
      <t>Customers</t>
    </r>
  </si>
  <si>
    <r>
      <t xml:space="preserve">Drink Sharing - 10% of </t>
    </r>
    <r>
      <rPr>
        <sz val="11"/>
        <color rgb="FF00B0F0"/>
        <rFont val="Calibri"/>
        <family val="2"/>
        <scheme val="minor"/>
      </rPr>
      <t>Remaining</t>
    </r>
    <r>
      <rPr>
        <sz val="11"/>
        <color theme="1"/>
        <rFont val="Calibri"/>
        <family val="2"/>
        <scheme val="minor"/>
      </rPr>
      <t xml:space="preserve"> Customers</t>
    </r>
  </si>
  <si>
    <t>FreeSpirit Profit</t>
  </si>
  <si>
    <t>Customer Cashback</t>
  </si>
  <si>
    <t>12% cashback for partner bank's customers
10% cashback for all other customers</t>
  </si>
  <si>
    <t>Food &amp; Drink Purchase &amp; Sharing</t>
  </si>
  <si>
    <t>FreeSpirit Discount</t>
  </si>
  <si>
    <t>Drink Offering</t>
  </si>
  <si>
    <t>5% Members</t>
  </si>
  <si>
    <t>Sale value per person per month</t>
  </si>
  <si>
    <t>FreeSpirit Offer Charges</t>
  </si>
  <si>
    <t>Monthly valuation of offers made</t>
  </si>
  <si>
    <t>Offering FL3 Profit</t>
  </si>
  <si>
    <t>For FL3 who provisioned the offer</t>
  </si>
  <si>
    <t>Premium service charges</t>
  </si>
  <si>
    <t>10% members</t>
  </si>
  <si>
    <t>6% cashback for partner bank's customers
5% cashback for all other customers</t>
  </si>
  <si>
    <t>Delivery</t>
  </si>
  <si>
    <t>1 City</t>
  </si>
  <si>
    <t>10 Cities</t>
  </si>
  <si>
    <t>20 FL3 Per Location; 200 FL3 All Location 
20,000 FL4 Per City; 2,00,000 FL4 All Cities</t>
  </si>
  <si>
    <t>30 FL3 Per Location; 300 FL3 All Location 
30,000 FL4 Per City; 3,00,000 FL4 All Cities</t>
  </si>
  <si>
    <t>40 FL3 Per Location; 400 FL3 All Location 
40,000 FL4 Per City; 4,00,000 FL4 All Cities</t>
  </si>
  <si>
    <t>50 FL3 Per Location; 500 FL3 All Location 
50,000 FL4 Per City; 5,00,000 FL4 All Cities</t>
  </si>
  <si>
    <t>FreeSpirit Target</t>
  </si>
  <si>
    <t>5000+</t>
  </si>
  <si>
    <t>After expiry automatically change reduce point balance by 10%</t>
  </si>
  <si>
    <t>Receiver points</t>
  </si>
  <si>
    <t>Receiver validity</t>
  </si>
  <si>
    <t>Customer</t>
  </si>
  <si>
    <t>Purchase value</t>
  </si>
  <si>
    <t>Sale vlue</t>
  </si>
  <si>
    <t>Delivey</t>
  </si>
  <si>
    <t>Share</t>
  </si>
  <si>
    <t>Self</t>
  </si>
  <si>
    <t>EMI - no FL4 dicount
6% share with cosmos. 12% for BS</t>
  </si>
  <si>
    <t>Sudhir
15-Jul</t>
  </si>
  <si>
    <t>No 10% charge on offering a drink</t>
  </si>
  <si>
    <t>Further transfers to follow purchase cycle but without any cashback
Offering FL3 needs to be tracked.</t>
  </si>
  <si>
    <t>Cannot transfer less than 300 Rs
Transfer values to remain same as purchase value, to maintain validity standard.</t>
  </si>
  <si>
    <t>Sender</t>
  </si>
  <si>
    <t>Receiver</t>
  </si>
  <si>
    <t>Ravi
1-Jul</t>
  </si>
  <si>
    <t>Piyush 
5-Jul</t>
  </si>
  <si>
    <t>OFER SERVICE</t>
  </si>
  <si>
    <t>Gifting/Sharing Service</t>
  </si>
  <si>
    <t>Yearly Operational Expenses</t>
  </si>
  <si>
    <t>Yearly</t>
  </si>
  <si>
    <t>Total at end of first year</t>
  </si>
  <si>
    <t>One Time</t>
  </si>
  <si>
    <t>J</t>
  </si>
  <si>
    <t>K</t>
  </si>
  <si>
    <t>Launch in 10 Locations</t>
  </si>
  <si>
    <t>CRM Tool</t>
  </si>
  <si>
    <t>Maintenance of office, equipment, consumables, supplies, printer, fax, headset, stationary</t>
  </si>
  <si>
    <t>Pay Later</t>
  </si>
  <si>
    <t>1% bank customers</t>
  </si>
  <si>
    <t>Bank share</t>
  </si>
  <si>
    <r>
      <rPr>
        <b/>
        <u/>
        <sz val="11"/>
        <color theme="1"/>
        <rFont val="Calibri"/>
        <family val="2"/>
        <scheme val="minor"/>
      </rPr>
      <t>Redemption(Self/Share): Cosmos</t>
    </r>
    <r>
      <rPr>
        <sz val="11"/>
        <color theme="1"/>
        <rFont val="Calibri"/>
        <family val="2"/>
        <scheme val="minor"/>
      </rPr>
      <t xml:space="preserve">
6% - BS
12% - FL4 Cashback
</t>
    </r>
    <r>
      <rPr>
        <b/>
        <u/>
        <sz val="11"/>
        <color theme="1"/>
        <rFont val="Calibri"/>
        <family val="2"/>
        <scheme val="minor"/>
      </rPr>
      <t>Redemption(Self/Share): non-Cosmos</t>
    </r>
    <r>
      <rPr>
        <sz val="11"/>
        <color theme="1"/>
        <rFont val="Calibri"/>
        <family val="2"/>
        <scheme val="minor"/>
      </rPr>
      <t xml:space="preserve">
8% - BS
10% - FL4 Cashback</t>
    </r>
  </si>
  <si>
    <r>
      <rPr>
        <b/>
        <sz val="11"/>
        <color theme="1"/>
        <rFont val="Calibri"/>
        <family val="2"/>
        <scheme val="minor"/>
      </rPr>
      <t xml:space="preserve">Offer (200% cost):
</t>
    </r>
    <r>
      <rPr>
        <sz val="11"/>
        <color theme="1"/>
        <rFont val="Calibri"/>
        <family val="2"/>
        <scheme val="minor"/>
      </rPr>
      <t xml:space="preserve">
1st 100%: 67% - BS, 33% - FL3
2nd 100% : Same as redemption, no FL4 cashback 
i.e. (67+18)/2= 42.5% of Total sale value of 500</t>
    </r>
  </si>
  <si>
    <r>
      <rPr>
        <b/>
        <u/>
        <sz val="11"/>
        <color theme="1"/>
        <rFont val="Calibri"/>
        <family val="2"/>
        <scheme val="minor"/>
      </rPr>
      <t xml:space="preserve">Delivery
</t>
    </r>
    <r>
      <rPr>
        <sz val="11"/>
        <color theme="1"/>
        <rFont val="Calibri"/>
        <family val="2"/>
        <scheme val="minor"/>
      </rPr>
      <t xml:space="preserve">6%  to BS
FL4: 5% (6%for Cosmos)
</t>
    </r>
    <r>
      <rPr>
        <b/>
        <u/>
        <sz val="11"/>
        <color theme="1"/>
        <rFont val="Calibri"/>
        <family val="2"/>
        <scheme val="minor"/>
      </rPr>
      <t>Eat now, Pay later</t>
    </r>
    <r>
      <rPr>
        <sz val="11"/>
        <color theme="1"/>
        <rFont val="Calibri"/>
        <family val="2"/>
        <scheme val="minor"/>
      </rPr>
      <t xml:space="preserve">
12%  to BS
FL4: 6%for Cosmos</t>
    </r>
  </si>
  <si>
    <t>Launch cost - Brand Ambassador etc.</t>
  </si>
  <si>
    <t>Total expenses at end of first year</t>
  </si>
  <si>
    <t>Based on FL3 selection criteria</t>
  </si>
  <si>
    <t>Current market trend</t>
  </si>
  <si>
    <t>Points redemption can happen at any FL3</t>
  </si>
  <si>
    <t>Total sale value ₹25000</t>
  </si>
  <si>
    <r>
      <t xml:space="preserve">Earning per month at 2 years i.e. </t>
    </r>
    <r>
      <rPr>
        <b/>
        <sz val="11"/>
        <color theme="1"/>
        <rFont val="Calibri"/>
        <family val="2"/>
        <scheme val="minor"/>
      </rPr>
      <t>Phase 4</t>
    </r>
  </si>
  <si>
    <r>
      <t xml:space="preserve">Earning per month at 1 year i.e. </t>
    </r>
    <r>
      <rPr>
        <b/>
        <sz val="11"/>
        <color theme="1"/>
        <rFont val="Calibri"/>
        <family val="2"/>
        <scheme val="minor"/>
      </rPr>
      <t>Phase 2</t>
    </r>
  </si>
  <si>
    <r>
      <t xml:space="preserve">Earning per month at 6 months i.e. </t>
    </r>
    <r>
      <rPr>
        <b/>
        <sz val="11"/>
        <color theme="1"/>
        <rFont val="Calibri"/>
        <family val="2"/>
        <scheme val="minor"/>
      </rPr>
      <t>Phase 1</t>
    </r>
  </si>
  <si>
    <t>Earning per month at 3 years i.e. Phase 6</t>
  </si>
  <si>
    <t>3600 FL3 All Location 36,00,000 FL4 All Cities</t>
  </si>
  <si>
    <t>Average Earning - ₹170 per transaction</t>
  </si>
  <si>
    <t>Sale value ₹60000</t>
  </si>
  <si>
    <t>Points</t>
  </si>
  <si>
    <t>Cash</t>
  </si>
  <si>
    <t>bill</t>
  </si>
  <si>
    <t>Paid</t>
  </si>
  <si>
    <t>FL3 bill</t>
  </si>
  <si>
    <t>BS to pay</t>
  </si>
  <si>
    <t>BS to FL4</t>
  </si>
  <si>
    <t>setoff</t>
  </si>
  <si>
    <t>Profit</t>
  </si>
  <si>
    <t>BS balance</t>
  </si>
  <si>
    <t>Liquor</t>
  </si>
  <si>
    <t>Vat 5%</t>
  </si>
  <si>
    <t>No GST</t>
  </si>
  <si>
    <t>Food</t>
  </si>
  <si>
    <t>zero vat</t>
  </si>
  <si>
    <t>18% GST</t>
  </si>
  <si>
    <t>5% GST</t>
  </si>
  <si>
    <t>Food - 5* hotel</t>
  </si>
  <si>
    <t>Launch cost - National Brand Ambassador, Digital Marketing, Tie Ups</t>
  </si>
  <si>
    <t>License or equivalent fees GST, LLP reg, bank acc, shopact 3 yr, msme reg, PMC lic, PPI approval</t>
  </si>
  <si>
    <t>Maintenance 30% of development - Yearly</t>
  </si>
  <si>
    <t>Launch, promotions, advert</t>
  </si>
  <si>
    <t>Desktop, laptop, licensing</t>
  </si>
  <si>
    <t>Infrastructure setup costs</t>
  </si>
  <si>
    <t>ID validation costs (customer signup driven)</t>
  </si>
  <si>
    <t>Payment gateway charges</t>
  </si>
  <si>
    <t>Annual Operational Expenses</t>
  </si>
  <si>
    <t xml:space="preserve">                        Cost Category</t>
  </si>
  <si>
    <t>Legal - Competition law/exclusivity agreement/Privacy/Consultancy/Commission/Liaisonining</t>
  </si>
  <si>
    <t>Branding &amp; IP  - Logo, Trademark, Copyright, Patent, Merchandise, PPI approval</t>
  </si>
  <si>
    <t>Furnishing, Equipment, Electricals</t>
  </si>
  <si>
    <t>Simultaneous launch in 10 Locations</t>
  </si>
  <si>
    <t>License or equivalent fees GST, LLP reg, bank acc, shopact 3 yr, msme reg, PMC license</t>
  </si>
  <si>
    <t>Management Costs</t>
  </si>
  <si>
    <t>Wave 1 Target - 1st month</t>
  </si>
  <si>
    <t>Wave 1 Target - 2nd month</t>
  </si>
  <si>
    <t>Wave 1 Target - 3rd month</t>
  </si>
  <si>
    <t>Wave 1 Target - 4th month</t>
  </si>
  <si>
    <t>Wave 1 Target - 5th month</t>
  </si>
  <si>
    <t>Wave 1 Target - First 6 months</t>
  </si>
  <si>
    <t xml:space="preserve">After 2nd Wave </t>
  </si>
  <si>
    <t xml:space="preserve">After 4th Wave </t>
  </si>
  <si>
    <t xml:space="preserve">After 6th Wave </t>
  </si>
  <si>
    <t>Management cost</t>
  </si>
  <si>
    <t>Office &amp; adminstration</t>
  </si>
  <si>
    <t>Legal, Intellectual Property, RBI Approval, Commission, Competition Law</t>
  </si>
  <si>
    <t>Product Branding</t>
  </si>
  <si>
    <t>Employement expenses</t>
  </si>
  <si>
    <t>Total for 10 location - Needed on Day 1 &amp; every month thereon</t>
  </si>
  <si>
    <t>Escrow account</t>
  </si>
  <si>
    <t>Broadcast service</t>
  </si>
  <si>
    <t>Escrow Account</t>
  </si>
  <si>
    <t>Redeeming FL3 Profit</t>
  </si>
  <si>
    <t>Conservative Figures - Sale value ₹20 Lacs</t>
  </si>
  <si>
    <t>Total sale value 20Lacs per Location; 2CR 10 Location</t>
  </si>
  <si>
    <t>For FL3 who redeemed the points</t>
  </si>
  <si>
    <t>Standard customer cashback</t>
  </si>
  <si>
    <t>Considering 33% profit sharing with bank partner(s)</t>
  </si>
  <si>
    <t>100 FL3 at each Location; 1,00,000 FL4 in 10 Cities</t>
  </si>
  <si>
    <t>600 FL3 at each Location; 6,00,000 FL4 in 10 Cities</t>
  </si>
  <si>
    <t>1200 FL3 at each Location; 12,00,000 FL4 in 10 Cities</t>
  </si>
  <si>
    <t>2400 FL3 at each Location; 24,00,000 FL4 in 10 Cities</t>
  </si>
  <si>
    <t>Minimum FL4 target customers Per FL3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</si>
</sst>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Rp&quot;* #,##0_-;\-&quot;Rp&quot;* #,##0_-;_-&quot;Rp&quot;* &quot;-&quot;_-;_-@_-"/>
    <numFmt numFmtId="164" formatCode="[$₹-439]#,##0"/>
    <numFmt numFmtId="165" formatCode="[&gt;=10000000]&quot;₹ &quot;##\,##\,##\,##0;[&gt;=100000]&quot;₹ &quot;\ ##\,##\,##0;&quot;₹ &quot;##,##0"/>
    <numFmt numFmtId="166" formatCode="[&gt;=10000000]&quot;₹ &quot;##\,##\,##\,##0;[&gt;=100000]&quot;₹ &quot;\ ##\,##\,##0;&quot;  &quot;##,##0"/>
  </numFmts>
  <fonts count="22" x14ac:knownFonts="1">
    <font>
      <sz val="11"/>
      <color theme="1"/>
      <name val="Calibri"/>
      <family val="2"/>
      <scheme val="minor"/>
    </font>
    <font>
      <b/>
      <sz val="11"/>
      <color theme="1"/>
      <name val="Calibri"/>
      <family val="2"/>
      <scheme val="minor"/>
    </font>
    <font>
      <sz val="11"/>
      <color rgb="FF202122"/>
      <name val="Arial"/>
      <family val="2"/>
    </font>
    <font>
      <sz val="11"/>
      <color rgb="FF0B0080"/>
      <name val="Arial"/>
      <family val="2"/>
    </font>
    <font>
      <vertAlign val="superscript"/>
      <sz val="8"/>
      <color rgb="FF0B0080"/>
      <name val="Arial"/>
      <family val="2"/>
    </font>
    <font>
      <i/>
      <sz val="11"/>
      <color rgb="FF202122"/>
      <name val="Arial"/>
      <family val="2"/>
    </font>
    <font>
      <sz val="11"/>
      <color rgb="FFFF0000"/>
      <name val="Calibri"/>
      <family val="2"/>
      <scheme val="minor"/>
    </font>
    <font>
      <b/>
      <u/>
      <sz val="11"/>
      <color theme="1"/>
      <name val="Calibri"/>
      <family val="2"/>
      <scheme val="minor"/>
    </font>
    <font>
      <b/>
      <sz val="11"/>
      <color rgb="FF0070C0"/>
      <name val="Calibri"/>
      <family val="2"/>
      <scheme val="minor"/>
    </font>
    <font>
      <b/>
      <sz val="11"/>
      <color rgb="FF7030A0"/>
      <name val="Calibri"/>
      <family val="2"/>
      <scheme val="minor"/>
    </font>
    <font>
      <b/>
      <sz val="12"/>
      <color theme="1"/>
      <name val="Calibri"/>
      <family val="2"/>
      <scheme val="minor"/>
    </font>
    <font>
      <sz val="11"/>
      <name val="Calibri"/>
      <family val="2"/>
      <scheme val="minor"/>
    </font>
    <font>
      <sz val="11"/>
      <name val="Arial"/>
      <family val="2"/>
    </font>
    <font>
      <b/>
      <sz val="11"/>
      <name val="Calibri"/>
      <family val="2"/>
      <scheme val="minor"/>
    </font>
    <font>
      <b/>
      <sz val="11"/>
      <color rgb="FFFF0000"/>
      <name val="Calibri"/>
      <family val="2"/>
      <scheme val="minor"/>
    </font>
    <font>
      <sz val="11"/>
      <color rgb="FF00B050"/>
      <name val="Calibri"/>
      <family val="2"/>
      <scheme val="minor"/>
    </font>
    <font>
      <sz val="11"/>
      <color rgb="FF00B0F0"/>
      <name val="Calibri"/>
      <family val="2"/>
      <scheme val="minor"/>
    </font>
    <font>
      <b/>
      <sz val="11"/>
      <color rgb="FF00B050"/>
      <name val="Calibri"/>
      <family val="2"/>
      <scheme val="minor"/>
    </font>
    <font>
      <u/>
      <sz val="11"/>
      <color theme="1"/>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0" tint="-0.34998626667073579"/>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rgb="FF1FE010"/>
        <bgColor indexed="64"/>
      </patternFill>
    </fill>
    <fill>
      <patternFill patternType="solid">
        <fgColor theme="7" tint="0.79998168889431442"/>
        <bgColor indexed="64"/>
      </patternFill>
    </fill>
    <fill>
      <patternFill patternType="solid">
        <fgColor theme="7"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s>
  <cellStyleXfs count="1">
    <xf numFmtId="0" fontId="0" fillId="0" borderId="0"/>
  </cellStyleXfs>
  <cellXfs count="24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vertical="top" wrapText="1"/>
    </xf>
    <xf numFmtId="0" fontId="1" fillId="2" borderId="1" xfId="0" applyFont="1" applyFill="1" applyBorder="1"/>
    <xf numFmtId="0" fontId="1" fillId="2" borderId="1" xfId="0" applyFont="1" applyFill="1" applyBorder="1" applyAlignment="1">
      <alignment horizontal="left"/>
    </xf>
    <xf numFmtId="0" fontId="1" fillId="2"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0" fillId="0" borderId="2" xfId="0" applyFill="1" applyBorder="1"/>
    <xf numFmtId="0" fontId="0" fillId="0" borderId="1" xfId="0" applyFill="1" applyBorder="1"/>
    <xf numFmtId="0" fontId="0" fillId="0" borderId="1" xfId="0" applyFill="1" applyBorder="1" applyAlignment="1">
      <alignment wrapText="1"/>
    </xf>
    <xf numFmtId="0" fontId="0" fillId="0" borderId="2" xfId="0" applyFill="1" applyBorder="1" applyAlignment="1">
      <alignment wrapText="1"/>
    </xf>
    <xf numFmtId="0" fontId="6" fillId="0" borderId="1" xfId="0" applyFont="1" applyBorder="1" applyAlignment="1">
      <alignment wrapText="1"/>
    </xf>
    <xf numFmtId="16" fontId="0" fillId="0" borderId="0" xfId="0" applyNumberFormat="1"/>
    <xf numFmtId="9" fontId="0" fillId="0" borderId="0" xfId="0" applyNumberFormat="1"/>
    <xf numFmtId="0" fontId="0" fillId="0" borderId="0" xfId="0" applyAlignment="1">
      <alignment vertical="top" wrapText="1"/>
    </xf>
    <xf numFmtId="0" fontId="1" fillId="4" borderId="1" xfId="0" applyFont="1" applyFill="1" applyBorder="1"/>
    <xf numFmtId="0" fontId="1" fillId="4" borderId="1" xfId="0" applyFont="1" applyFill="1" applyBorder="1" applyAlignment="1">
      <alignment wrapText="1"/>
    </xf>
    <xf numFmtId="42" fontId="0" fillId="0" borderId="0" xfId="0" applyNumberFormat="1"/>
    <xf numFmtId="42" fontId="0" fillId="0" borderId="0" xfId="0" applyNumberFormat="1" applyAlignment="1">
      <alignment wrapText="1"/>
    </xf>
    <xf numFmtId="9" fontId="0" fillId="0" borderId="0" xfId="0" applyNumberFormat="1" applyAlignment="1">
      <alignment horizontal="right" wrapText="1"/>
    </xf>
    <xf numFmtId="0" fontId="0" fillId="0" borderId="0" xfId="0" applyAlignment="1"/>
    <xf numFmtId="0" fontId="0" fillId="0" borderId="0" xfId="0" applyAlignment="1">
      <alignment horizontal="left" vertical="top" wrapText="1"/>
    </xf>
    <xf numFmtId="165" fontId="0" fillId="0" borderId="0" xfId="0" applyNumberFormat="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xf>
    <xf numFmtId="9" fontId="0" fillId="0" borderId="0" xfId="0" applyNumberFormat="1" applyAlignment="1">
      <alignment horizontal="left" vertical="top" wrapText="1"/>
    </xf>
    <xf numFmtId="42" fontId="0" fillId="0" borderId="0" xfId="0" applyNumberFormat="1" applyAlignment="1">
      <alignment horizontal="left" vertical="top" wrapText="1"/>
    </xf>
    <xf numFmtId="164" fontId="0" fillId="0" borderId="0" xfId="0" applyNumberFormat="1" applyAlignment="1">
      <alignment horizontal="left" vertical="top" wrapText="1"/>
    </xf>
    <xf numFmtId="0" fontId="0" fillId="4" borderId="0" xfId="0" applyFill="1" applyAlignment="1">
      <alignment vertical="top" wrapText="1"/>
    </xf>
    <xf numFmtId="42" fontId="0" fillId="0" borderId="0" xfId="0" applyNumberFormat="1" applyAlignment="1">
      <alignment horizontal="left" vertical="top"/>
    </xf>
    <xf numFmtId="165" fontId="0" fillId="5" borderId="0" xfId="0" applyNumberFormat="1" applyFill="1" applyAlignment="1">
      <alignment horizontal="left" vertical="top" wrapText="1"/>
    </xf>
    <xf numFmtId="0" fontId="1" fillId="5" borderId="0" xfId="0" applyFont="1" applyFill="1" applyAlignment="1">
      <alignment horizontal="left" vertical="top" wrapText="1"/>
    </xf>
    <xf numFmtId="165" fontId="0" fillId="4" borderId="0" xfId="0" applyNumberFormat="1" applyFill="1" applyAlignment="1">
      <alignment horizontal="left" vertical="top" wrapText="1"/>
    </xf>
    <xf numFmtId="0" fontId="0" fillId="0" borderId="0" xfId="0" applyAlignment="1">
      <alignment horizontal="left" vertical="center"/>
    </xf>
    <xf numFmtId="165" fontId="0" fillId="0" borderId="0" xfId="0" applyNumberFormat="1" applyAlignment="1">
      <alignment horizontal="center" vertical="center"/>
    </xf>
    <xf numFmtId="0" fontId="0" fillId="0" borderId="0" xfId="0" applyAlignment="1">
      <alignment horizontal="center"/>
    </xf>
    <xf numFmtId="0" fontId="11" fillId="0" borderId="0" xfId="0" applyFont="1"/>
    <xf numFmtId="0" fontId="0" fillId="0" borderId="1" xfId="0" applyBorder="1" applyAlignment="1">
      <alignment horizontal="center"/>
    </xf>
    <xf numFmtId="165" fontId="0" fillId="0" borderId="1" xfId="0" applyNumberFormat="1" applyBorder="1" applyAlignment="1">
      <alignment horizontal="left" vertical="top" wrapText="1"/>
    </xf>
    <xf numFmtId="0" fontId="11" fillId="0" borderId="1" xfId="0" applyFont="1" applyBorder="1"/>
    <xf numFmtId="0" fontId="0" fillId="0" borderId="1" xfId="0" applyBorder="1" applyAlignment="1">
      <alignment horizontal="left" vertical="top" wrapText="1"/>
    </xf>
    <xf numFmtId="0" fontId="0" fillId="0" borderId="1" xfId="0" applyBorder="1" applyAlignment="1">
      <alignment horizontal="center" vertical="top" wrapText="1"/>
    </xf>
    <xf numFmtId="165" fontId="0" fillId="0" borderId="1" xfId="0" applyNumberFormat="1" applyBorder="1" applyAlignment="1">
      <alignment horizontal="center" vertical="top" wrapText="1"/>
    </xf>
    <xf numFmtId="0" fontId="1" fillId="4" borderId="5" xfId="0" applyFont="1" applyFill="1" applyBorder="1" applyAlignment="1">
      <alignment horizontal="center"/>
    </xf>
    <xf numFmtId="0" fontId="1" fillId="4" borderId="6" xfId="0" applyFont="1" applyFill="1" applyBorder="1" applyAlignment="1">
      <alignment horizontal="center"/>
    </xf>
    <xf numFmtId="165" fontId="0" fillId="0" borderId="0" xfId="0" applyNumberFormat="1" applyAlignment="1">
      <alignment horizontal="left" vertical="top"/>
    </xf>
    <xf numFmtId="0" fontId="0" fillId="0" borderId="1" xfId="0" applyFill="1" applyBorder="1" applyAlignment="1">
      <alignment horizontal="left" vertical="top" wrapText="1"/>
    </xf>
    <xf numFmtId="165" fontId="0" fillId="0" borderId="1" xfId="0" applyNumberFormat="1" applyFill="1" applyBorder="1" applyAlignment="1">
      <alignment horizontal="left" vertical="top" wrapText="1"/>
    </xf>
    <xf numFmtId="0" fontId="6" fillId="0" borderId="1" xfId="0" applyFont="1" applyBorder="1"/>
    <xf numFmtId="165" fontId="0" fillId="6" borderId="0" xfId="0" applyNumberFormat="1" applyFill="1" applyAlignment="1">
      <alignment horizontal="left" vertical="top" wrapText="1"/>
    </xf>
    <xf numFmtId="0" fontId="0" fillId="0" borderId="8" xfId="0" applyBorder="1" applyAlignment="1">
      <alignment horizontal="center"/>
    </xf>
    <xf numFmtId="0" fontId="0" fillId="0" borderId="2" xfId="0" applyBorder="1" applyAlignment="1">
      <alignment horizontal="center"/>
    </xf>
    <xf numFmtId="165" fontId="0" fillId="0" borderId="2" xfId="0" applyNumberFormat="1" applyBorder="1" applyAlignment="1">
      <alignment horizontal="left" vertical="top" wrapText="1"/>
    </xf>
    <xf numFmtId="0" fontId="13" fillId="0" borderId="2" xfId="0" applyFont="1" applyBorder="1"/>
    <xf numFmtId="0" fontId="9" fillId="0" borderId="1" xfId="0" applyFont="1" applyBorder="1" applyAlignment="1">
      <alignment horizontal="left" vertical="top" wrapText="1"/>
    </xf>
    <xf numFmtId="165" fontId="14" fillId="0" borderId="1" xfId="0" applyNumberFormat="1" applyFont="1" applyBorder="1" applyAlignment="1">
      <alignment horizontal="left" vertical="top" wrapText="1"/>
    </xf>
    <xf numFmtId="165" fontId="0" fillId="0" borderId="0" xfId="0" applyNumberFormat="1"/>
    <xf numFmtId="9" fontId="0" fillId="0" borderId="1" xfId="0" applyNumberFormat="1" applyBorder="1" applyAlignment="1">
      <alignment horizontal="center"/>
    </xf>
    <xf numFmtId="0" fontId="18" fillId="0" borderId="0" xfId="0" applyFont="1" applyAlignment="1">
      <alignment horizontal="left" vertical="top"/>
    </xf>
    <xf numFmtId="0" fontId="0" fillId="9" borderId="0" xfId="0" applyFill="1" applyAlignment="1">
      <alignment horizontal="left" vertical="top"/>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5" borderId="6" xfId="0" applyFont="1" applyFill="1" applyBorder="1" applyAlignment="1">
      <alignment horizontal="center" wrapText="1"/>
    </xf>
    <xf numFmtId="0" fontId="1" fillId="5" borderId="7" xfId="0" applyFont="1" applyFill="1" applyBorder="1" applyAlignment="1">
      <alignment horizontal="center"/>
    </xf>
    <xf numFmtId="0" fontId="0" fillId="8" borderId="1" xfId="0" applyFill="1" applyBorder="1" applyAlignment="1">
      <alignment horizontal="center"/>
    </xf>
    <xf numFmtId="9" fontId="0" fillId="8" borderId="1" xfId="0" applyNumberFormat="1" applyFill="1" applyBorder="1" applyAlignment="1">
      <alignment horizontal="center"/>
    </xf>
    <xf numFmtId="0" fontId="15" fillId="8" borderId="1" xfId="0" applyFont="1" applyFill="1" applyBorder="1" applyAlignment="1">
      <alignment horizontal="center"/>
    </xf>
    <xf numFmtId="0" fontId="0" fillId="8" borderId="1" xfId="0" applyFill="1" applyBorder="1"/>
    <xf numFmtId="0" fontId="0" fillId="8" borderId="17" xfId="0" applyFill="1" applyBorder="1" applyAlignment="1">
      <alignment horizontal="center"/>
    </xf>
    <xf numFmtId="9" fontId="0" fillId="8" borderId="17" xfId="0" applyNumberFormat="1" applyFill="1" applyBorder="1" applyAlignment="1">
      <alignment horizontal="center"/>
    </xf>
    <xf numFmtId="0" fontId="15" fillId="8" borderId="17" xfId="0" applyFont="1" applyFill="1" applyBorder="1" applyAlignment="1">
      <alignment horizontal="center"/>
    </xf>
    <xf numFmtId="0" fontId="0" fillId="8" borderId="17" xfId="0" applyFill="1" applyBorder="1"/>
    <xf numFmtId="0" fontId="0" fillId="8" borderId="4" xfId="0" applyFill="1" applyBorder="1" applyAlignment="1">
      <alignment horizontal="center"/>
    </xf>
    <xf numFmtId="0" fontId="0" fillId="8" borderId="4" xfId="0" applyFill="1" applyBorder="1"/>
    <xf numFmtId="0" fontId="0" fillId="10" borderId="14" xfId="0" applyFill="1" applyBorder="1" applyAlignment="1">
      <alignment horizontal="center"/>
    </xf>
    <xf numFmtId="9" fontId="0" fillId="10" borderId="14" xfId="0" applyNumberFormat="1" applyFill="1" applyBorder="1" applyAlignment="1">
      <alignment horizontal="center"/>
    </xf>
    <xf numFmtId="0" fontId="15" fillId="10" borderId="14" xfId="0" applyFont="1" applyFill="1" applyBorder="1" applyAlignment="1">
      <alignment horizontal="center"/>
    </xf>
    <xf numFmtId="0" fontId="0" fillId="10" borderId="14" xfId="0" applyFill="1" applyBorder="1"/>
    <xf numFmtId="0" fontId="0" fillId="10" borderId="1" xfId="0" applyFill="1" applyBorder="1" applyAlignment="1">
      <alignment horizontal="center"/>
    </xf>
    <xf numFmtId="9" fontId="0" fillId="10" borderId="1" xfId="0" applyNumberFormat="1" applyFill="1" applyBorder="1" applyAlignment="1">
      <alignment horizontal="center"/>
    </xf>
    <xf numFmtId="0" fontId="15" fillId="10" borderId="1" xfId="0" applyFont="1" applyFill="1" applyBorder="1" applyAlignment="1">
      <alignment horizontal="center"/>
    </xf>
    <xf numFmtId="0" fontId="0" fillId="10" borderId="1" xfId="0" applyFill="1" applyBorder="1"/>
    <xf numFmtId="165" fontId="0" fillId="0" borderId="1" xfId="0" applyNumberFormat="1" applyFont="1" applyBorder="1" applyAlignment="1">
      <alignment horizontal="left" vertical="top" wrapText="1"/>
    </xf>
    <xf numFmtId="0" fontId="20" fillId="5" borderId="1" xfId="0" applyFont="1" applyFill="1" applyBorder="1" applyAlignment="1">
      <alignment horizontal="center"/>
    </xf>
    <xf numFmtId="165" fontId="20" fillId="5" borderId="1" xfId="0" applyNumberFormat="1" applyFont="1" applyFill="1" applyBorder="1" applyAlignment="1"/>
    <xf numFmtId="0" fontId="20" fillId="11" borderId="1" xfId="0" applyFont="1" applyFill="1" applyBorder="1" applyAlignment="1">
      <alignment horizontal="center"/>
    </xf>
    <xf numFmtId="165" fontId="20" fillId="11" borderId="1" xfId="0" applyNumberFormat="1" applyFont="1" applyFill="1" applyBorder="1" applyAlignment="1"/>
    <xf numFmtId="165" fontId="0" fillId="10" borderId="1" xfId="0" applyNumberFormat="1" applyFill="1" applyBorder="1" applyAlignment="1">
      <alignment horizontal="left" vertical="top" wrapText="1"/>
    </xf>
    <xf numFmtId="165" fontId="14" fillId="10" borderId="1" xfId="0" applyNumberFormat="1" applyFont="1" applyFill="1" applyBorder="1" applyAlignment="1">
      <alignment horizontal="left" vertical="top" wrapText="1"/>
    </xf>
    <xf numFmtId="0" fontId="0" fillId="10" borderId="14" xfId="0" applyFill="1" applyBorder="1" applyAlignment="1">
      <alignment horizontal="left" vertical="center"/>
    </xf>
    <xf numFmtId="166" fontId="0" fillId="10" borderId="14" xfId="0" applyNumberFormat="1" applyFill="1" applyBorder="1" applyAlignment="1">
      <alignment horizontal="center" vertical="center" wrapText="1"/>
    </xf>
    <xf numFmtId="166" fontId="0" fillId="10" borderId="9" xfId="0" applyNumberFormat="1" applyFill="1" applyBorder="1" applyAlignment="1">
      <alignment horizontal="center" vertical="center" wrapText="1"/>
    </xf>
    <xf numFmtId="0" fontId="0" fillId="10" borderId="1" xfId="0" applyFill="1" applyBorder="1" applyAlignment="1">
      <alignment horizontal="left" vertical="center"/>
    </xf>
    <xf numFmtId="166" fontId="0" fillId="10" borderId="1" xfId="0" applyNumberFormat="1" applyFill="1" applyBorder="1" applyAlignment="1">
      <alignment horizontal="center" vertical="center" wrapText="1"/>
    </xf>
    <xf numFmtId="166" fontId="0" fillId="10" borderId="10" xfId="0" applyNumberFormat="1" applyFill="1" applyBorder="1" applyAlignment="1">
      <alignment horizontal="center" vertical="center" wrapText="1"/>
    </xf>
    <xf numFmtId="0" fontId="0" fillId="10" borderId="9" xfId="0" applyFill="1" applyBorder="1" applyAlignment="1">
      <alignment horizontal="left" vertical="center"/>
    </xf>
    <xf numFmtId="165" fontId="0" fillId="10" borderId="1" xfId="0" applyNumberFormat="1" applyFill="1" applyBorder="1" applyAlignment="1">
      <alignment horizontal="center" vertical="center" wrapText="1"/>
    </xf>
    <xf numFmtId="0" fontId="0" fillId="10" borderId="10" xfId="0" applyFill="1" applyBorder="1" applyAlignment="1">
      <alignment horizontal="left" vertical="center"/>
    </xf>
    <xf numFmtId="0" fontId="0" fillId="10" borderId="15" xfId="0" applyFill="1" applyBorder="1" applyAlignment="1">
      <alignment vertical="center"/>
    </xf>
    <xf numFmtId="9" fontId="0" fillId="10" borderId="1" xfId="0" applyNumberFormat="1" applyFill="1" applyBorder="1" applyAlignment="1">
      <alignment horizontal="left" vertical="center"/>
    </xf>
    <xf numFmtId="166" fontId="1" fillId="10" borderId="14" xfId="0" applyNumberFormat="1" applyFont="1" applyFill="1" applyBorder="1" applyAlignment="1">
      <alignment horizontal="center" vertical="center" wrapText="1"/>
    </xf>
    <xf numFmtId="0" fontId="0" fillId="10" borderId="17" xfId="0" applyFill="1" applyBorder="1" applyAlignment="1">
      <alignment horizontal="left" vertical="center"/>
    </xf>
    <xf numFmtId="0" fontId="0" fillId="10" borderId="14" xfId="0" applyFill="1" applyBorder="1" applyAlignment="1">
      <alignment horizontal="center" vertical="center"/>
    </xf>
    <xf numFmtId="0" fontId="0" fillId="10" borderId="4" xfId="0" applyFill="1" applyBorder="1" applyAlignment="1">
      <alignment horizontal="left" vertical="center"/>
    </xf>
    <xf numFmtId="0" fontId="0" fillId="10" borderId="4" xfId="0" applyFill="1" applyBorder="1" applyAlignment="1">
      <alignment horizontal="left" vertical="center" wrapText="1"/>
    </xf>
    <xf numFmtId="165" fontId="0" fillId="10" borderId="4" xfId="0" applyNumberFormat="1" applyFill="1" applyBorder="1" applyAlignment="1">
      <alignment horizontal="center" vertical="center"/>
    </xf>
    <xf numFmtId="0" fontId="0" fillId="10" borderId="1" xfId="0" applyFill="1" applyBorder="1" applyAlignment="1">
      <alignment horizontal="left" vertical="center" wrapText="1"/>
    </xf>
    <xf numFmtId="165" fontId="0" fillId="10" borderId="1" xfId="0" applyNumberFormat="1" applyFill="1" applyBorder="1" applyAlignment="1">
      <alignment horizontal="center" vertical="center"/>
    </xf>
    <xf numFmtId="0" fontId="9" fillId="11" borderId="5" xfId="0" applyFont="1" applyFill="1" applyBorder="1" applyAlignment="1">
      <alignment horizontal="center" vertical="center"/>
    </xf>
    <xf numFmtId="0" fontId="9" fillId="11" borderId="6" xfId="0" applyFont="1" applyFill="1" applyBorder="1" applyAlignment="1">
      <alignment horizontal="center" vertical="center"/>
    </xf>
    <xf numFmtId="0" fontId="9" fillId="11" borderId="6" xfId="0" applyFont="1" applyFill="1" applyBorder="1" applyAlignment="1">
      <alignment horizontal="center" vertical="center" wrapText="1"/>
    </xf>
    <xf numFmtId="0" fontId="9" fillId="11" borderId="7" xfId="0" applyFont="1" applyFill="1" applyBorder="1" applyAlignment="1">
      <alignment horizontal="center" vertical="center"/>
    </xf>
    <xf numFmtId="0" fontId="1" fillId="13" borderId="1" xfId="0" applyFont="1" applyFill="1" applyBorder="1" applyAlignment="1">
      <alignment horizontal="left" vertical="center" wrapText="1"/>
    </xf>
    <xf numFmtId="165" fontId="1" fillId="13" borderId="1" xfId="0" applyNumberFormat="1" applyFont="1" applyFill="1" applyBorder="1" applyAlignment="1">
      <alignment horizontal="center" vertical="center"/>
    </xf>
    <xf numFmtId="0" fontId="1" fillId="13" borderId="4" xfId="0" applyFont="1" applyFill="1" applyBorder="1" applyAlignment="1">
      <alignment horizontal="left" vertical="center" wrapText="1"/>
    </xf>
    <xf numFmtId="0" fontId="0" fillId="14" borderId="14" xfId="0" applyFill="1" applyBorder="1" applyAlignment="1">
      <alignment horizontal="left" vertical="center"/>
    </xf>
    <xf numFmtId="0" fontId="0" fillId="14" borderId="9" xfId="0" applyFill="1" applyBorder="1" applyAlignment="1">
      <alignment horizontal="left" vertical="center"/>
    </xf>
    <xf numFmtId="0" fontId="0" fillId="14" borderId="1" xfId="0" applyFill="1" applyBorder="1" applyAlignment="1">
      <alignment horizontal="left" vertical="center"/>
    </xf>
    <xf numFmtId="165" fontId="0" fillId="14" borderId="1" xfId="0" applyNumberFormat="1" applyFill="1" applyBorder="1" applyAlignment="1">
      <alignment horizontal="center" vertical="center" wrapText="1"/>
    </xf>
    <xf numFmtId="0" fontId="0" fillId="14" borderId="10" xfId="0" applyFill="1" applyBorder="1" applyAlignment="1">
      <alignment horizontal="left" vertical="center"/>
    </xf>
    <xf numFmtId="0" fontId="0" fillId="14" borderId="15" xfId="0" applyFill="1" applyBorder="1" applyAlignment="1">
      <alignment vertical="center"/>
    </xf>
    <xf numFmtId="9" fontId="0" fillId="14" borderId="1" xfId="0" applyNumberFormat="1" applyFill="1" applyBorder="1" applyAlignment="1">
      <alignment horizontal="left" vertical="center"/>
    </xf>
    <xf numFmtId="0" fontId="0" fillId="14" borderId="19" xfId="0" applyFill="1" applyBorder="1" applyAlignment="1">
      <alignment vertical="center"/>
    </xf>
    <xf numFmtId="9" fontId="0" fillId="14" borderId="3" xfId="0" applyNumberFormat="1" applyFill="1" applyBorder="1" applyAlignment="1">
      <alignment horizontal="left" vertical="center"/>
    </xf>
    <xf numFmtId="165" fontId="15" fillId="14" borderId="3" xfId="0" applyNumberFormat="1" applyFont="1" applyFill="1" applyBorder="1" applyAlignment="1">
      <alignment horizontal="center" vertical="center" wrapText="1"/>
    </xf>
    <xf numFmtId="0" fontId="0" fillId="14" borderId="3" xfId="0" applyFill="1" applyBorder="1" applyAlignment="1">
      <alignment horizontal="left" vertical="center"/>
    </xf>
    <xf numFmtId="166" fontId="0" fillId="14" borderId="14" xfId="0" applyNumberFormat="1" applyFill="1" applyBorder="1" applyAlignment="1">
      <alignment horizontal="center" vertical="center" wrapText="1"/>
    </xf>
    <xf numFmtId="0" fontId="0" fillId="14" borderId="16" xfId="0" applyFill="1" applyBorder="1" applyAlignment="1">
      <alignment vertical="center"/>
    </xf>
    <xf numFmtId="9" fontId="0" fillId="14" borderId="17" xfId="0" applyNumberFormat="1" applyFill="1" applyBorder="1" applyAlignment="1">
      <alignment horizontal="left" vertical="center"/>
    </xf>
    <xf numFmtId="165" fontId="17" fillId="14" borderId="17" xfId="0" applyNumberFormat="1" applyFont="1" applyFill="1" applyBorder="1" applyAlignment="1">
      <alignment horizontal="center" vertical="center" wrapText="1"/>
    </xf>
    <xf numFmtId="0" fontId="0" fillId="14" borderId="17" xfId="0" applyFill="1" applyBorder="1" applyAlignment="1">
      <alignment horizontal="left" vertical="center"/>
    </xf>
    <xf numFmtId="0" fontId="0" fillId="14" borderId="4" xfId="0" applyFill="1" applyBorder="1" applyAlignment="1">
      <alignment horizontal="left" vertical="center"/>
    </xf>
    <xf numFmtId="166" fontId="10" fillId="14" borderId="4" xfId="0" applyNumberFormat="1" applyFont="1" applyFill="1" applyBorder="1" applyAlignment="1">
      <alignment horizontal="center" vertical="center" wrapText="1"/>
    </xf>
    <xf numFmtId="0" fontId="0" fillId="14" borderId="22" xfId="0" applyFill="1" applyBorder="1" applyAlignment="1">
      <alignment horizontal="left" vertical="center"/>
    </xf>
    <xf numFmtId="166" fontId="0" fillId="10" borderId="17" xfId="0" applyNumberFormat="1" applyFill="1" applyBorder="1" applyAlignment="1">
      <alignment horizontal="center" vertical="center" wrapText="1"/>
    </xf>
    <xf numFmtId="166" fontId="0" fillId="10" borderId="11" xfId="0" applyNumberFormat="1" applyFill="1" applyBorder="1" applyAlignment="1">
      <alignment horizontal="center" vertical="center" wrapText="1"/>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9" fillId="11" borderId="33" xfId="0" applyFont="1" applyFill="1" applyBorder="1" applyAlignment="1">
      <alignment horizontal="center" vertical="center" wrapText="1"/>
    </xf>
    <xf numFmtId="0" fontId="9" fillId="11" borderId="0" xfId="0" applyFont="1" applyFill="1" applyBorder="1" applyAlignment="1">
      <alignment horizontal="center" vertical="center" wrapText="1"/>
    </xf>
    <xf numFmtId="166" fontId="0" fillId="10" borderId="0" xfId="0" applyNumberFormat="1" applyFill="1" applyBorder="1" applyAlignment="1">
      <alignment horizontal="center" vertical="center" wrapText="1"/>
    </xf>
    <xf numFmtId="0" fontId="0" fillId="10" borderId="34" xfId="0" applyFill="1" applyBorder="1" applyAlignment="1">
      <alignment horizontal="left" vertical="center"/>
    </xf>
    <xf numFmtId="0" fontId="0" fillId="10" borderId="32" xfId="0" applyFill="1" applyBorder="1" applyAlignment="1">
      <alignment horizontal="left" vertical="center"/>
    </xf>
    <xf numFmtId="0" fontId="0" fillId="10" borderId="23" xfId="0" applyFill="1" applyBorder="1" applyAlignment="1">
      <alignment vertical="center"/>
    </xf>
    <xf numFmtId="0" fontId="0" fillId="10" borderId="16" xfId="0" applyFill="1" applyBorder="1" applyAlignment="1">
      <alignment vertical="center"/>
    </xf>
    <xf numFmtId="9" fontId="0" fillId="10" borderId="17" xfId="0" applyNumberFormat="1" applyFill="1" applyBorder="1" applyAlignment="1">
      <alignment horizontal="left" vertical="center"/>
    </xf>
    <xf numFmtId="165" fontId="15" fillId="10" borderId="17" xfId="0" applyNumberFormat="1" applyFont="1" applyFill="1" applyBorder="1" applyAlignment="1">
      <alignment horizontal="center" vertical="center" wrapText="1"/>
    </xf>
    <xf numFmtId="0" fontId="0" fillId="10" borderId="11" xfId="0" applyFill="1" applyBorder="1" applyAlignment="1">
      <alignment horizontal="left" vertical="center"/>
    </xf>
    <xf numFmtId="165" fontId="0" fillId="11" borderId="39" xfId="0" applyNumberFormat="1" applyFill="1" applyBorder="1" applyAlignment="1">
      <alignment horizontal="center" vertical="center"/>
    </xf>
    <xf numFmtId="0" fontId="1" fillId="11" borderId="18" xfId="0" applyFont="1" applyFill="1" applyBorder="1" applyAlignment="1">
      <alignment horizontal="left" vertical="center"/>
    </xf>
    <xf numFmtId="165" fontId="17" fillId="10" borderId="17" xfId="0" applyNumberFormat="1" applyFont="1" applyFill="1" applyBorder="1" applyAlignment="1">
      <alignment horizontal="center" vertical="center" wrapText="1"/>
    </xf>
    <xf numFmtId="165" fontId="0" fillId="14" borderId="1" xfId="0" applyNumberFormat="1" applyFill="1" applyBorder="1" applyAlignment="1">
      <alignment horizontal="left" vertical="center"/>
    </xf>
    <xf numFmtId="0" fontId="21" fillId="4" borderId="1" xfId="0" applyFont="1" applyFill="1" applyBorder="1" applyAlignment="1">
      <alignment horizontal="center"/>
    </xf>
    <xf numFmtId="165" fontId="10" fillId="4" borderId="1" xfId="0" applyNumberFormat="1" applyFont="1" applyFill="1" applyBorder="1" applyAlignment="1">
      <alignment horizontal="center"/>
    </xf>
    <xf numFmtId="165" fontId="14" fillId="0" borderId="1" xfId="0" applyNumberFormat="1" applyFont="1" applyBorder="1" applyAlignment="1">
      <alignment horizontal="center" vertical="top" wrapText="1"/>
    </xf>
    <xf numFmtId="165" fontId="0" fillId="10" borderId="1" xfId="0" applyNumberFormat="1" applyFill="1" applyBorder="1" applyAlignment="1">
      <alignment horizontal="center" vertical="top" wrapText="1"/>
    </xf>
    <xf numFmtId="165" fontId="14" fillId="10" borderId="1" xfId="0" applyNumberFormat="1" applyFont="1" applyFill="1" applyBorder="1" applyAlignment="1">
      <alignment horizontal="center" vertical="top" wrapText="1"/>
    </xf>
    <xf numFmtId="165" fontId="0" fillId="0" borderId="1" xfId="0" applyNumberFormat="1" applyFont="1" applyBorder="1" applyAlignment="1">
      <alignment horizontal="center" vertical="top" wrapText="1"/>
    </xf>
    <xf numFmtId="0" fontId="21" fillId="15" borderId="1" xfId="0" applyFont="1" applyFill="1" applyBorder="1" applyAlignment="1">
      <alignment horizontal="center"/>
    </xf>
    <xf numFmtId="165" fontId="21" fillId="15" borderId="1" xfId="0" applyNumberFormat="1" applyFont="1" applyFill="1" applyBorder="1" applyAlignment="1">
      <alignment horizontal="center"/>
    </xf>
    <xf numFmtId="0" fontId="19" fillId="4" borderId="5" xfId="0" applyFont="1" applyFill="1" applyBorder="1" applyAlignment="1">
      <alignment horizontal="center"/>
    </xf>
    <xf numFmtId="0" fontId="19" fillId="4" borderId="6" xfId="0" applyFont="1" applyFill="1" applyBorder="1" applyAlignment="1">
      <alignment horizontal="center"/>
    </xf>
    <xf numFmtId="165" fontId="1" fillId="0" borderId="1" xfId="0" applyNumberFormat="1" applyFont="1" applyBorder="1" applyAlignment="1">
      <alignment horizontal="center" vertical="top" wrapText="1"/>
    </xf>
    <xf numFmtId="9" fontId="0" fillId="10" borderId="30" xfId="0" applyNumberFormat="1" applyFill="1" applyBorder="1" applyAlignment="1">
      <alignment horizontal="center"/>
    </xf>
    <xf numFmtId="0" fontId="15" fillId="10" borderId="32" xfId="0" applyFont="1" applyFill="1" applyBorder="1" applyAlignment="1">
      <alignment horizontal="center"/>
    </xf>
    <xf numFmtId="0" fontId="15" fillId="10" borderId="40" xfId="0" applyFont="1" applyFill="1" applyBorder="1" applyAlignment="1">
      <alignment horizontal="center"/>
    </xf>
    <xf numFmtId="0" fontId="15" fillId="10" borderId="4" xfId="0" applyFont="1" applyFill="1" applyBorder="1" applyAlignment="1">
      <alignment horizontal="center"/>
    </xf>
    <xf numFmtId="0" fontId="0" fillId="10" borderId="32" xfId="0" applyFill="1" applyBorder="1"/>
    <xf numFmtId="0" fontId="15" fillId="10" borderId="41" xfId="0" applyFont="1" applyFill="1" applyBorder="1" applyAlignment="1">
      <alignment horizontal="center"/>
    </xf>
    <xf numFmtId="9" fontId="0" fillId="10" borderId="40" xfId="0" applyNumberFormat="1" applyFill="1" applyBorder="1" applyAlignment="1">
      <alignment horizontal="center"/>
    </xf>
    <xf numFmtId="0" fontId="0" fillId="10" borderId="15" xfId="0" applyFill="1" applyBorder="1" applyAlignment="1">
      <alignment horizontal="center" vertical="center"/>
    </xf>
    <xf numFmtId="0" fontId="0" fillId="10" borderId="16" xfId="0" applyFill="1" applyBorder="1" applyAlignment="1">
      <alignment horizontal="center" vertical="center"/>
    </xf>
    <xf numFmtId="0" fontId="0" fillId="11" borderId="38" xfId="0" applyFill="1" applyBorder="1" applyAlignment="1">
      <alignment horizontal="center" vertical="center"/>
    </xf>
    <xf numFmtId="0" fontId="0" fillId="11" borderId="39" xfId="0" applyFill="1" applyBorder="1" applyAlignment="1">
      <alignment horizontal="center" vertical="center"/>
    </xf>
    <xf numFmtId="0" fontId="0" fillId="14" borderId="10" xfId="0" applyFont="1" applyFill="1" applyBorder="1" applyAlignment="1">
      <alignment horizontal="left" vertical="center" wrapText="1"/>
    </xf>
    <xf numFmtId="0" fontId="0" fillId="14" borderId="12" xfId="0" applyFont="1" applyFill="1" applyBorder="1" applyAlignment="1">
      <alignment horizontal="left" vertical="center"/>
    </xf>
    <xf numFmtId="0" fontId="1" fillId="14" borderId="23" xfId="0" applyFont="1" applyFill="1" applyBorder="1" applyAlignment="1">
      <alignment horizontal="center" vertical="center" wrapText="1"/>
    </xf>
    <xf numFmtId="0" fontId="1" fillId="14" borderId="15" xfId="0" applyFont="1" applyFill="1" applyBorder="1" applyAlignment="1">
      <alignment horizontal="center" vertical="center" wrapText="1"/>
    </xf>
    <xf numFmtId="0" fontId="0" fillId="14" borderId="11" xfId="0" applyFont="1" applyFill="1" applyBorder="1" applyAlignment="1">
      <alignment horizontal="left" vertical="center"/>
    </xf>
    <xf numFmtId="0" fontId="1" fillId="10" borderId="35" xfId="0" applyFont="1" applyFill="1" applyBorder="1" applyAlignment="1">
      <alignment horizontal="center" vertical="center" wrapText="1"/>
    </xf>
    <xf numFmtId="0" fontId="1" fillId="10" borderId="36" xfId="0" applyFont="1" applyFill="1" applyBorder="1" applyAlignment="1">
      <alignment horizontal="center" vertical="center" wrapText="1"/>
    </xf>
    <xf numFmtId="0" fontId="1" fillId="10" borderId="37" xfId="0" applyFont="1" applyFill="1" applyBorder="1" applyAlignment="1">
      <alignment horizontal="center" vertical="center" wrapText="1"/>
    </xf>
    <xf numFmtId="0" fontId="1" fillId="14" borderId="13"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5" xfId="0" applyFont="1" applyFill="1" applyBorder="1" applyAlignment="1">
      <alignment horizontal="center" vertical="center" wrapText="1"/>
    </xf>
    <xf numFmtId="0" fontId="0" fillId="10" borderId="10" xfId="0" applyFont="1" applyFill="1" applyBorder="1" applyAlignment="1">
      <alignment horizontal="left" vertical="center" wrapText="1"/>
    </xf>
    <xf numFmtId="0" fontId="0" fillId="10" borderId="11" xfId="0" applyFont="1" applyFill="1" applyBorder="1" applyAlignment="1">
      <alignment horizontal="left" vertical="center"/>
    </xf>
    <xf numFmtId="0" fontId="1" fillId="12" borderId="1" xfId="0" applyFont="1" applyFill="1" applyBorder="1" applyAlignment="1">
      <alignment horizontal="center"/>
    </xf>
    <xf numFmtId="0" fontId="19" fillId="5" borderId="30" xfId="0" applyFont="1" applyFill="1" applyBorder="1" applyAlignment="1">
      <alignment horizontal="center"/>
    </xf>
    <xf numFmtId="0" fontId="19" fillId="5" borderId="31" xfId="0" applyFont="1" applyFill="1" applyBorder="1" applyAlignment="1">
      <alignment horizontal="center"/>
    </xf>
    <xf numFmtId="0" fontId="19" fillId="11" borderId="30" xfId="0" applyFont="1" applyFill="1" applyBorder="1" applyAlignment="1">
      <alignment horizontal="center"/>
    </xf>
    <xf numFmtId="0" fontId="19" fillId="11" borderId="31" xfId="0" applyFont="1"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19" fillId="7" borderId="24" xfId="0" applyFont="1" applyFill="1" applyBorder="1" applyAlignment="1">
      <alignment horizontal="center" vertical="center"/>
    </xf>
    <xf numFmtId="0" fontId="19" fillId="7" borderId="25" xfId="0" applyFont="1" applyFill="1" applyBorder="1" applyAlignment="1">
      <alignment horizontal="center" vertical="center"/>
    </xf>
    <xf numFmtId="0" fontId="19" fillId="7" borderId="26" xfId="0" applyFont="1" applyFill="1" applyBorder="1" applyAlignment="1">
      <alignment horizontal="center" vertical="center"/>
    </xf>
    <xf numFmtId="0" fontId="19" fillId="7" borderId="27" xfId="0" applyFont="1" applyFill="1" applyBorder="1" applyAlignment="1">
      <alignment horizontal="center" vertical="center"/>
    </xf>
    <xf numFmtId="0" fontId="19" fillId="7" borderId="28" xfId="0" applyFont="1" applyFill="1" applyBorder="1" applyAlignment="1">
      <alignment horizontal="center" vertical="center"/>
    </xf>
    <xf numFmtId="0" fontId="19" fillId="7" borderId="29" xfId="0" applyFont="1" applyFill="1" applyBorder="1" applyAlignment="1">
      <alignment horizontal="center" vertical="center"/>
    </xf>
    <xf numFmtId="0" fontId="0" fillId="10" borderId="13" xfId="0" applyFill="1" applyBorder="1" applyAlignment="1">
      <alignment horizontal="center" vertical="center" wrapText="1"/>
    </xf>
    <xf numFmtId="0" fontId="0" fillId="10" borderId="20" xfId="0" applyFill="1" applyBorder="1" applyAlignment="1">
      <alignment horizontal="center" vertical="center"/>
    </xf>
    <xf numFmtId="0" fontId="0" fillId="10" borderId="21" xfId="0" applyFill="1" applyBorder="1" applyAlignment="1">
      <alignment horizontal="center" vertical="center"/>
    </xf>
    <xf numFmtId="0" fontId="0" fillId="10" borderId="22" xfId="0" applyFill="1" applyBorder="1" applyAlignment="1">
      <alignment horizontal="center" vertical="center"/>
    </xf>
    <xf numFmtId="0" fontId="0" fillId="8" borderId="15" xfId="0" applyFill="1" applyBorder="1" applyAlignment="1">
      <alignment horizontal="center" vertical="center" wrapText="1"/>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6" fillId="8" borderId="12" xfId="0" applyFont="1" applyFill="1" applyBorder="1" applyAlignment="1">
      <alignment horizontal="center" vertical="center" wrapText="1"/>
    </xf>
    <xf numFmtId="0" fontId="6" fillId="8" borderId="21" xfId="0" applyFont="1" applyFill="1" applyBorder="1" applyAlignment="1">
      <alignment horizontal="center" vertical="center"/>
    </xf>
    <xf numFmtId="0" fontId="6" fillId="8" borderId="18" xfId="0" applyFont="1" applyFill="1" applyBorder="1" applyAlignment="1">
      <alignment horizontal="center" vertical="center"/>
    </xf>
    <xf numFmtId="0" fontId="0" fillId="8" borderId="23" xfId="0" applyFill="1" applyBorder="1" applyAlignment="1">
      <alignment horizontal="center" vertical="center" wrapText="1"/>
    </xf>
    <xf numFmtId="0" fontId="6" fillId="8" borderId="22" xfId="0" applyFont="1" applyFill="1" applyBorder="1" applyAlignment="1">
      <alignment horizontal="center" vertical="top" wrapText="1"/>
    </xf>
    <xf numFmtId="0" fontId="6" fillId="8" borderId="10" xfId="0" applyFont="1" applyFill="1" applyBorder="1" applyAlignment="1">
      <alignment horizontal="center" vertical="top" wrapText="1"/>
    </xf>
    <xf numFmtId="0" fontId="0" fillId="0" borderId="15" xfId="0" applyBorder="1" applyAlignment="1">
      <alignment horizontal="center" vertical="center" wrapText="1"/>
    </xf>
    <xf numFmtId="0" fontId="0" fillId="0" borderId="15" xfId="0" applyBorder="1" applyAlignment="1">
      <alignment horizontal="center" vertical="center"/>
    </xf>
    <xf numFmtId="0" fontId="6" fillId="0" borderId="10" xfId="0" applyFont="1" applyBorder="1" applyAlignment="1">
      <alignment horizontal="center" vertical="top" wrapText="1"/>
    </xf>
    <xf numFmtId="0" fontId="6" fillId="0" borderId="10" xfId="0" applyFont="1" applyBorder="1" applyAlignment="1">
      <alignment horizontal="center" vertical="top"/>
    </xf>
    <xf numFmtId="0" fontId="0" fillId="8" borderId="12" xfId="0" applyFill="1" applyBorder="1" applyAlignment="1">
      <alignment horizontal="center"/>
    </xf>
    <xf numFmtId="0" fontId="0" fillId="8" borderId="21" xfId="0" applyFill="1" applyBorder="1" applyAlignment="1">
      <alignment horizontal="center"/>
    </xf>
    <xf numFmtId="0" fontId="0" fillId="8" borderId="18" xfId="0" applyFill="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0" fillId="15" borderId="30" xfId="0" applyFont="1" applyFill="1" applyBorder="1" applyAlignment="1">
      <alignment horizontal="center"/>
    </xf>
    <xf numFmtId="0" fontId="10" fillId="15" borderId="31" xfId="0" applyFont="1" applyFill="1" applyBorder="1" applyAlignment="1">
      <alignment horizontal="center"/>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 fillId="0" borderId="30" xfId="0" applyFont="1" applyBorder="1" applyAlignment="1">
      <alignment horizontal="left"/>
    </xf>
    <xf numFmtId="0" fontId="1" fillId="0" borderId="31" xfId="0" applyFont="1" applyBorder="1" applyAlignment="1">
      <alignment horizontal="left"/>
    </xf>
    <xf numFmtId="0" fontId="1" fillId="0" borderId="32" xfId="0" applyFont="1" applyBorder="1" applyAlignment="1">
      <alignment horizontal="left"/>
    </xf>
    <xf numFmtId="0" fontId="1" fillId="15" borderId="1" xfId="0" applyFont="1" applyFill="1" applyBorder="1" applyAlignment="1">
      <alignment horizontal="center"/>
    </xf>
    <xf numFmtId="0" fontId="0" fillId="0" borderId="30" xfId="0" applyBorder="1" applyAlignment="1">
      <alignment horizontal="left"/>
    </xf>
    <xf numFmtId="0" fontId="0" fillId="0" borderId="31" xfId="0" applyBorder="1" applyAlignment="1">
      <alignment horizontal="left"/>
    </xf>
    <xf numFmtId="0" fontId="0" fillId="0" borderId="32" xfId="0" applyBorder="1" applyAlignment="1">
      <alignment horizontal="left"/>
    </xf>
  </cellXfs>
  <cellStyles count="1">
    <cellStyle name="Normal" xfId="0" builtinId="0"/>
  </cellStyles>
  <dxfs count="0"/>
  <tableStyles count="0" defaultTableStyle="TableStyleMedium2" defaultPivotStyle="PivotStyleLight16"/>
  <colors>
    <mruColors>
      <color rgb="FF1FE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en.wikipedia.org/wiki/Chhattisgarh" TargetMode="External"/><Relationship Id="rId18" Type="http://schemas.openxmlformats.org/officeDocument/2006/relationships/hyperlink" Target="https://en.wikipedia.org/wiki/Alcohol_laws_of_India" TargetMode="External"/><Relationship Id="rId26" Type="http://schemas.openxmlformats.org/officeDocument/2006/relationships/hyperlink" Target="https://en.wikipedia.org/wiki/Jharkhand" TargetMode="External"/><Relationship Id="rId39" Type="http://schemas.openxmlformats.org/officeDocument/2006/relationships/hyperlink" Target="https://en.wikipedia.org/wiki/Mizoram" TargetMode="External"/><Relationship Id="rId21" Type="http://schemas.openxmlformats.org/officeDocument/2006/relationships/hyperlink" Target="https://en.wikipedia.org/wiki/Haryana" TargetMode="External"/><Relationship Id="rId34" Type="http://schemas.openxmlformats.org/officeDocument/2006/relationships/hyperlink" Target="https://en.wikipedia.org/wiki/Maharashtra" TargetMode="External"/><Relationship Id="rId42" Type="http://schemas.openxmlformats.org/officeDocument/2006/relationships/hyperlink" Target="https://en.wikipedia.org/wiki/Odisha" TargetMode="External"/><Relationship Id="rId47" Type="http://schemas.openxmlformats.org/officeDocument/2006/relationships/hyperlink" Target="https://en.wikipedia.org/wiki/Rajasthan" TargetMode="External"/><Relationship Id="rId50" Type="http://schemas.openxmlformats.org/officeDocument/2006/relationships/hyperlink" Target="https://en.wikipedia.org/wiki/Alcohol_laws_of_India" TargetMode="External"/><Relationship Id="rId55" Type="http://schemas.openxmlformats.org/officeDocument/2006/relationships/hyperlink" Target="https://en.wikipedia.org/wiki/Uttar_Pradesh" TargetMode="External"/><Relationship Id="rId63" Type="http://schemas.openxmlformats.org/officeDocument/2006/relationships/hyperlink" Target="https://en.wikipedia.org/wiki/Alcohol_laws_of_India" TargetMode="External"/><Relationship Id="rId7" Type="http://schemas.openxmlformats.org/officeDocument/2006/relationships/hyperlink" Target="https://en.wikipedia.org/wiki/Assam" TargetMode="External"/><Relationship Id="rId2" Type="http://schemas.openxmlformats.org/officeDocument/2006/relationships/hyperlink" Target="https://en.wikipedia.org/wiki/Alcohol_laws_of_India" TargetMode="External"/><Relationship Id="rId16" Type="http://schemas.openxmlformats.org/officeDocument/2006/relationships/hyperlink" Target="https://en.wikipedia.org/wiki/Delhi" TargetMode="External"/><Relationship Id="rId29" Type="http://schemas.openxmlformats.org/officeDocument/2006/relationships/hyperlink" Target="https://en.wikipedia.org/wiki/Alcohol_laws_of_India" TargetMode="External"/><Relationship Id="rId11" Type="http://schemas.openxmlformats.org/officeDocument/2006/relationships/hyperlink" Target="https://en.wikipedia.org/wiki/Chandigarh" TargetMode="External"/><Relationship Id="rId24" Type="http://schemas.openxmlformats.org/officeDocument/2006/relationships/hyperlink" Target="https://en.wikipedia.org/wiki/Alcohol_laws_of_India" TargetMode="External"/><Relationship Id="rId32" Type="http://schemas.openxmlformats.org/officeDocument/2006/relationships/hyperlink" Target="https://en.wikipedia.org/wiki/Madhya_Pradesh" TargetMode="External"/><Relationship Id="rId37" Type="http://schemas.openxmlformats.org/officeDocument/2006/relationships/hyperlink" Target="https://en.wikipedia.org/wiki/Meghalaya" TargetMode="External"/><Relationship Id="rId40" Type="http://schemas.openxmlformats.org/officeDocument/2006/relationships/hyperlink" Target="https://en.wikipedia.org/wiki/Alcohol_laws_of_India" TargetMode="External"/><Relationship Id="rId45" Type="http://schemas.openxmlformats.org/officeDocument/2006/relationships/hyperlink" Target="https://en.wikipedia.org/wiki/Punjab,_India" TargetMode="External"/><Relationship Id="rId53" Type="http://schemas.openxmlformats.org/officeDocument/2006/relationships/hyperlink" Target="https://en.wikipedia.org/wiki/Telangana" TargetMode="External"/><Relationship Id="rId58" Type="http://schemas.openxmlformats.org/officeDocument/2006/relationships/hyperlink" Target="https://en.wikipedia.org/wiki/Alcohol_laws_of_India" TargetMode="External"/><Relationship Id="rId5" Type="http://schemas.openxmlformats.org/officeDocument/2006/relationships/hyperlink" Target="https://en.wikipedia.org/wiki/Arunachal_Pradesh" TargetMode="External"/><Relationship Id="rId61" Type="http://schemas.openxmlformats.org/officeDocument/2006/relationships/hyperlink" Target="https://en.wikipedia.org/wiki/Alcohol_laws_of_India" TargetMode="External"/><Relationship Id="rId19" Type="http://schemas.openxmlformats.org/officeDocument/2006/relationships/hyperlink" Target="https://en.wikipedia.org/wiki/Gujarat" TargetMode="External"/><Relationship Id="rId14" Type="http://schemas.openxmlformats.org/officeDocument/2006/relationships/hyperlink" Target="https://en.wikipedia.org/wiki/Alcohol_laws_of_India" TargetMode="External"/><Relationship Id="rId22" Type="http://schemas.openxmlformats.org/officeDocument/2006/relationships/hyperlink" Target="https://en.wikipedia.org/wiki/Alcohol_laws_of_India" TargetMode="External"/><Relationship Id="rId27" Type="http://schemas.openxmlformats.org/officeDocument/2006/relationships/hyperlink" Target="https://en.wikipedia.org/wiki/Karnataka" TargetMode="External"/><Relationship Id="rId30" Type="http://schemas.openxmlformats.org/officeDocument/2006/relationships/hyperlink" Target="https://en.wikipedia.org/wiki/Ladakh" TargetMode="External"/><Relationship Id="rId35" Type="http://schemas.openxmlformats.org/officeDocument/2006/relationships/hyperlink" Target="https://en.wikipedia.org/wiki/Manipur" TargetMode="External"/><Relationship Id="rId43" Type="http://schemas.openxmlformats.org/officeDocument/2006/relationships/hyperlink" Target="https://en.wikipedia.org/wiki/Puducherry" TargetMode="External"/><Relationship Id="rId48" Type="http://schemas.openxmlformats.org/officeDocument/2006/relationships/hyperlink" Target="https://en.wikipedia.org/wiki/Alcohol_laws_of_India" TargetMode="External"/><Relationship Id="rId56" Type="http://schemas.openxmlformats.org/officeDocument/2006/relationships/hyperlink" Target="https://en.wikipedia.org/wiki/Uttarakhand" TargetMode="External"/><Relationship Id="rId64" Type="http://schemas.openxmlformats.org/officeDocument/2006/relationships/printerSettings" Target="../printerSettings/printerSettings7.bin"/><Relationship Id="rId8" Type="http://schemas.openxmlformats.org/officeDocument/2006/relationships/hyperlink" Target="https://en.wikipedia.org/wiki/Alcohol_laws_of_India" TargetMode="External"/><Relationship Id="rId51" Type="http://schemas.openxmlformats.org/officeDocument/2006/relationships/hyperlink" Target="https://en.wikipedia.org/wiki/Tamil_Nadu" TargetMode="External"/><Relationship Id="rId3" Type="http://schemas.openxmlformats.org/officeDocument/2006/relationships/hyperlink" Target="https://en.wikipedia.org/wiki/Andhra_Pradesh" TargetMode="External"/><Relationship Id="rId12" Type="http://schemas.openxmlformats.org/officeDocument/2006/relationships/hyperlink" Target="https://en.wikipedia.org/wiki/Alcohol_laws_of_India" TargetMode="External"/><Relationship Id="rId17" Type="http://schemas.openxmlformats.org/officeDocument/2006/relationships/hyperlink" Target="https://en.wikipedia.org/wiki/Goa" TargetMode="External"/><Relationship Id="rId25" Type="http://schemas.openxmlformats.org/officeDocument/2006/relationships/hyperlink" Target="https://en.wikipedia.org/wiki/Jammu_and_Kashmir_(union_territory)" TargetMode="External"/><Relationship Id="rId33" Type="http://schemas.openxmlformats.org/officeDocument/2006/relationships/hyperlink" Target="https://en.wikipedia.org/wiki/Alcohol_laws_of_India" TargetMode="External"/><Relationship Id="rId38" Type="http://schemas.openxmlformats.org/officeDocument/2006/relationships/hyperlink" Target="https://en.wikipedia.org/wiki/Alcohol_laws_of_India" TargetMode="External"/><Relationship Id="rId46" Type="http://schemas.openxmlformats.org/officeDocument/2006/relationships/hyperlink" Target="https://en.wikipedia.org/wiki/Alcohol_laws_of_India" TargetMode="External"/><Relationship Id="rId59" Type="http://schemas.openxmlformats.org/officeDocument/2006/relationships/hyperlink" Target="https://en.wikipedia.org/wiki/Alcohol_laws_of_India" TargetMode="External"/><Relationship Id="rId20" Type="http://schemas.openxmlformats.org/officeDocument/2006/relationships/hyperlink" Target="https://en.wikipedia.org/wiki/Bombay_Prohibition_(Gujarat_Amendment)_Act,_2009" TargetMode="External"/><Relationship Id="rId41" Type="http://schemas.openxmlformats.org/officeDocument/2006/relationships/hyperlink" Target="https://en.wikipedia.org/wiki/Nagaland" TargetMode="External"/><Relationship Id="rId54" Type="http://schemas.openxmlformats.org/officeDocument/2006/relationships/hyperlink" Target="https://en.wikipedia.org/wiki/Tripura" TargetMode="External"/><Relationship Id="rId62" Type="http://schemas.openxmlformats.org/officeDocument/2006/relationships/hyperlink" Target="https://en.wikipedia.org/wiki/Alcohol_laws_of_India" TargetMode="External"/><Relationship Id="rId1" Type="http://schemas.openxmlformats.org/officeDocument/2006/relationships/hyperlink" Target="https://en.wikipedia.org/wiki/Andaman_and_Nicobar_Islands" TargetMode="External"/><Relationship Id="rId6" Type="http://schemas.openxmlformats.org/officeDocument/2006/relationships/hyperlink" Target="https://en.wikipedia.org/wiki/Alcohol_laws_of_India" TargetMode="External"/><Relationship Id="rId15" Type="http://schemas.openxmlformats.org/officeDocument/2006/relationships/hyperlink" Target="https://en.wikipedia.org/wiki/Dadra_and_Nagar_Haveli_and_Daman_and_Diu" TargetMode="External"/><Relationship Id="rId23" Type="http://schemas.openxmlformats.org/officeDocument/2006/relationships/hyperlink" Target="https://en.wikipedia.org/wiki/Himachal_Pradesh" TargetMode="External"/><Relationship Id="rId28" Type="http://schemas.openxmlformats.org/officeDocument/2006/relationships/hyperlink" Target="https://en.wikipedia.org/wiki/Kerala" TargetMode="External"/><Relationship Id="rId36" Type="http://schemas.openxmlformats.org/officeDocument/2006/relationships/hyperlink" Target="https://en.wikipedia.org/wiki/Alcohol_laws_of_India" TargetMode="External"/><Relationship Id="rId49" Type="http://schemas.openxmlformats.org/officeDocument/2006/relationships/hyperlink" Target="https://en.wikipedia.org/wiki/Sikkim" TargetMode="External"/><Relationship Id="rId57" Type="http://schemas.openxmlformats.org/officeDocument/2006/relationships/hyperlink" Target="https://en.wikipedia.org/wiki/West_Bengal" TargetMode="External"/><Relationship Id="rId10" Type="http://schemas.openxmlformats.org/officeDocument/2006/relationships/hyperlink" Target="https://en.wikipedia.org/wiki/Bihar_Excise_(Amendment)_Act,_2016" TargetMode="External"/><Relationship Id="rId31" Type="http://schemas.openxmlformats.org/officeDocument/2006/relationships/hyperlink" Target="https://en.wikipedia.org/wiki/Lakshadweep" TargetMode="External"/><Relationship Id="rId44" Type="http://schemas.openxmlformats.org/officeDocument/2006/relationships/hyperlink" Target="https://en.wikipedia.org/wiki/Alcohol_laws_of_India" TargetMode="External"/><Relationship Id="rId52" Type="http://schemas.openxmlformats.org/officeDocument/2006/relationships/hyperlink" Target="https://en.wikipedia.org/wiki/Alcohol_laws_of_India" TargetMode="External"/><Relationship Id="rId60" Type="http://schemas.openxmlformats.org/officeDocument/2006/relationships/hyperlink" Target="https://en.wikipedia.org/wiki/Alcohol_laws_of_India" TargetMode="External"/><Relationship Id="rId4" Type="http://schemas.openxmlformats.org/officeDocument/2006/relationships/hyperlink" Target="https://en.wikipedia.org/wiki/Alcohol_laws_of_India" TargetMode="External"/><Relationship Id="rId9" Type="http://schemas.openxmlformats.org/officeDocument/2006/relationships/hyperlink" Target="https://en.wikipedia.org/wiki/Bihar"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n.wikipedia.org/wiki/Insurance_premium" TargetMode="External"/><Relationship Id="rId2" Type="http://schemas.openxmlformats.org/officeDocument/2006/relationships/hyperlink" Target="https://en.wikipedia.org/wiki/Internet" TargetMode="External"/><Relationship Id="rId1" Type="http://schemas.openxmlformats.org/officeDocument/2006/relationships/hyperlink" Target="https://en.wikipedia.org/wiki/Advertising"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zoomScale="90" zoomScaleNormal="90" workbookViewId="0">
      <pane ySplit="1" topLeftCell="A2" activePane="bottomLeft" state="frozen"/>
      <selection activeCell="B1" sqref="B1"/>
      <selection pane="bottomLeft" activeCell="H7" sqref="H7"/>
    </sheetView>
  </sheetViews>
  <sheetFormatPr defaultRowHeight="15" x14ac:dyDescent="0.25"/>
  <cols>
    <col min="1" max="1" width="31.85546875" style="3" bestFit="1" customWidth="1"/>
    <col min="2" max="2" width="41.5703125" bestFit="1" customWidth="1"/>
    <col min="3" max="3" width="13.85546875" style="43" bestFit="1" customWidth="1"/>
    <col min="4" max="4" width="17.140625" style="43" customWidth="1"/>
    <col min="5" max="5" width="18.85546875" style="43" customWidth="1"/>
    <col min="6" max="6" width="49.28515625" customWidth="1"/>
    <col min="7" max="7" width="18.85546875" customWidth="1"/>
    <col min="8" max="8" width="18.42578125" customWidth="1"/>
  </cols>
  <sheetData>
    <row r="1" spans="1:9" ht="15.75" thickBot="1" x14ac:dyDescent="0.3">
      <c r="A1" s="116" t="s">
        <v>239</v>
      </c>
      <c r="B1" s="117" t="s">
        <v>240</v>
      </c>
      <c r="C1" s="118" t="s">
        <v>335</v>
      </c>
      <c r="D1" s="118" t="s">
        <v>381</v>
      </c>
      <c r="E1" s="118" t="s">
        <v>382</v>
      </c>
      <c r="F1" s="119" t="s">
        <v>104</v>
      </c>
      <c r="G1" s="146" t="s">
        <v>437</v>
      </c>
      <c r="H1" s="147" t="s">
        <v>438</v>
      </c>
    </row>
    <row r="2" spans="1:9" hidden="1" x14ac:dyDescent="0.25">
      <c r="A2" s="145" t="s">
        <v>241</v>
      </c>
      <c r="B2" s="97" t="s">
        <v>242</v>
      </c>
      <c r="C2" s="98">
        <v>8000</v>
      </c>
      <c r="D2" s="98"/>
      <c r="E2" s="98"/>
      <c r="F2" s="99" t="s">
        <v>426</v>
      </c>
      <c r="G2" t="s">
        <v>447</v>
      </c>
      <c r="H2" t="s">
        <v>448</v>
      </c>
      <c r="I2" s="148" t="s">
        <v>449</v>
      </c>
    </row>
    <row r="3" spans="1:9" hidden="1" x14ac:dyDescent="0.25">
      <c r="A3" s="144" t="s">
        <v>362</v>
      </c>
      <c r="B3" s="100" t="s">
        <v>233</v>
      </c>
      <c r="C3" s="101">
        <f>C2*0.15</f>
        <v>1200</v>
      </c>
      <c r="D3" s="101"/>
      <c r="E3" s="101"/>
      <c r="F3" s="102" t="s">
        <v>427</v>
      </c>
      <c r="G3" t="s">
        <v>450</v>
      </c>
      <c r="H3" t="s">
        <v>451</v>
      </c>
      <c r="I3" s="148" t="s">
        <v>453</v>
      </c>
    </row>
    <row r="4" spans="1:9" hidden="1" x14ac:dyDescent="0.25">
      <c r="A4" s="178" t="s">
        <v>387</v>
      </c>
      <c r="B4" s="100" t="s">
        <v>363</v>
      </c>
      <c r="C4" s="101">
        <f>C3/4</f>
        <v>300</v>
      </c>
      <c r="D4" s="101"/>
      <c r="E4" s="101"/>
      <c r="F4" s="102"/>
      <c r="G4" t="s">
        <v>454</v>
      </c>
      <c r="H4" t="s">
        <v>451</v>
      </c>
      <c r="I4" s="148" t="s">
        <v>452</v>
      </c>
    </row>
    <row r="5" spans="1:9" ht="15.75" hidden="1" thickBot="1" x14ac:dyDescent="0.3">
      <c r="A5" s="179"/>
      <c r="B5" s="109" t="s">
        <v>364</v>
      </c>
      <c r="C5" s="142">
        <f>ROUNDDOWN((C2-C3)*0.103, 0)</f>
        <v>700</v>
      </c>
      <c r="D5" s="142"/>
      <c r="E5" s="142"/>
      <c r="F5" s="143"/>
    </row>
    <row r="6" spans="1:9" ht="15.75" customHeight="1" x14ac:dyDescent="0.25">
      <c r="A6" s="184" t="s">
        <v>368</v>
      </c>
      <c r="B6" s="139" t="s">
        <v>234</v>
      </c>
      <c r="C6" s="140">
        <f>C5+C4</f>
        <v>1000</v>
      </c>
      <c r="D6" s="139"/>
      <c r="E6" s="139"/>
      <c r="F6" s="141" t="s">
        <v>499</v>
      </c>
      <c r="G6">
        <v>1180</v>
      </c>
      <c r="H6">
        <v>1050</v>
      </c>
      <c r="I6" t="s">
        <v>440</v>
      </c>
    </row>
    <row r="7" spans="1:9" x14ac:dyDescent="0.25">
      <c r="A7" s="185"/>
      <c r="B7" s="125" t="s">
        <v>235</v>
      </c>
      <c r="C7" s="126">
        <v>2000</v>
      </c>
      <c r="D7" s="125"/>
      <c r="E7" s="125"/>
      <c r="F7" s="127" t="s">
        <v>490</v>
      </c>
      <c r="G7">
        <v>1000</v>
      </c>
      <c r="H7">
        <v>1000</v>
      </c>
      <c r="I7" t="s">
        <v>439</v>
      </c>
    </row>
    <row r="8" spans="1:9" x14ac:dyDescent="0.25">
      <c r="A8" s="185"/>
      <c r="B8" s="125" t="s">
        <v>236</v>
      </c>
      <c r="C8" s="126">
        <f>C7*C6</f>
        <v>2000000</v>
      </c>
      <c r="D8" s="159"/>
      <c r="E8" s="125"/>
      <c r="F8" s="127"/>
    </row>
    <row r="9" spans="1:9" hidden="1" x14ac:dyDescent="0.25">
      <c r="A9" s="128" t="s">
        <v>369</v>
      </c>
      <c r="B9" s="129">
        <v>0.18</v>
      </c>
      <c r="C9" s="126">
        <f>C8*B9</f>
        <v>360000</v>
      </c>
      <c r="D9" s="125"/>
      <c r="E9" s="125"/>
      <c r="F9" s="127"/>
    </row>
    <row r="10" spans="1:9" x14ac:dyDescent="0.25">
      <c r="A10" s="128" t="s">
        <v>366</v>
      </c>
      <c r="B10" s="129">
        <v>0.12</v>
      </c>
      <c r="C10" s="126">
        <f>C9*B10/B9</f>
        <v>240000</v>
      </c>
      <c r="D10" s="125"/>
      <c r="E10" s="125"/>
      <c r="F10" s="182" t="s">
        <v>367</v>
      </c>
      <c r="G10">
        <v>820</v>
      </c>
      <c r="H10">
        <v>820</v>
      </c>
      <c r="I10" t="s">
        <v>441</v>
      </c>
    </row>
    <row r="11" spans="1:9" ht="15.75" thickBot="1" x14ac:dyDescent="0.3">
      <c r="A11" s="130" t="s">
        <v>365</v>
      </c>
      <c r="B11" s="131">
        <v>0.06</v>
      </c>
      <c r="C11" s="132">
        <f>C9-C10</f>
        <v>120000</v>
      </c>
      <c r="D11" s="133"/>
      <c r="E11" s="133"/>
      <c r="F11" s="183"/>
      <c r="G11">
        <f>G10*1.18</f>
        <v>967.59999999999991</v>
      </c>
      <c r="H11">
        <f>H10*1.05</f>
        <v>861</v>
      </c>
      <c r="I11" t="s">
        <v>442</v>
      </c>
    </row>
    <row r="12" spans="1:9" ht="15" customHeight="1" x14ac:dyDescent="0.25">
      <c r="A12" s="187" t="s">
        <v>370</v>
      </c>
      <c r="B12" s="149" t="s">
        <v>371</v>
      </c>
      <c r="C12" s="108">
        <f>C6*0.05</f>
        <v>50</v>
      </c>
      <c r="D12" s="97"/>
      <c r="E12" s="97"/>
      <c r="F12" s="103"/>
      <c r="G12">
        <v>100</v>
      </c>
      <c r="H12">
        <v>100</v>
      </c>
      <c r="I12" t="s">
        <v>443</v>
      </c>
    </row>
    <row r="13" spans="1:9" x14ac:dyDescent="0.25">
      <c r="A13" s="188"/>
      <c r="B13" s="150" t="s">
        <v>372</v>
      </c>
      <c r="C13" s="104">
        <v>500</v>
      </c>
      <c r="D13" s="100"/>
      <c r="E13" s="100"/>
      <c r="F13" s="105"/>
      <c r="G13">
        <f>20*1.18</f>
        <v>23.599999999999998</v>
      </c>
      <c r="H13">
        <v>23.6</v>
      </c>
      <c r="I13" t="s">
        <v>297</v>
      </c>
    </row>
    <row r="14" spans="1:9" ht="15.75" thickBot="1" x14ac:dyDescent="0.3">
      <c r="A14" s="189"/>
      <c r="B14" s="150" t="s">
        <v>374</v>
      </c>
      <c r="C14" s="104">
        <f>C13*C12</f>
        <v>25000</v>
      </c>
      <c r="D14" s="100"/>
      <c r="E14" s="100"/>
      <c r="F14" s="105" t="s">
        <v>429</v>
      </c>
    </row>
    <row r="15" spans="1:9" x14ac:dyDescent="0.25">
      <c r="A15" s="151" t="s">
        <v>373</v>
      </c>
      <c r="B15" s="107">
        <v>1</v>
      </c>
      <c r="C15" s="104">
        <v>25000</v>
      </c>
      <c r="D15" s="100"/>
      <c r="E15" s="100"/>
      <c r="F15" s="105" t="s">
        <v>377</v>
      </c>
    </row>
    <row r="16" spans="1:9" x14ac:dyDescent="0.25">
      <c r="A16" s="106" t="s">
        <v>375</v>
      </c>
      <c r="B16" s="107">
        <v>0.16600000000000001</v>
      </c>
      <c r="C16" s="104">
        <f>C15*B16</f>
        <v>4150</v>
      </c>
      <c r="D16" s="100"/>
      <c r="E16" s="100"/>
      <c r="F16" s="105" t="s">
        <v>376</v>
      </c>
    </row>
    <row r="17" spans="1:9" x14ac:dyDescent="0.25">
      <c r="A17" s="106" t="s">
        <v>489</v>
      </c>
      <c r="B17" s="107">
        <v>0.41</v>
      </c>
      <c r="C17" s="104">
        <f>C15*B17</f>
        <v>10250</v>
      </c>
      <c r="D17" s="100"/>
      <c r="E17" s="100"/>
      <c r="F17" s="105" t="s">
        <v>492</v>
      </c>
    </row>
    <row r="18" spans="1:9" x14ac:dyDescent="0.25">
      <c r="A18" s="106" t="s">
        <v>366</v>
      </c>
      <c r="B18" s="107">
        <v>0.05</v>
      </c>
      <c r="C18" s="104">
        <f>C15*B18</f>
        <v>1250</v>
      </c>
      <c r="D18" s="100"/>
      <c r="E18" s="100"/>
      <c r="F18" s="105" t="s">
        <v>493</v>
      </c>
      <c r="G18">
        <f>SUM(G11:G13)</f>
        <v>1091.1999999999998</v>
      </c>
      <c r="H18">
        <f>SUM(H11:H13)</f>
        <v>984.6</v>
      </c>
    </row>
    <row r="19" spans="1:9" ht="15.75" thickBot="1" x14ac:dyDescent="0.3">
      <c r="A19" s="152" t="s">
        <v>365</v>
      </c>
      <c r="B19" s="153">
        <v>0.374</v>
      </c>
      <c r="C19" s="154">
        <f>C15*B19</f>
        <v>9350</v>
      </c>
      <c r="D19" s="109"/>
      <c r="E19" s="109"/>
      <c r="F19" s="155" t="s">
        <v>428</v>
      </c>
      <c r="G19">
        <f>G6-G18</f>
        <v>88.800000000000182</v>
      </c>
      <c r="H19">
        <f>H6-H18</f>
        <v>65.399999999999977</v>
      </c>
      <c r="I19" t="s">
        <v>446</v>
      </c>
    </row>
    <row r="20" spans="1:9" ht="15" customHeight="1" x14ac:dyDescent="0.25">
      <c r="A20" s="190" t="s">
        <v>380</v>
      </c>
      <c r="B20" s="123" t="s">
        <v>378</v>
      </c>
      <c r="C20" s="134">
        <f>C6*0.1</f>
        <v>100</v>
      </c>
      <c r="D20" s="123"/>
      <c r="E20" s="123"/>
      <c r="F20" s="124"/>
      <c r="G20">
        <v>28.8</v>
      </c>
      <c r="H20">
        <v>5.4</v>
      </c>
      <c r="I20" t="s">
        <v>444</v>
      </c>
    </row>
    <row r="21" spans="1:9" x14ac:dyDescent="0.25">
      <c r="A21" s="185"/>
      <c r="B21" s="125" t="s">
        <v>372</v>
      </c>
      <c r="C21" s="126">
        <v>600</v>
      </c>
      <c r="D21" s="125"/>
      <c r="E21" s="125"/>
      <c r="F21" s="127"/>
      <c r="G21">
        <f>G19-G20</f>
        <v>60.000000000000185</v>
      </c>
      <c r="H21">
        <v>60</v>
      </c>
      <c r="I21" t="s">
        <v>445</v>
      </c>
    </row>
    <row r="22" spans="1:9" ht="15" customHeight="1" x14ac:dyDescent="0.25">
      <c r="A22" s="185"/>
      <c r="B22" s="125" t="s">
        <v>236</v>
      </c>
      <c r="C22" s="126">
        <f>C21*C20</f>
        <v>60000</v>
      </c>
      <c r="D22" s="125"/>
      <c r="E22" s="125"/>
      <c r="F22" s="127" t="s">
        <v>436</v>
      </c>
    </row>
    <row r="23" spans="1:9" hidden="1" x14ac:dyDescent="0.25">
      <c r="A23" s="128" t="s">
        <v>369</v>
      </c>
      <c r="B23" s="129">
        <v>0.12</v>
      </c>
      <c r="C23" s="126">
        <f>C22*B23</f>
        <v>7200</v>
      </c>
      <c r="D23" s="125"/>
      <c r="E23" s="125"/>
      <c r="F23" s="127"/>
    </row>
    <row r="24" spans="1:9" ht="15" customHeight="1" x14ac:dyDescent="0.25">
      <c r="A24" s="128" t="s">
        <v>366</v>
      </c>
      <c r="B24" s="129">
        <v>0.06</v>
      </c>
      <c r="C24" s="126">
        <f>C23*B24/B23</f>
        <v>3600</v>
      </c>
      <c r="D24" s="125"/>
      <c r="E24" s="125"/>
      <c r="F24" s="182" t="s">
        <v>379</v>
      </c>
    </row>
    <row r="25" spans="1:9" ht="15.75" thickBot="1" x14ac:dyDescent="0.3">
      <c r="A25" s="135" t="s">
        <v>365</v>
      </c>
      <c r="B25" s="136">
        <v>0.06</v>
      </c>
      <c r="C25" s="137">
        <f>C23-C24</f>
        <v>3600</v>
      </c>
      <c r="D25" s="138"/>
      <c r="E25" s="138"/>
      <c r="F25" s="186"/>
    </row>
    <row r="26" spans="1:9" ht="15" customHeight="1" x14ac:dyDescent="0.25">
      <c r="A26" s="191" t="s">
        <v>418</v>
      </c>
      <c r="B26" s="97" t="s">
        <v>419</v>
      </c>
      <c r="C26" s="98"/>
      <c r="D26" s="98">
        <v>1000</v>
      </c>
      <c r="E26" s="110">
        <f t="shared" ref="E26:E31" si="0">D26*10</f>
        <v>10000</v>
      </c>
      <c r="F26" s="103"/>
    </row>
    <row r="27" spans="1:9" x14ac:dyDescent="0.25">
      <c r="A27" s="192"/>
      <c r="B27" s="100" t="s">
        <v>372</v>
      </c>
      <c r="C27" s="104"/>
      <c r="D27" s="104">
        <v>2000</v>
      </c>
      <c r="E27" s="104">
        <f t="shared" si="0"/>
        <v>20000</v>
      </c>
      <c r="F27" s="105"/>
    </row>
    <row r="28" spans="1:9" ht="15" customHeight="1" x14ac:dyDescent="0.25">
      <c r="A28" s="192"/>
      <c r="B28" s="100" t="s">
        <v>236</v>
      </c>
      <c r="C28" s="104"/>
      <c r="D28" s="104">
        <f>D27*D26</f>
        <v>2000000</v>
      </c>
      <c r="E28" s="104">
        <f t="shared" si="0"/>
        <v>20000000</v>
      </c>
      <c r="F28" s="105" t="s">
        <v>491</v>
      </c>
    </row>
    <row r="29" spans="1:9" hidden="1" x14ac:dyDescent="0.25">
      <c r="A29" s="106" t="s">
        <v>369</v>
      </c>
      <c r="B29" s="107">
        <v>0.18</v>
      </c>
      <c r="C29" s="104"/>
      <c r="D29" s="104">
        <f>D28*B29</f>
        <v>360000</v>
      </c>
      <c r="E29" s="104">
        <f t="shared" si="0"/>
        <v>3600000</v>
      </c>
      <c r="F29" s="105"/>
    </row>
    <row r="30" spans="1:9" x14ac:dyDescent="0.25">
      <c r="A30" s="106" t="s">
        <v>420</v>
      </c>
      <c r="B30" s="107">
        <v>0.06</v>
      </c>
      <c r="C30" s="104"/>
      <c r="D30" s="104">
        <f>D28*B30</f>
        <v>120000</v>
      </c>
      <c r="E30" s="104">
        <f t="shared" si="0"/>
        <v>1200000</v>
      </c>
      <c r="F30" s="193" t="s">
        <v>494</v>
      </c>
    </row>
    <row r="31" spans="1:9" ht="15.75" thickBot="1" x14ac:dyDescent="0.3">
      <c r="A31" s="152" t="s">
        <v>365</v>
      </c>
      <c r="B31" s="153">
        <v>0.12</v>
      </c>
      <c r="C31" s="158"/>
      <c r="D31" s="158">
        <f>D29-D30</f>
        <v>240000</v>
      </c>
      <c r="E31" s="158">
        <f t="shared" si="0"/>
        <v>2400000</v>
      </c>
      <c r="F31" s="194"/>
    </row>
    <row r="32" spans="1:9" s="28" customFormat="1" ht="15.75" thickBot="1" x14ac:dyDescent="0.3">
      <c r="A32" s="180" t="s">
        <v>243</v>
      </c>
      <c r="B32" s="181"/>
      <c r="C32" s="156">
        <f>C25+C19+C11</f>
        <v>132950</v>
      </c>
      <c r="D32" s="156"/>
      <c r="E32" s="156"/>
      <c r="F32" s="157" t="s">
        <v>435</v>
      </c>
    </row>
    <row r="33" spans="1:6" x14ac:dyDescent="0.25">
      <c r="A33" s="111" t="s">
        <v>471</v>
      </c>
      <c r="B33" s="112" t="s">
        <v>340</v>
      </c>
      <c r="C33" s="113">
        <f>C25+C19+C11</f>
        <v>132950</v>
      </c>
      <c r="D33" s="113">
        <f>C33*10+(D31)</f>
        <v>1569500</v>
      </c>
      <c r="E33" s="113">
        <f>D33*10+(E31)</f>
        <v>18095000</v>
      </c>
      <c r="F33" s="112" t="s">
        <v>495</v>
      </c>
    </row>
    <row r="34" spans="1:6" ht="30" hidden="1" x14ac:dyDescent="0.25">
      <c r="A34" s="100" t="s">
        <v>472</v>
      </c>
      <c r="B34" s="114" t="s">
        <v>339</v>
      </c>
      <c r="C34" s="115">
        <f>C25+C19+C11</f>
        <v>132950</v>
      </c>
      <c r="D34" s="115">
        <f>C34*20+(D31)</f>
        <v>2899000</v>
      </c>
      <c r="E34" s="115">
        <f>D34*10+(E31)</f>
        <v>31390000</v>
      </c>
      <c r="F34" s="112" t="s">
        <v>383</v>
      </c>
    </row>
    <row r="35" spans="1:6" ht="30" hidden="1" x14ac:dyDescent="0.25">
      <c r="A35" s="100" t="s">
        <v>473</v>
      </c>
      <c r="B35" s="114" t="s">
        <v>338</v>
      </c>
      <c r="C35" s="115">
        <f>C25+C19+C11</f>
        <v>132950</v>
      </c>
      <c r="D35" s="115">
        <f>C35*30+(D31)</f>
        <v>4228500</v>
      </c>
      <c r="E35" s="115">
        <f>D35*10+(E31)</f>
        <v>44685000</v>
      </c>
      <c r="F35" s="112" t="s">
        <v>384</v>
      </c>
    </row>
    <row r="36" spans="1:6" ht="30" hidden="1" x14ac:dyDescent="0.25">
      <c r="A36" s="100" t="s">
        <v>474</v>
      </c>
      <c r="B36" s="114" t="s">
        <v>337</v>
      </c>
      <c r="C36" s="115">
        <f>C25+C19+C11</f>
        <v>132950</v>
      </c>
      <c r="D36" s="115">
        <f>C36*40+(D31)</f>
        <v>5558000</v>
      </c>
      <c r="E36" s="115">
        <f>D36*10+(E31)</f>
        <v>57980000</v>
      </c>
      <c r="F36" s="112" t="s">
        <v>385</v>
      </c>
    </row>
    <row r="37" spans="1:6" ht="30" hidden="1" x14ac:dyDescent="0.25">
      <c r="A37" s="100" t="s">
        <v>475</v>
      </c>
      <c r="B37" s="114" t="s">
        <v>336</v>
      </c>
      <c r="C37" s="115">
        <f>C25+C19+C11</f>
        <v>132950</v>
      </c>
      <c r="D37" s="115">
        <f>C37*50+(D31)</f>
        <v>6887500</v>
      </c>
      <c r="E37" s="115">
        <f>D37*10+(E31)</f>
        <v>71275000</v>
      </c>
      <c r="F37" s="112" t="s">
        <v>386</v>
      </c>
    </row>
    <row r="38" spans="1:6" x14ac:dyDescent="0.25">
      <c r="A38" s="100" t="s">
        <v>476</v>
      </c>
      <c r="B38" s="114" t="s">
        <v>432</v>
      </c>
      <c r="C38" s="115">
        <f>C25+C19+C11</f>
        <v>132950</v>
      </c>
      <c r="D38" s="115">
        <f>C37*60+(D31)</f>
        <v>8217000</v>
      </c>
      <c r="E38" s="115">
        <f>D38*10+(E31)</f>
        <v>84570000</v>
      </c>
      <c r="F38" s="112" t="s">
        <v>496</v>
      </c>
    </row>
    <row r="39" spans="1:6" s="1" customFormat="1" x14ac:dyDescent="0.25">
      <c r="A39" s="114" t="s">
        <v>477</v>
      </c>
      <c r="B39" s="114" t="s">
        <v>431</v>
      </c>
      <c r="C39" s="104">
        <f>C25+C19+C11</f>
        <v>132950</v>
      </c>
      <c r="D39" s="104">
        <f>D38*2+(D31)</f>
        <v>16674000</v>
      </c>
      <c r="E39" s="104">
        <f>E38*2+(E31)</f>
        <v>171540000</v>
      </c>
      <c r="F39" s="112" t="s">
        <v>497</v>
      </c>
    </row>
    <row r="40" spans="1:6" x14ac:dyDescent="0.25">
      <c r="A40" s="114" t="s">
        <v>478</v>
      </c>
      <c r="B40" s="114" t="s">
        <v>430</v>
      </c>
      <c r="C40" s="115">
        <f>C25+C19+C11</f>
        <v>132950</v>
      </c>
      <c r="D40" s="115">
        <f>D39*2+(D31)</f>
        <v>33588000</v>
      </c>
      <c r="E40" s="115">
        <f>E39*2+(E31)</f>
        <v>345480000</v>
      </c>
      <c r="F40" s="112" t="s">
        <v>498</v>
      </c>
    </row>
    <row r="41" spans="1:6" x14ac:dyDescent="0.25">
      <c r="A41" s="120" t="s">
        <v>479</v>
      </c>
      <c r="B41" s="120" t="s">
        <v>433</v>
      </c>
      <c r="C41" s="121">
        <f>C25+C19+C11</f>
        <v>132950</v>
      </c>
      <c r="D41" s="121">
        <f>D38*6+(D31)</f>
        <v>49542000</v>
      </c>
      <c r="E41" s="121">
        <f>E38*6+(E31)+(E31)</f>
        <v>512220000</v>
      </c>
      <c r="F41" s="122" t="s">
        <v>434</v>
      </c>
    </row>
    <row r="42" spans="1:6" x14ac:dyDescent="0.25">
      <c r="A42" s="41"/>
      <c r="B42" s="41"/>
      <c r="C42" s="42"/>
      <c r="D42" s="42"/>
      <c r="E42" s="42"/>
      <c r="F42" s="41"/>
    </row>
    <row r="43" spans="1:6" x14ac:dyDescent="0.25">
      <c r="A43" s="41"/>
      <c r="B43" s="41"/>
      <c r="C43" s="42"/>
      <c r="D43" s="42"/>
      <c r="E43" s="42"/>
      <c r="F43" s="41"/>
    </row>
    <row r="44" spans="1:6" x14ac:dyDescent="0.25">
      <c r="A44" s="41"/>
      <c r="B44" s="41"/>
      <c r="C44" s="42"/>
      <c r="D44" s="42"/>
      <c r="E44" s="42"/>
      <c r="F44" s="41"/>
    </row>
  </sheetData>
  <mergeCells count="9">
    <mergeCell ref="A4:A5"/>
    <mergeCell ref="A32:B32"/>
    <mergeCell ref="F10:F11"/>
    <mergeCell ref="A6:A8"/>
    <mergeCell ref="F24:F25"/>
    <mergeCell ref="A12:A14"/>
    <mergeCell ref="A20:A22"/>
    <mergeCell ref="A26:A28"/>
    <mergeCell ref="F30:F3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pane ySplit="1" topLeftCell="A2" activePane="bottomLeft" state="frozen"/>
      <selection pane="bottomLeft" activeCell="F28" sqref="F28"/>
    </sheetView>
  </sheetViews>
  <sheetFormatPr defaultRowHeight="15" x14ac:dyDescent="0.25"/>
  <cols>
    <col min="2" max="2" width="12.28515625" style="43" bestFit="1" customWidth="1"/>
    <col min="3" max="3" width="12.140625" style="43" bestFit="1" customWidth="1"/>
    <col min="4" max="4" width="12.28515625" style="43" bestFit="1" customWidth="1"/>
    <col min="5" max="5" width="17" style="43" bestFit="1" customWidth="1"/>
    <col min="6" max="6" width="20.7109375" style="43" customWidth="1"/>
    <col min="7" max="7" width="23.28515625" bestFit="1" customWidth="1"/>
    <col min="8" max="8" width="40.28515625" customWidth="1"/>
  </cols>
  <sheetData>
    <row r="1" spans="1:11" ht="15.75" thickBot="1" x14ac:dyDescent="0.3">
      <c r="A1" s="68" t="s">
        <v>0</v>
      </c>
      <c r="B1" s="69" t="s">
        <v>342</v>
      </c>
      <c r="C1" s="69" t="s">
        <v>343</v>
      </c>
      <c r="D1" s="69" t="s">
        <v>344</v>
      </c>
      <c r="E1" s="69" t="s">
        <v>391</v>
      </c>
      <c r="F1" s="70" t="s">
        <v>390</v>
      </c>
      <c r="G1" s="69" t="s">
        <v>347</v>
      </c>
      <c r="H1" s="71" t="s">
        <v>104</v>
      </c>
      <c r="I1" s="20"/>
      <c r="J1" s="20"/>
      <c r="K1" s="20"/>
    </row>
    <row r="2" spans="1:11" x14ac:dyDescent="0.25">
      <c r="A2" s="203" t="s">
        <v>408</v>
      </c>
      <c r="B2" s="204"/>
      <c r="C2" s="204"/>
      <c r="D2" s="204"/>
      <c r="E2" s="204"/>
      <c r="F2" s="204"/>
      <c r="G2" s="204"/>
      <c r="H2" s="205"/>
      <c r="I2" s="20"/>
      <c r="J2" s="20"/>
      <c r="K2" s="20"/>
    </row>
    <row r="3" spans="1:11" ht="15.75" thickBot="1" x14ac:dyDescent="0.3">
      <c r="A3" s="206"/>
      <c r="B3" s="207"/>
      <c r="C3" s="207"/>
      <c r="D3" s="207"/>
      <c r="E3" s="207"/>
      <c r="F3" s="207"/>
      <c r="G3" s="207"/>
      <c r="H3" s="208"/>
      <c r="I3" s="20"/>
      <c r="J3" s="20"/>
      <c r="K3" s="20"/>
    </row>
    <row r="4" spans="1:11" x14ac:dyDescent="0.25">
      <c r="A4" s="219" t="s">
        <v>405</v>
      </c>
      <c r="B4" s="80" t="s">
        <v>345</v>
      </c>
      <c r="C4" s="80">
        <v>300</v>
      </c>
      <c r="D4" s="80">
        <v>0</v>
      </c>
      <c r="E4" s="80" t="s">
        <v>334</v>
      </c>
      <c r="F4" s="80"/>
      <c r="G4" s="81" t="s">
        <v>348</v>
      </c>
      <c r="H4" s="220" t="s">
        <v>389</v>
      </c>
    </row>
    <row r="5" spans="1:11" x14ac:dyDescent="0.25">
      <c r="A5" s="214"/>
      <c r="B5" s="72" t="s">
        <v>345</v>
      </c>
      <c r="C5" s="72">
        <v>750</v>
      </c>
      <c r="D5" s="72">
        <v>0</v>
      </c>
      <c r="E5" s="72" t="s">
        <v>334</v>
      </c>
      <c r="F5" s="72"/>
      <c r="G5" s="75" t="s">
        <v>349</v>
      </c>
      <c r="H5" s="221"/>
    </row>
    <row r="6" spans="1:11" x14ac:dyDescent="0.25">
      <c r="A6" s="214"/>
      <c r="B6" s="72" t="s">
        <v>345</v>
      </c>
      <c r="C6" s="72">
        <v>1000</v>
      </c>
      <c r="D6" s="72">
        <v>0</v>
      </c>
      <c r="E6" s="72" t="s">
        <v>334</v>
      </c>
      <c r="F6" s="72"/>
      <c r="G6" s="75" t="s">
        <v>350</v>
      </c>
      <c r="H6" s="221"/>
    </row>
    <row r="7" spans="1:11" x14ac:dyDescent="0.25">
      <c r="A7" s="214"/>
      <c r="B7" s="72" t="s">
        <v>345</v>
      </c>
      <c r="C7" s="72">
        <v>2500</v>
      </c>
      <c r="D7" s="72">
        <v>0</v>
      </c>
      <c r="E7" s="72" t="s">
        <v>334</v>
      </c>
      <c r="F7" s="72"/>
      <c r="G7" s="75" t="s">
        <v>351</v>
      </c>
      <c r="H7" s="221"/>
    </row>
    <row r="8" spans="1:11" x14ac:dyDescent="0.25">
      <c r="A8" s="214"/>
      <c r="B8" s="72" t="s">
        <v>345</v>
      </c>
      <c r="C8" s="72">
        <v>5000</v>
      </c>
      <c r="D8" s="72">
        <v>0</v>
      </c>
      <c r="E8" s="72" t="s">
        <v>334</v>
      </c>
      <c r="F8" s="72"/>
      <c r="G8" s="75" t="s">
        <v>352</v>
      </c>
      <c r="H8" s="221"/>
    </row>
    <row r="9" spans="1:11" x14ac:dyDescent="0.25">
      <c r="A9" s="214"/>
      <c r="B9" s="72" t="s">
        <v>345</v>
      </c>
      <c r="C9" s="72" t="s">
        <v>346</v>
      </c>
      <c r="D9" s="72">
        <v>0</v>
      </c>
      <c r="E9" s="72" t="s">
        <v>334</v>
      </c>
      <c r="F9" s="72"/>
      <c r="G9" s="75" t="s">
        <v>353</v>
      </c>
      <c r="H9" s="221"/>
    </row>
    <row r="10" spans="1:11" x14ac:dyDescent="0.25">
      <c r="A10" s="222" t="s">
        <v>406</v>
      </c>
      <c r="B10" s="45" t="s">
        <v>355</v>
      </c>
      <c r="C10" s="45">
        <v>300</v>
      </c>
      <c r="D10" s="65">
        <v>0.1</v>
      </c>
      <c r="E10" s="45" t="s">
        <v>334</v>
      </c>
      <c r="F10" s="45">
        <v>270</v>
      </c>
      <c r="G10" s="4" t="s">
        <v>348</v>
      </c>
      <c r="H10" s="224" t="s">
        <v>402</v>
      </c>
    </row>
    <row r="11" spans="1:11" x14ac:dyDescent="0.25">
      <c r="A11" s="223"/>
      <c r="B11" s="45" t="s">
        <v>355</v>
      </c>
      <c r="C11" s="45">
        <v>750</v>
      </c>
      <c r="D11" s="65">
        <v>0.1</v>
      </c>
      <c r="E11" s="45" t="s">
        <v>334</v>
      </c>
      <c r="F11" s="45">
        <v>675</v>
      </c>
      <c r="G11" s="4" t="s">
        <v>349</v>
      </c>
      <c r="H11" s="225"/>
    </row>
    <row r="12" spans="1:11" x14ac:dyDescent="0.25">
      <c r="A12" s="223"/>
      <c r="B12" s="45" t="s">
        <v>355</v>
      </c>
      <c r="C12" s="45">
        <v>1000</v>
      </c>
      <c r="D12" s="65">
        <v>0.1</v>
      </c>
      <c r="E12" s="45" t="s">
        <v>334</v>
      </c>
      <c r="F12" s="45">
        <v>900</v>
      </c>
      <c r="G12" s="4" t="s">
        <v>350</v>
      </c>
      <c r="H12" s="225"/>
    </row>
    <row r="13" spans="1:11" x14ac:dyDescent="0.25">
      <c r="A13" s="223"/>
      <c r="B13" s="45" t="s">
        <v>355</v>
      </c>
      <c r="C13" s="45">
        <v>2500</v>
      </c>
      <c r="D13" s="65">
        <v>0.1</v>
      </c>
      <c r="E13" s="45" t="s">
        <v>334</v>
      </c>
      <c r="F13" s="45">
        <v>2250</v>
      </c>
      <c r="G13" s="4" t="s">
        <v>351</v>
      </c>
      <c r="H13" s="225"/>
    </row>
    <row r="14" spans="1:11" x14ac:dyDescent="0.25">
      <c r="A14" s="223"/>
      <c r="B14" s="45" t="s">
        <v>355</v>
      </c>
      <c r="C14" s="45">
        <v>5000</v>
      </c>
      <c r="D14" s="65">
        <v>0.1</v>
      </c>
      <c r="E14" s="45" t="s">
        <v>334</v>
      </c>
      <c r="F14" s="45">
        <v>4000</v>
      </c>
      <c r="G14" s="4" t="s">
        <v>352</v>
      </c>
      <c r="H14" s="225"/>
    </row>
    <row r="15" spans="1:11" x14ac:dyDescent="0.25">
      <c r="A15" s="223"/>
      <c r="B15" s="45" t="s">
        <v>355</v>
      </c>
      <c r="C15" s="45" t="s">
        <v>346</v>
      </c>
      <c r="D15" s="65">
        <v>0.1</v>
      </c>
      <c r="E15" s="45" t="s">
        <v>334</v>
      </c>
      <c r="F15" s="45" t="s">
        <v>356</v>
      </c>
      <c r="G15" s="4" t="s">
        <v>353</v>
      </c>
      <c r="H15" s="225"/>
    </row>
    <row r="16" spans="1:11" x14ac:dyDescent="0.25">
      <c r="A16" s="213" t="s">
        <v>399</v>
      </c>
      <c r="B16" s="72" t="s">
        <v>354</v>
      </c>
      <c r="C16" s="72">
        <v>270</v>
      </c>
      <c r="D16" s="73">
        <v>0.1</v>
      </c>
      <c r="E16" s="74" t="s">
        <v>334</v>
      </c>
      <c r="F16" s="74">
        <f>C16*0.9</f>
        <v>243</v>
      </c>
      <c r="G16" s="75" t="s">
        <v>348</v>
      </c>
      <c r="H16" s="226"/>
    </row>
    <row r="17" spans="1:10" x14ac:dyDescent="0.25">
      <c r="A17" s="214"/>
      <c r="B17" s="72" t="s">
        <v>354</v>
      </c>
      <c r="C17" s="72">
        <v>675</v>
      </c>
      <c r="D17" s="73">
        <v>0.1</v>
      </c>
      <c r="E17" s="74" t="s">
        <v>334</v>
      </c>
      <c r="F17" s="74">
        <f>C17*0.9</f>
        <v>607.5</v>
      </c>
      <c r="G17" s="75" t="s">
        <v>349</v>
      </c>
      <c r="H17" s="227"/>
    </row>
    <row r="18" spans="1:10" x14ac:dyDescent="0.25">
      <c r="A18" s="214"/>
      <c r="B18" s="72" t="s">
        <v>354</v>
      </c>
      <c r="C18" s="72">
        <v>900</v>
      </c>
      <c r="D18" s="73">
        <v>0.1</v>
      </c>
      <c r="E18" s="74" t="s">
        <v>334</v>
      </c>
      <c r="F18" s="74">
        <f>C18*0.9</f>
        <v>810</v>
      </c>
      <c r="G18" s="75" t="s">
        <v>350</v>
      </c>
      <c r="H18" s="227"/>
    </row>
    <row r="19" spans="1:10" x14ac:dyDescent="0.25">
      <c r="A19" s="214"/>
      <c r="B19" s="72" t="s">
        <v>354</v>
      </c>
      <c r="C19" s="72">
        <v>2250</v>
      </c>
      <c r="D19" s="73">
        <v>0.1</v>
      </c>
      <c r="E19" s="74" t="s">
        <v>334</v>
      </c>
      <c r="F19" s="74">
        <f>C19*0.9</f>
        <v>2025</v>
      </c>
      <c r="G19" s="75" t="s">
        <v>351</v>
      </c>
      <c r="H19" s="227"/>
    </row>
    <row r="20" spans="1:10" x14ac:dyDescent="0.25">
      <c r="A20" s="214"/>
      <c r="B20" s="72" t="s">
        <v>354</v>
      </c>
      <c r="C20" s="72">
        <v>4500</v>
      </c>
      <c r="D20" s="73">
        <v>0.1</v>
      </c>
      <c r="E20" s="74" t="s">
        <v>334</v>
      </c>
      <c r="F20" s="74">
        <f>C20*0.9</f>
        <v>4050</v>
      </c>
      <c r="G20" s="75" t="s">
        <v>352</v>
      </c>
      <c r="H20" s="227"/>
    </row>
    <row r="21" spans="1:10" ht="15.75" thickBot="1" x14ac:dyDescent="0.3">
      <c r="A21" s="215"/>
      <c r="B21" s="76" t="s">
        <v>354</v>
      </c>
      <c r="C21" s="76" t="s">
        <v>356</v>
      </c>
      <c r="D21" s="77">
        <v>0.1</v>
      </c>
      <c r="E21" s="74" t="s">
        <v>334</v>
      </c>
      <c r="F21" s="78" t="s">
        <v>357</v>
      </c>
      <c r="G21" s="79" t="s">
        <v>353</v>
      </c>
      <c r="H21" s="228"/>
    </row>
    <row r="22" spans="1:10" x14ac:dyDescent="0.25">
      <c r="A22" s="203" t="s">
        <v>407</v>
      </c>
      <c r="B22" s="204"/>
      <c r="C22" s="204"/>
      <c r="D22" s="204"/>
      <c r="E22" s="204"/>
      <c r="F22" s="204"/>
      <c r="G22" s="204"/>
      <c r="H22" s="205"/>
    </row>
    <row r="23" spans="1:10" ht="15.75" thickBot="1" x14ac:dyDescent="0.3">
      <c r="A23" s="206"/>
      <c r="B23" s="207"/>
      <c r="C23" s="207"/>
      <c r="D23" s="207"/>
      <c r="E23" s="207"/>
      <c r="F23" s="207"/>
      <c r="G23" s="207"/>
      <c r="H23" s="208"/>
    </row>
    <row r="24" spans="1:10" x14ac:dyDescent="0.25">
      <c r="A24" s="209" t="s">
        <v>403</v>
      </c>
      <c r="B24" s="82" t="s">
        <v>359</v>
      </c>
      <c r="C24" s="82">
        <v>500</v>
      </c>
      <c r="D24" s="177">
        <v>0</v>
      </c>
      <c r="E24" s="173" t="s">
        <v>334</v>
      </c>
      <c r="F24" s="84">
        <v>250</v>
      </c>
      <c r="G24" s="85" t="s">
        <v>348</v>
      </c>
      <c r="H24" s="210" t="s">
        <v>400</v>
      </c>
      <c r="J24" t="s">
        <v>358</v>
      </c>
    </row>
    <row r="25" spans="1:10" x14ac:dyDescent="0.25">
      <c r="A25" s="178"/>
      <c r="B25" s="86" t="s">
        <v>359</v>
      </c>
      <c r="C25" s="86">
        <v>1000</v>
      </c>
      <c r="D25" s="87">
        <v>0</v>
      </c>
      <c r="E25" s="172" t="s">
        <v>334</v>
      </c>
      <c r="F25" s="172">
        <v>500</v>
      </c>
      <c r="G25" s="89" t="s">
        <v>349</v>
      </c>
      <c r="H25" s="211"/>
    </row>
    <row r="26" spans="1:10" x14ac:dyDescent="0.25">
      <c r="A26" s="178"/>
      <c r="B26" s="86" t="s">
        <v>359</v>
      </c>
      <c r="C26" s="86">
        <v>1500</v>
      </c>
      <c r="D26" s="87">
        <v>0</v>
      </c>
      <c r="E26" s="172" t="s">
        <v>334</v>
      </c>
      <c r="F26" s="172">
        <v>750</v>
      </c>
      <c r="G26" s="89" t="s">
        <v>350</v>
      </c>
      <c r="H26" s="211"/>
    </row>
    <row r="27" spans="1:10" x14ac:dyDescent="0.25">
      <c r="A27" s="178"/>
      <c r="B27" s="86" t="s">
        <v>359</v>
      </c>
      <c r="C27" s="86">
        <v>2000</v>
      </c>
      <c r="D27" s="87">
        <v>0</v>
      </c>
      <c r="E27" s="172" t="s">
        <v>334</v>
      </c>
      <c r="F27" s="172">
        <v>1000</v>
      </c>
      <c r="G27" s="175" t="s">
        <v>351</v>
      </c>
      <c r="H27" s="211"/>
    </row>
    <row r="28" spans="1:10" x14ac:dyDescent="0.25">
      <c r="A28" s="178"/>
      <c r="B28" s="86" t="s">
        <v>359</v>
      </c>
      <c r="C28" s="86">
        <v>5000</v>
      </c>
      <c r="D28" s="171">
        <v>0</v>
      </c>
      <c r="E28" s="88" t="s">
        <v>334</v>
      </c>
      <c r="F28" s="176">
        <v>2500</v>
      </c>
      <c r="G28" s="89" t="s">
        <v>352</v>
      </c>
      <c r="H28" s="211"/>
    </row>
    <row r="29" spans="1:10" x14ac:dyDescent="0.25">
      <c r="A29" s="178"/>
      <c r="B29" s="86" t="s">
        <v>359</v>
      </c>
      <c r="C29" s="86" t="s">
        <v>346</v>
      </c>
      <c r="D29" s="87">
        <v>0</v>
      </c>
      <c r="E29" s="174" t="s">
        <v>334</v>
      </c>
      <c r="F29" s="88" t="s">
        <v>388</v>
      </c>
      <c r="G29" s="89" t="s">
        <v>353</v>
      </c>
      <c r="H29" s="212"/>
    </row>
    <row r="30" spans="1:10" x14ac:dyDescent="0.25">
      <c r="A30" s="213" t="s">
        <v>404</v>
      </c>
      <c r="B30" s="72" t="s">
        <v>360</v>
      </c>
      <c r="C30" s="72">
        <v>250</v>
      </c>
      <c r="D30" s="73">
        <v>0.1</v>
      </c>
      <c r="E30" s="74" t="s">
        <v>334</v>
      </c>
      <c r="F30" s="74">
        <v>250</v>
      </c>
      <c r="G30" s="75" t="s">
        <v>348</v>
      </c>
      <c r="H30" s="216" t="s">
        <v>401</v>
      </c>
    </row>
    <row r="31" spans="1:10" x14ac:dyDescent="0.25">
      <c r="A31" s="214"/>
      <c r="B31" s="72" t="s">
        <v>360</v>
      </c>
      <c r="C31" s="72">
        <v>500</v>
      </c>
      <c r="D31" s="73">
        <v>0.1</v>
      </c>
      <c r="E31" s="74" t="s">
        <v>334</v>
      </c>
      <c r="F31" s="74">
        <v>450</v>
      </c>
      <c r="G31" s="75" t="s">
        <v>349</v>
      </c>
      <c r="H31" s="217"/>
    </row>
    <row r="32" spans="1:10" x14ac:dyDescent="0.25">
      <c r="A32" s="214"/>
      <c r="B32" s="72" t="s">
        <v>360</v>
      </c>
      <c r="C32" s="72">
        <v>750</v>
      </c>
      <c r="D32" s="73">
        <v>0.1</v>
      </c>
      <c r="E32" s="74" t="s">
        <v>334</v>
      </c>
      <c r="F32" s="74">
        <v>675</v>
      </c>
      <c r="G32" s="75" t="s">
        <v>350</v>
      </c>
      <c r="H32" s="217"/>
    </row>
    <row r="33" spans="1:8" x14ac:dyDescent="0.25">
      <c r="A33" s="214"/>
      <c r="B33" s="72" t="s">
        <v>360</v>
      </c>
      <c r="C33" s="72">
        <v>1000</v>
      </c>
      <c r="D33" s="73">
        <v>0.1</v>
      </c>
      <c r="E33" s="74" t="s">
        <v>334</v>
      </c>
      <c r="F33" s="74">
        <v>900</v>
      </c>
      <c r="G33" s="75" t="s">
        <v>351</v>
      </c>
      <c r="H33" s="217"/>
    </row>
    <row r="34" spans="1:8" x14ac:dyDescent="0.25">
      <c r="A34" s="214"/>
      <c r="B34" s="72" t="s">
        <v>360</v>
      </c>
      <c r="C34" s="72">
        <v>2500</v>
      </c>
      <c r="D34" s="73">
        <v>0.1</v>
      </c>
      <c r="E34" s="74" t="s">
        <v>334</v>
      </c>
      <c r="F34" s="74">
        <v>2250</v>
      </c>
      <c r="G34" s="75" t="s">
        <v>352</v>
      </c>
      <c r="H34" s="217"/>
    </row>
    <row r="35" spans="1:8" ht="15.75" thickBot="1" x14ac:dyDescent="0.3">
      <c r="A35" s="215"/>
      <c r="B35" s="76" t="s">
        <v>360</v>
      </c>
      <c r="C35" s="76" t="s">
        <v>388</v>
      </c>
      <c r="D35" s="77">
        <v>0.1</v>
      </c>
      <c r="E35" s="78" t="s">
        <v>334</v>
      </c>
      <c r="F35" s="78" t="s">
        <v>356</v>
      </c>
      <c r="G35" s="79" t="s">
        <v>353</v>
      </c>
      <c r="H35" s="218"/>
    </row>
  </sheetData>
  <mergeCells count="12">
    <mergeCell ref="A16:A21"/>
    <mergeCell ref="H16:H21"/>
    <mergeCell ref="A2:H3"/>
    <mergeCell ref="A4:A9"/>
    <mergeCell ref="H4:H9"/>
    <mergeCell ref="A10:A15"/>
    <mergeCell ref="H10:H15"/>
    <mergeCell ref="A22:H23"/>
    <mergeCell ref="A24:A29"/>
    <mergeCell ref="H24:H29"/>
    <mergeCell ref="A30:A35"/>
    <mergeCell ref="H30:H3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opLeftCell="A25" workbookViewId="0">
      <selection activeCell="B35" sqref="B35"/>
    </sheetView>
  </sheetViews>
  <sheetFormatPr defaultRowHeight="15" x14ac:dyDescent="0.25"/>
  <cols>
    <col min="1" max="1" width="9.28515625" bestFit="1" customWidth="1"/>
    <col min="2" max="2" width="90.28515625" bestFit="1" customWidth="1"/>
    <col min="3" max="3" width="11.140625" style="43" bestFit="1" customWidth="1"/>
    <col min="4" max="4" width="12.28515625" customWidth="1"/>
    <col min="5" max="5" width="18.5703125" customWidth="1"/>
    <col min="6" max="6" width="13.42578125" bestFit="1" customWidth="1"/>
  </cols>
  <sheetData>
    <row r="1" spans="1:5" ht="15.75" thickBot="1" x14ac:dyDescent="0.3">
      <c r="A1" s="195" t="s">
        <v>319</v>
      </c>
      <c r="B1" s="195"/>
      <c r="C1" s="195"/>
      <c r="D1" s="195"/>
      <c r="E1" s="195"/>
    </row>
    <row r="2" spans="1:5" ht="15.75" thickBot="1" x14ac:dyDescent="0.3">
      <c r="A2" s="51" t="s">
        <v>291</v>
      </c>
      <c r="B2" s="52" t="s">
        <v>285</v>
      </c>
      <c r="C2" s="52" t="s">
        <v>286</v>
      </c>
      <c r="D2" s="52" t="s">
        <v>287</v>
      </c>
      <c r="E2" s="52" t="s">
        <v>412</v>
      </c>
    </row>
    <row r="3" spans="1:5" x14ac:dyDescent="0.25">
      <c r="A3" s="45" t="s">
        <v>292</v>
      </c>
      <c r="B3" s="48" t="s">
        <v>294</v>
      </c>
      <c r="C3" s="49">
        <v>1</v>
      </c>
      <c r="D3" s="46">
        <v>15000000</v>
      </c>
      <c r="E3" s="46">
        <f t="shared" ref="E3:E10" si="0">D3*C3</f>
        <v>15000000</v>
      </c>
    </row>
    <row r="4" spans="1:5" x14ac:dyDescent="0.25">
      <c r="A4" s="45" t="s">
        <v>293</v>
      </c>
      <c r="B4" s="48" t="s">
        <v>455</v>
      </c>
      <c r="C4" s="45">
        <v>1</v>
      </c>
      <c r="D4" s="46">
        <v>40000000</v>
      </c>
      <c r="E4" s="46">
        <f t="shared" si="0"/>
        <v>40000000</v>
      </c>
    </row>
    <row r="5" spans="1:5" x14ac:dyDescent="0.25">
      <c r="A5" s="45" t="s">
        <v>303</v>
      </c>
      <c r="B5" s="48" t="s">
        <v>320</v>
      </c>
      <c r="C5" s="45">
        <v>1</v>
      </c>
      <c r="D5" s="46">
        <v>20000000</v>
      </c>
      <c r="E5" s="46">
        <f t="shared" si="0"/>
        <v>20000000</v>
      </c>
    </row>
    <row r="6" spans="1:5" x14ac:dyDescent="0.25">
      <c r="A6" s="45" t="s">
        <v>306</v>
      </c>
      <c r="B6" s="47" t="s">
        <v>465</v>
      </c>
      <c r="C6" s="45">
        <v>10</v>
      </c>
      <c r="D6" s="46">
        <v>200000</v>
      </c>
      <c r="E6" s="46">
        <f t="shared" si="0"/>
        <v>2000000</v>
      </c>
    </row>
    <row r="7" spans="1:5" x14ac:dyDescent="0.25">
      <c r="A7" s="45" t="s">
        <v>307</v>
      </c>
      <c r="B7" s="47" t="s">
        <v>466</v>
      </c>
      <c r="C7" s="45">
        <v>10</v>
      </c>
      <c r="D7" s="46">
        <v>200000</v>
      </c>
      <c r="E7" s="46">
        <f t="shared" si="0"/>
        <v>2000000</v>
      </c>
    </row>
    <row r="8" spans="1:5" x14ac:dyDescent="0.25">
      <c r="A8" s="45" t="s">
        <v>308</v>
      </c>
      <c r="B8" s="47" t="s">
        <v>469</v>
      </c>
      <c r="C8" s="45">
        <v>1</v>
      </c>
      <c r="D8" s="46">
        <v>300000</v>
      </c>
      <c r="E8" s="46">
        <f t="shared" si="0"/>
        <v>300000</v>
      </c>
    </row>
    <row r="9" spans="1:5" x14ac:dyDescent="0.25">
      <c r="A9" s="45" t="s">
        <v>309</v>
      </c>
      <c r="B9" s="47" t="s">
        <v>467</v>
      </c>
      <c r="C9" s="45">
        <v>1</v>
      </c>
      <c r="D9" s="46">
        <f>1200000*10</f>
        <v>12000000</v>
      </c>
      <c r="E9" s="46">
        <f t="shared" si="0"/>
        <v>12000000</v>
      </c>
    </row>
    <row r="10" spans="1:5" x14ac:dyDescent="0.25">
      <c r="A10" s="45" t="s">
        <v>413</v>
      </c>
      <c r="B10" s="47" t="s">
        <v>284</v>
      </c>
      <c r="C10" s="45">
        <v>150</v>
      </c>
      <c r="D10" s="46">
        <v>58000</v>
      </c>
      <c r="E10" s="46">
        <f t="shared" si="0"/>
        <v>8700000</v>
      </c>
    </row>
    <row r="11" spans="1:5" x14ac:dyDescent="0.25">
      <c r="A11" s="58" t="s">
        <v>414</v>
      </c>
      <c r="B11" s="61" t="s">
        <v>468</v>
      </c>
      <c r="C11" s="59"/>
      <c r="D11" s="60"/>
      <c r="E11" s="63">
        <f>SUM(E3:E10)</f>
        <v>100000000</v>
      </c>
    </row>
    <row r="12" spans="1:5" ht="15.75" thickBot="1" x14ac:dyDescent="0.3">
      <c r="A12" s="195" t="s">
        <v>322</v>
      </c>
      <c r="B12" s="195"/>
      <c r="C12" s="195"/>
      <c r="D12" s="195"/>
      <c r="E12" s="195"/>
    </row>
    <row r="13" spans="1:5" ht="15.75" thickBot="1" x14ac:dyDescent="0.3">
      <c r="A13" s="51" t="s">
        <v>291</v>
      </c>
      <c r="B13" s="52" t="s">
        <v>285</v>
      </c>
      <c r="C13" s="52" t="s">
        <v>286</v>
      </c>
      <c r="D13" s="52" t="s">
        <v>287</v>
      </c>
      <c r="E13" s="52" t="s">
        <v>283</v>
      </c>
    </row>
    <row r="14" spans="1:5" x14ac:dyDescent="0.25">
      <c r="A14" s="45">
        <v>1</v>
      </c>
      <c r="B14" s="47" t="s">
        <v>296</v>
      </c>
      <c r="C14" s="45">
        <v>1</v>
      </c>
      <c r="D14" s="46">
        <v>100000</v>
      </c>
      <c r="E14" s="46">
        <f>D14*C14</f>
        <v>100000</v>
      </c>
    </row>
    <row r="15" spans="1:5" x14ac:dyDescent="0.25">
      <c r="A15" s="45">
        <v>2</v>
      </c>
      <c r="B15" s="47" t="s">
        <v>299</v>
      </c>
      <c r="C15" s="45">
        <v>1</v>
      </c>
      <c r="D15" s="46">
        <v>15000</v>
      </c>
      <c r="E15" s="46">
        <f t="shared" ref="E15:E21" si="1">D15*C15</f>
        <v>15000</v>
      </c>
    </row>
    <row r="16" spans="1:5" x14ac:dyDescent="0.25">
      <c r="A16" s="45">
        <v>3</v>
      </c>
      <c r="B16" s="4" t="s">
        <v>289</v>
      </c>
      <c r="C16" s="45">
        <v>1</v>
      </c>
      <c r="D16" s="46">
        <v>10000</v>
      </c>
      <c r="E16" s="46">
        <f t="shared" si="1"/>
        <v>10000</v>
      </c>
    </row>
    <row r="17" spans="1:5" x14ac:dyDescent="0.25">
      <c r="A17" s="45">
        <v>4</v>
      </c>
      <c r="B17" s="47" t="s">
        <v>417</v>
      </c>
      <c r="C17" s="45">
        <v>1</v>
      </c>
      <c r="D17" s="46">
        <v>20000</v>
      </c>
      <c r="E17" s="46">
        <f t="shared" si="1"/>
        <v>20000</v>
      </c>
    </row>
    <row r="18" spans="1:5" x14ac:dyDescent="0.25">
      <c r="A18" s="45">
        <v>5</v>
      </c>
      <c r="B18" s="47" t="s">
        <v>288</v>
      </c>
      <c r="C18" s="45">
        <v>15</v>
      </c>
      <c r="D18" s="46">
        <v>3000</v>
      </c>
      <c r="E18" s="46">
        <f t="shared" si="1"/>
        <v>45000</v>
      </c>
    </row>
    <row r="19" spans="1:5" x14ac:dyDescent="0.25">
      <c r="A19" s="45">
        <v>6</v>
      </c>
      <c r="B19" s="47" t="s">
        <v>416</v>
      </c>
      <c r="C19" s="45">
        <v>8</v>
      </c>
      <c r="D19" s="46">
        <v>10000</v>
      </c>
      <c r="E19" s="46">
        <f t="shared" si="1"/>
        <v>80000</v>
      </c>
    </row>
    <row r="20" spans="1:5" x14ac:dyDescent="0.25">
      <c r="A20" s="45">
        <v>7</v>
      </c>
      <c r="B20" s="47" t="s">
        <v>301</v>
      </c>
      <c r="C20" s="45">
        <v>1</v>
      </c>
      <c r="D20" s="46">
        <v>20000</v>
      </c>
      <c r="E20" s="46">
        <f t="shared" si="1"/>
        <v>20000</v>
      </c>
    </row>
    <row r="21" spans="1:5" x14ac:dyDescent="0.25">
      <c r="A21" s="45">
        <v>8</v>
      </c>
      <c r="B21" s="47" t="s">
        <v>302</v>
      </c>
      <c r="C21" s="45">
        <v>1</v>
      </c>
      <c r="D21" s="46">
        <v>100000</v>
      </c>
      <c r="E21" s="46">
        <f t="shared" si="1"/>
        <v>100000</v>
      </c>
    </row>
    <row r="22" spans="1:5" x14ac:dyDescent="0.25">
      <c r="A22" s="45">
        <v>9</v>
      </c>
      <c r="B22" s="62" t="s">
        <v>330</v>
      </c>
      <c r="C22" s="49">
        <v>3</v>
      </c>
      <c r="D22" s="46">
        <v>20000</v>
      </c>
      <c r="E22" s="46">
        <f t="shared" ref="E22:E28" si="2">D22*C22</f>
        <v>60000</v>
      </c>
    </row>
    <row r="23" spans="1:5" x14ac:dyDescent="0.25">
      <c r="A23" s="45">
        <v>10</v>
      </c>
      <c r="B23" s="62" t="s">
        <v>195</v>
      </c>
      <c r="C23" s="49">
        <v>3</v>
      </c>
      <c r="D23" s="46">
        <v>35000</v>
      </c>
      <c r="E23" s="46">
        <f t="shared" si="2"/>
        <v>105000</v>
      </c>
    </row>
    <row r="24" spans="1:5" x14ac:dyDescent="0.25">
      <c r="A24" s="45">
        <v>11</v>
      </c>
      <c r="B24" s="62" t="s">
        <v>197</v>
      </c>
      <c r="C24" s="49">
        <v>2</v>
      </c>
      <c r="D24" s="46">
        <v>20000</v>
      </c>
      <c r="E24" s="46">
        <f t="shared" si="2"/>
        <v>40000</v>
      </c>
    </row>
    <row r="25" spans="1:5" x14ac:dyDescent="0.25">
      <c r="A25" s="45">
        <v>12</v>
      </c>
      <c r="B25" s="62" t="s">
        <v>198</v>
      </c>
      <c r="C25" s="49">
        <v>1</v>
      </c>
      <c r="D25" s="46">
        <v>35000</v>
      </c>
      <c r="E25" s="46">
        <f t="shared" si="2"/>
        <v>35000</v>
      </c>
    </row>
    <row r="26" spans="1:5" x14ac:dyDescent="0.25">
      <c r="A26" s="45">
        <v>13</v>
      </c>
      <c r="B26" s="62" t="s">
        <v>305</v>
      </c>
      <c r="C26" s="49">
        <v>1</v>
      </c>
      <c r="D26" s="46">
        <v>60000</v>
      </c>
      <c r="E26" s="46">
        <f t="shared" si="2"/>
        <v>60000</v>
      </c>
    </row>
    <row r="27" spans="1:5" x14ac:dyDescent="0.25">
      <c r="A27" s="45">
        <v>14</v>
      </c>
      <c r="B27" s="62" t="s">
        <v>200</v>
      </c>
      <c r="C27" s="49">
        <v>3</v>
      </c>
      <c r="D27" s="46">
        <v>30000</v>
      </c>
      <c r="E27" s="46">
        <f t="shared" si="2"/>
        <v>90000</v>
      </c>
    </row>
    <row r="28" spans="1:5" x14ac:dyDescent="0.25">
      <c r="A28" s="45">
        <v>15</v>
      </c>
      <c r="B28" s="62" t="s">
        <v>290</v>
      </c>
      <c r="C28" s="49">
        <v>1</v>
      </c>
      <c r="D28" s="46">
        <v>50000</v>
      </c>
      <c r="E28" s="46">
        <f t="shared" si="2"/>
        <v>50000</v>
      </c>
    </row>
    <row r="29" spans="1:5" x14ac:dyDescent="0.25">
      <c r="A29" s="45">
        <v>16</v>
      </c>
      <c r="B29" s="229" t="s">
        <v>323</v>
      </c>
      <c r="C29" s="230"/>
      <c r="D29" s="231"/>
      <c r="E29" s="46">
        <f>SUM(E14:E28)</f>
        <v>830000</v>
      </c>
    </row>
    <row r="30" spans="1:5" x14ac:dyDescent="0.25">
      <c r="A30" s="45">
        <v>17</v>
      </c>
      <c r="B30" s="229" t="s">
        <v>324</v>
      </c>
      <c r="C30" s="230"/>
      <c r="D30" s="231"/>
      <c r="E30" s="95">
        <f>E29*10</f>
        <v>8300000</v>
      </c>
    </row>
    <row r="31" spans="1:5" x14ac:dyDescent="0.25">
      <c r="A31" s="45">
        <v>18</v>
      </c>
      <c r="B31" s="229" t="s">
        <v>411</v>
      </c>
      <c r="C31" s="230"/>
      <c r="D31" s="231"/>
      <c r="E31" s="96">
        <f>E30*12</f>
        <v>99600000</v>
      </c>
    </row>
    <row r="32" spans="1:5" ht="15.75" thickBot="1" x14ac:dyDescent="0.3">
      <c r="A32" s="195" t="s">
        <v>325</v>
      </c>
      <c r="B32" s="195"/>
      <c r="C32" s="195"/>
      <c r="D32" s="195"/>
      <c r="E32" s="195"/>
    </row>
    <row r="33" spans="1:6" ht="15.75" thickBot="1" x14ac:dyDescent="0.3">
      <c r="A33" s="51" t="s">
        <v>291</v>
      </c>
      <c r="B33" s="52" t="s">
        <v>285</v>
      </c>
      <c r="C33" s="52" t="s">
        <v>286</v>
      </c>
      <c r="D33" s="52" t="s">
        <v>287</v>
      </c>
      <c r="E33" s="52" t="s">
        <v>410</v>
      </c>
    </row>
    <row r="34" spans="1:6" x14ac:dyDescent="0.25">
      <c r="A34" s="45">
        <v>1</v>
      </c>
      <c r="B34" s="48" t="s">
        <v>457</v>
      </c>
      <c r="C34" s="49">
        <v>1</v>
      </c>
      <c r="D34" s="50">
        <v>5000000</v>
      </c>
      <c r="E34" s="46">
        <f>D34*C34</f>
        <v>5000000</v>
      </c>
    </row>
    <row r="35" spans="1:6" x14ac:dyDescent="0.25">
      <c r="A35" s="45">
        <v>2</v>
      </c>
      <c r="B35" s="48" t="s">
        <v>486</v>
      </c>
      <c r="C35" s="49">
        <v>1</v>
      </c>
      <c r="D35" s="50">
        <v>50000000</v>
      </c>
      <c r="E35" s="46">
        <v>50000000</v>
      </c>
    </row>
    <row r="36" spans="1:6" x14ac:dyDescent="0.25">
      <c r="A36" s="45">
        <v>3</v>
      </c>
      <c r="B36" s="48" t="s">
        <v>193</v>
      </c>
      <c r="C36" s="49">
        <v>1</v>
      </c>
      <c r="D36" s="50">
        <v>2500000</v>
      </c>
      <c r="E36" s="46">
        <f>D36*C36*12</f>
        <v>30000000</v>
      </c>
    </row>
    <row r="37" spans="1:6" x14ac:dyDescent="0.25">
      <c r="A37" s="45">
        <v>4</v>
      </c>
      <c r="B37" s="54" t="s">
        <v>297</v>
      </c>
      <c r="C37" s="45">
        <v>800</v>
      </c>
      <c r="D37" s="55">
        <v>100000</v>
      </c>
      <c r="E37" s="46">
        <f>D37*C37</f>
        <v>80000000</v>
      </c>
    </row>
    <row r="38" spans="1:6" x14ac:dyDescent="0.25">
      <c r="A38" s="45">
        <v>5</v>
      </c>
      <c r="B38" s="54" t="s">
        <v>487</v>
      </c>
      <c r="C38" s="45">
        <v>1</v>
      </c>
      <c r="D38" s="55">
        <v>80000000</v>
      </c>
      <c r="E38" s="46">
        <v>80000000</v>
      </c>
    </row>
    <row r="39" spans="1:6" x14ac:dyDescent="0.25">
      <c r="A39" s="45">
        <v>6</v>
      </c>
      <c r="B39" s="4" t="s">
        <v>327</v>
      </c>
      <c r="C39" s="45">
        <v>1</v>
      </c>
      <c r="D39" s="90">
        <v>5400000</v>
      </c>
      <c r="E39" s="90">
        <f>D39</f>
        <v>5400000</v>
      </c>
      <c r="F39" s="64"/>
    </row>
    <row r="40" spans="1:6" x14ac:dyDescent="0.25">
      <c r="A40" s="45">
        <v>7</v>
      </c>
      <c r="B40" s="4" t="s">
        <v>470</v>
      </c>
      <c r="C40" s="45">
        <v>2</v>
      </c>
      <c r="D40" s="55">
        <v>5000000</v>
      </c>
      <c r="E40" s="46">
        <f>D40*C40</f>
        <v>10000000</v>
      </c>
      <c r="F40" s="64"/>
    </row>
    <row r="41" spans="1:6" x14ac:dyDescent="0.25">
      <c r="A41" s="45">
        <v>8</v>
      </c>
      <c r="B41" s="4" t="s">
        <v>166</v>
      </c>
      <c r="C41" s="45"/>
      <c r="D41" s="46"/>
      <c r="E41" s="63">
        <f>SUM(E34:E40)</f>
        <v>260400000</v>
      </c>
      <c r="F41" s="64"/>
    </row>
    <row r="42" spans="1:6" ht="18.75" x14ac:dyDescent="0.3">
      <c r="A42" s="91">
        <v>7</v>
      </c>
      <c r="B42" s="196" t="s">
        <v>409</v>
      </c>
      <c r="C42" s="197"/>
      <c r="D42" s="197"/>
      <c r="E42" s="92">
        <f>E41+E31</f>
        <v>360000000</v>
      </c>
      <c r="F42" s="64"/>
    </row>
    <row r="43" spans="1:6" ht="18.75" x14ac:dyDescent="0.3">
      <c r="A43" s="93">
        <v>8</v>
      </c>
      <c r="B43" s="198" t="s">
        <v>425</v>
      </c>
      <c r="C43" s="199"/>
      <c r="D43" s="199"/>
      <c r="E43" s="94">
        <f>E42+E11</f>
        <v>460000000</v>
      </c>
      <c r="F43" s="64"/>
    </row>
    <row r="44" spans="1:6" x14ac:dyDescent="0.25">
      <c r="A44" s="195" t="s">
        <v>328</v>
      </c>
      <c r="B44" s="195"/>
      <c r="C44" s="195"/>
      <c r="D44" s="195"/>
      <c r="E44" s="195"/>
    </row>
    <row r="45" spans="1:6" x14ac:dyDescent="0.25">
      <c r="A45" s="45">
        <v>1</v>
      </c>
      <c r="B45" s="54" t="s">
        <v>298</v>
      </c>
      <c r="C45" s="45">
        <v>50</v>
      </c>
      <c r="D45" s="46">
        <f>2/100*Budgeting!C29</f>
        <v>3660100.0000000005</v>
      </c>
      <c r="E45" s="46">
        <f>D45</f>
        <v>3660100.0000000005</v>
      </c>
    </row>
    <row r="46" spans="1:6" x14ac:dyDescent="0.25">
      <c r="A46" s="45">
        <v>2</v>
      </c>
      <c r="B46" s="56" t="s">
        <v>304</v>
      </c>
      <c r="C46" s="45">
        <v>50</v>
      </c>
      <c r="D46" s="46">
        <v>0</v>
      </c>
      <c r="E46" s="46">
        <f>D46/12</f>
        <v>0</v>
      </c>
    </row>
  </sheetData>
  <mergeCells count="9">
    <mergeCell ref="B42:D42"/>
    <mergeCell ref="B43:D43"/>
    <mergeCell ref="A44:E44"/>
    <mergeCell ref="A1:E1"/>
    <mergeCell ref="A12:E12"/>
    <mergeCell ref="B29:D29"/>
    <mergeCell ref="B30:D30"/>
    <mergeCell ref="B31:D31"/>
    <mergeCell ref="A32:E3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H37" sqref="H37"/>
    </sheetView>
  </sheetViews>
  <sheetFormatPr defaultRowHeight="15" x14ac:dyDescent="0.25"/>
  <cols>
    <col min="1" max="1" width="19.42578125" customWidth="1"/>
    <col min="2" max="2" width="92.5703125" customWidth="1"/>
    <col min="3" max="3" width="11.140625" style="43" hidden="1" customWidth="1"/>
    <col min="4" max="4" width="9.28515625" hidden="1" customWidth="1"/>
    <col min="5" max="5" width="28.5703125" style="43" customWidth="1"/>
    <col min="6" max="6" width="13.42578125" bestFit="1" customWidth="1"/>
  </cols>
  <sheetData>
    <row r="1" spans="1:5" ht="19.5" thickBot="1" x14ac:dyDescent="0.35">
      <c r="A1" s="168" t="s">
        <v>291</v>
      </c>
      <c r="B1" s="169" t="s">
        <v>464</v>
      </c>
      <c r="C1" s="169" t="s">
        <v>286</v>
      </c>
      <c r="D1" s="169" t="s">
        <v>287</v>
      </c>
      <c r="E1" s="169" t="s">
        <v>412</v>
      </c>
    </row>
    <row r="2" spans="1:5" x14ac:dyDescent="0.25">
      <c r="A2" s="239" t="s">
        <v>319</v>
      </c>
      <c r="B2" s="239"/>
      <c r="C2" s="239"/>
      <c r="D2" s="239"/>
      <c r="E2" s="239"/>
    </row>
    <row r="3" spans="1:5" x14ac:dyDescent="0.25">
      <c r="A3" s="45">
        <v>1</v>
      </c>
      <c r="B3" s="48" t="s">
        <v>294</v>
      </c>
      <c r="C3" s="49">
        <v>1</v>
      </c>
      <c r="D3" s="46">
        <v>15000000</v>
      </c>
      <c r="E3" s="50">
        <f>D3*C3</f>
        <v>15000000</v>
      </c>
    </row>
    <row r="4" spans="1:5" x14ac:dyDescent="0.25">
      <c r="A4" s="45">
        <v>2</v>
      </c>
      <c r="B4" s="48" t="s">
        <v>458</v>
      </c>
      <c r="C4" s="45">
        <v>1</v>
      </c>
      <c r="D4" s="46">
        <v>60000000</v>
      </c>
      <c r="E4" s="50">
        <f>D4*C4</f>
        <v>60000000</v>
      </c>
    </row>
    <row r="5" spans="1:5" x14ac:dyDescent="0.25">
      <c r="A5" s="45">
        <v>3</v>
      </c>
      <c r="B5" s="47" t="s">
        <v>460</v>
      </c>
      <c r="C5" s="45">
        <v>1</v>
      </c>
      <c r="D5" s="46">
        <v>12000000</v>
      </c>
      <c r="E5" s="50">
        <v>21000000</v>
      </c>
    </row>
    <row r="6" spans="1:5" x14ac:dyDescent="0.25">
      <c r="A6" s="45">
        <v>4</v>
      </c>
      <c r="B6" s="47" t="s">
        <v>482</v>
      </c>
      <c r="C6" s="45">
        <v>10</v>
      </c>
      <c r="D6" s="46">
        <v>400000</v>
      </c>
      <c r="E6" s="50">
        <v>4000000</v>
      </c>
    </row>
    <row r="7" spans="1:5" hidden="1" x14ac:dyDescent="0.25">
      <c r="A7" s="45" t="s">
        <v>307</v>
      </c>
      <c r="B7" s="47" t="s">
        <v>329</v>
      </c>
      <c r="C7" s="45">
        <v>10</v>
      </c>
      <c r="D7" s="46">
        <v>0</v>
      </c>
      <c r="E7" s="50">
        <f>D7*C7</f>
        <v>0</v>
      </c>
    </row>
    <row r="8" spans="1:5" hidden="1" x14ac:dyDescent="0.25">
      <c r="A8" s="45" t="s">
        <v>308</v>
      </c>
      <c r="B8" s="47" t="s">
        <v>456</v>
      </c>
      <c r="C8" s="45">
        <v>1</v>
      </c>
      <c r="D8" s="46">
        <v>0</v>
      </c>
      <c r="E8" s="50">
        <f>D8*C8</f>
        <v>0</v>
      </c>
    </row>
    <row r="9" spans="1:5" hidden="1" x14ac:dyDescent="0.25">
      <c r="A9" s="45" t="s">
        <v>309</v>
      </c>
      <c r="B9" s="47" t="s">
        <v>201</v>
      </c>
      <c r="C9" s="45">
        <v>1</v>
      </c>
      <c r="D9" s="46">
        <v>0</v>
      </c>
      <c r="E9" s="50">
        <f>D9*C9</f>
        <v>0</v>
      </c>
    </row>
    <row r="10" spans="1:5" hidden="1" x14ac:dyDescent="0.25">
      <c r="A10" s="45" t="s">
        <v>413</v>
      </c>
      <c r="B10" s="47" t="s">
        <v>459</v>
      </c>
      <c r="C10" s="45">
        <v>150</v>
      </c>
      <c r="D10" s="46">
        <v>0</v>
      </c>
      <c r="E10" s="50">
        <v>0</v>
      </c>
    </row>
    <row r="11" spans="1:5" x14ac:dyDescent="0.25">
      <c r="A11" s="58">
        <v>5</v>
      </c>
      <c r="B11" s="61" t="s">
        <v>415</v>
      </c>
      <c r="C11" s="59"/>
      <c r="D11" s="60"/>
      <c r="E11" s="162">
        <f>SUM(E3:E10)</f>
        <v>100000000</v>
      </c>
    </row>
    <row r="12" spans="1:5" x14ac:dyDescent="0.25">
      <c r="A12" s="239" t="s">
        <v>322</v>
      </c>
      <c r="B12" s="239"/>
      <c r="C12" s="239"/>
      <c r="D12" s="239"/>
      <c r="E12" s="239"/>
    </row>
    <row r="13" spans="1:5" x14ac:dyDescent="0.25">
      <c r="A13" s="45">
        <v>1</v>
      </c>
      <c r="B13" s="47" t="s">
        <v>481</v>
      </c>
      <c r="C13" s="45">
        <v>1</v>
      </c>
      <c r="D13" s="46">
        <v>310000</v>
      </c>
      <c r="E13" s="50">
        <v>290000</v>
      </c>
    </row>
    <row r="14" spans="1:5" hidden="1" x14ac:dyDescent="0.25">
      <c r="A14" s="45">
        <v>2</v>
      </c>
      <c r="B14" s="47" t="s">
        <v>299</v>
      </c>
      <c r="C14" s="45">
        <v>1</v>
      </c>
      <c r="D14" s="46">
        <v>0</v>
      </c>
      <c r="E14" s="50">
        <v>0</v>
      </c>
    </row>
    <row r="15" spans="1:5" hidden="1" x14ac:dyDescent="0.25">
      <c r="A15" s="45">
        <v>3</v>
      </c>
      <c r="B15" s="4" t="s">
        <v>289</v>
      </c>
      <c r="C15" s="45">
        <v>1</v>
      </c>
      <c r="D15" s="46">
        <v>0</v>
      </c>
      <c r="E15" s="50">
        <v>0</v>
      </c>
    </row>
    <row r="16" spans="1:5" hidden="1" x14ac:dyDescent="0.25">
      <c r="A16" s="45">
        <v>4</v>
      </c>
      <c r="B16" s="47" t="s">
        <v>417</v>
      </c>
      <c r="C16" s="45">
        <v>1</v>
      </c>
      <c r="D16" s="46">
        <v>0</v>
      </c>
      <c r="E16" s="50">
        <v>0</v>
      </c>
    </row>
    <row r="17" spans="1:5" hidden="1" x14ac:dyDescent="0.25">
      <c r="A17" s="45">
        <v>5</v>
      </c>
      <c r="B17" s="47" t="s">
        <v>288</v>
      </c>
      <c r="C17" s="45">
        <v>15</v>
      </c>
      <c r="D17" s="46">
        <v>0</v>
      </c>
      <c r="E17" s="50">
        <v>0</v>
      </c>
    </row>
    <row r="18" spans="1:5" hidden="1" x14ac:dyDescent="0.25">
      <c r="A18" s="45">
        <v>6</v>
      </c>
      <c r="B18" s="47" t="s">
        <v>416</v>
      </c>
      <c r="C18" s="45">
        <v>10</v>
      </c>
      <c r="D18" s="46">
        <v>0</v>
      </c>
      <c r="E18" s="50">
        <v>0</v>
      </c>
    </row>
    <row r="19" spans="1:5" hidden="1" x14ac:dyDescent="0.25">
      <c r="A19" s="45">
        <v>7</v>
      </c>
      <c r="B19" s="47" t="s">
        <v>301</v>
      </c>
      <c r="C19" s="45">
        <v>1</v>
      </c>
      <c r="D19" s="46">
        <v>0</v>
      </c>
      <c r="E19" s="50">
        <v>0</v>
      </c>
    </row>
    <row r="20" spans="1:5" x14ac:dyDescent="0.25">
      <c r="A20" s="45">
        <v>2</v>
      </c>
      <c r="B20" s="47" t="s">
        <v>483</v>
      </c>
      <c r="C20" s="45">
        <v>1</v>
      </c>
      <c r="D20" s="46">
        <v>100000</v>
      </c>
      <c r="E20" s="50">
        <f>D20*C20</f>
        <v>100000</v>
      </c>
    </row>
    <row r="21" spans="1:5" x14ac:dyDescent="0.25">
      <c r="A21" s="45">
        <v>3</v>
      </c>
      <c r="B21" s="240" t="s">
        <v>484</v>
      </c>
      <c r="C21" s="241">
        <v>3</v>
      </c>
      <c r="D21" s="242">
        <v>450000</v>
      </c>
      <c r="E21" s="50">
        <v>440000</v>
      </c>
    </row>
    <row r="22" spans="1:5" hidden="1" x14ac:dyDescent="0.25">
      <c r="A22" s="45">
        <v>10</v>
      </c>
      <c r="B22" s="62" t="s">
        <v>195</v>
      </c>
      <c r="C22" s="49">
        <v>3</v>
      </c>
      <c r="D22" s="46">
        <v>0</v>
      </c>
      <c r="E22" s="50">
        <f t="shared" ref="E22:E27" si="0">D22*C22</f>
        <v>0</v>
      </c>
    </row>
    <row r="23" spans="1:5" hidden="1" x14ac:dyDescent="0.25">
      <c r="A23" s="45">
        <v>11</v>
      </c>
      <c r="B23" s="62" t="s">
        <v>197</v>
      </c>
      <c r="C23" s="49">
        <v>2</v>
      </c>
      <c r="D23" s="46">
        <v>0</v>
      </c>
      <c r="E23" s="50">
        <f t="shared" si="0"/>
        <v>0</v>
      </c>
    </row>
    <row r="24" spans="1:5" hidden="1" x14ac:dyDescent="0.25">
      <c r="A24" s="45">
        <v>12</v>
      </c>
      <c r="B24" s="62" t="s">
        <v>198</v>
      </c>
      <c r="C24" s="49">
        <v>1</v>
      </c>
      <c r="D24" s="46">
        <v>0</v>
      </c>
      <c r="E24" s="50">
        <f t="shared" si="0"/>
        <v>0</v>
      </c>
    </row>
    <row r="25" spans="1:5" hidden="1" x14ac:dyDescent="0.25">
      <c r="A25" s="45">
        <v>13</v>
      </c>
      <c r="B25" s="62" t="s">
        <v>305</v>
      </c>
      <c r="C25" s="49">
        <v>1</v>
      </c>
      <c r="D25" s="46">
        <v>0</v>
      </c>
      <c r="E25" s="50">
        <f t="shared" si="0"/>
        <v>0</v>
      </c>
    </row>
    <row r="26" spans="1:5" hidden="1" x14ac:dyDescent="0.25">
      <c r="A26" s="45">
        <v>14</v>
      </c>
      <c r="B26" s="62" t="s">
        <v>200</v>
      </c>
      <c r="C26" s="49">
        <v>3</v>
      </c>
      <c r="D26" s="46">
        <v>0</v>
      </c>
      <c r="E26" s="50">
        <f t="shared" si="0"/>
        <v>0</v>
      </c>
    </row>
    <row r="27" spans="1:5" hidden="1" x14ac:dyDescent="0.25">
      <c r="A27" s="45">
        <v>15</v>
      </c>
      <c r="B27" s="62" t="s">
        <v>290</v>
      </c>
      <c r="C27" s="49">
        <v>1</v>
      </c>
      <c r="D27" s="46">
        <v>0</v>
      </c>
      <c r="E27" s="50">
        <f t="shared" si="0"/>
        <v>0</v>
      </c>
    </row>
    <row r="28" spans="1:5" x14ac:dyDescent="0.25">
      <c r="A28" s="45">
        <v>4</v>
      </c>
      <c r="B28" s="240" t="s">
        <v>323</v>
      </c>
      <c r="C28" s="241"/>
      <c r="D28" s="242"/>
      <c r="E28" s="170">
        <f>SUM(E13:E27)</f>
        <v>830000</v>
      </c>
    </row>
    <row r="29" spans="1:5" x14ac:dyDescent="0.25">
      <c r="A29" s="45">
        <v>5</v>
      </c>
      <c r="B29" s="240" t="s">
        <v>485</v>
      </c>
      <c r="C29" s="241"/>
      <c r="D29" s="242"/>
      <c r="E29" s="163">
        <f>E28*10</f>
        <v>8300000</v>
      </c>
    </row>
    <row r="30" spans="1:5" x14ac:dyDescent="0.25">
      <c r="A30" s="45">
        <v>6</v>
      </c>
      <c r="B30" s="236" t="s">
        <v>411</v>
      </c>
      <c r="C30" s="237"/>
      <c r="D30" s="238"/>
      <c r="E30" s="164">
        <f>E29*12</f>
        <v>99600000</v>
      </c>
    </row>
    <row r="31" spans="1:5" x14ac:dyDescent="0.25">
      <c r="A31" s="239" t="s">
        <v>325</v>
      </c>
      <c r="B31" s="239"/>
      <c r="C31" s="239"/>
      <c r="D31" s="239"/>
      <c r="E31" s="239"/>
    </row>
    <row r="32" spans="1:5" x14ac:dyDescent="0.25">
      <c r="A32" s="45">
        <v>1</v>
      </c>
      <c r="B32" s="48" t="s">
        <v>457</v>
      </c>
      <c r="C32" s="49">
        <v>1</v>
      </c>
      <c r="D32" s="50">
        <v>5000000</v>
      </c>
      <c r="E32" s="50">
        <f>D32*C32</f>
        <v>5000000</v>
      </c>
    </row>
    <row r="33" spans="1:6" x14ac:dyDescent="0.25">
      <c r="A33" s="45">
        <v>2</v>
      </c>
      <c r="B33" s="48" t="s">
        <v>461</v>
      </c>
      <c r="C33" s="49">
        <v>1</v>
      </c>
      <c r="D33" s="50">
        <v>2500000</v>
      </c>
      <c r="E33" s="50">
        <f>D33*C33*12</f>
        <v>30000000</v>
      </c>
    </row>
    <row r="34" spans="1:6" x14ac:dyDescent="0.25">
      <c r="A34" s="45">
        <v>3</v>
      </c>
      <c r="B34" s="54" t="s">
        <v>462</v>
      </c>
      <c r="C34" s="45">
        <v>800</v>
      </c>
      <c r="D34" s="55">
        <v>100000</v>
      </c>
      <c r="E34" s="50">
        <f>D34*C34</f>
        <v>80000000</v>
      </c>
    </row>
    <row r="35" spans="1:6" x14ac:dyDescent="0.25">
      <c r="A35" s="45">
        <v>4</v>
      </c>
      <c r="B35" s="4" t="s">
        <v>327</v>
      </c>
      <c r="C35" s="45">
        <v>1</v>
      </c>
      <c r="D35" s="90">
        <v>5000000</v>
      </c>
      <c r="E35" s="165">
        <v>5400000</v>
      </c>
      <c r="F35" s="64"/>
    </row>
    <row r="36" spans="1:6" x14ac:dyDescent="0.25">
      <c r="A36" s="45">
        <v>5</v>
      </c>
      <c r="B36" s="54" t="s">
        <v>488</v>
      </c>
      <c r="C36" s="45">
        <v>800</v>
      </c>
      <c r="D36" s="55">
        <v>100000</v>
      </c>
      <c r="E36" s="50">
        <v>50000000</v>
      </c>
    </row>
    <row r="37" spans="1:6" x14ac:dyDescent="0.25">
      <c r="A37" s="45">
        <v>6</v>
      </c>
      <c r="B37" s="4" t="s">
        <v>487</v>
      </c>
      <c r="C37" s="45">
        <v>1</v>
      </c>
      <c r="D37" s="90">
        <v>5000000</v>
      </c>
      <c r="E37" s="165">
        <v>80000000</v>
      </c>
      <c r="F37" s="64"/>
    </row>
    <row r="38" spans="1:6" x14ac:dyDescent="0.25">
      <c r="A38" s="45">
        <v>7</v>
      </c>
      <c r="B38" s="4" t="s">
        <v>480</v>
      </c>
      <c r="C38" s="45">
        <v>1</v>
      </c>
      <c r="D38" s="90">
        <v>5000000</v>
      </c>
      <c r="E38" s="165">
        <v>10000000</v>
      </c>
      <c r="F38" s="64"/>
    </row>
    <row r="39" spans="1:6" x14ac:dyDescent="0.25">
      <c r="A39" s="45">
        <v>8</v>
      </c>
      <c r="B39" s="236" t="s">
        <v>411</v>
      </c>
      <c r="C39" s="237"/>
      <c r="D39" s="238"/>
      <c r="E39" s="162">
        <f>SUM(E32:E38)</f>
        <v>260400000</v>
      </c>
      <c r="F39" s="64"/>
    </row>
    <row r="40" spans="1:6" ht="15.75" x14ac:dyDescent="0.25">
      <c r="A40" s="166">
        <v>9</v>
      </c>
      <c r="B40" s="232" t="s">
        <v>463</v>
      </c>
      <c r="C40" s="233"/>
      <c r="D40" s="233"/>
      <c r="E40" s="167">
        <f>E39+E30</f>
        <v>360000000</v>
      </c>
      <c r="F40" s="64"/>
    </row>
    <row r="41" spans="1:6" ht="15.75" x14ac:dyDescent="0.25">
      <c r="A41" s="160">
        <v>10</v>
      </c>
      <c r="B41" s="234" t="s">
        <v>425</v>
      </c>
      <c r="C41" s="235"/>
      <c r="D41" s="235"/>
      <c r="E41" s="161">
        <f>E40+E11</f>
        <v>460000000</v>
      </c>
      <c r="F41" s="64"/>
    </row>
  </sheetData>
  <mergeCells count="10">
    <mergeCell ref="B40:D40"/>
    <mergeCell ref="B41:D41"/>
    <mergeCell ref="B39:D39"/>
    <mergeCell ref="A2:E2"/>
    <mergeCell ref="A12:E12"/>
    <mergeCell ref="B28:D28"/>
    <mergeCell ref="B29:D29"/>
    <mergeCell ref="B30:D30"/>
    <mergeCell ref="A31:E31"/>
    <mergeCell ref="B21:D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22" workbookViewId="0">
      <selection activeCell="D8" sqref="D8"/>
    </sheetView>
  </sheetViews>
  <sheetFormatPr defaultRowHeight="15" x14ac:dyDescent="0.25"/>
  <cols>
    <col min="1" max="1" width="9.28515625" bestFit="1" customWidth="1"/>
    <col min="2" max="2" width="90.28515625" bestFit="1" customWidth="1"/>
    <col min="3" max="3" width="11.140625" style="43" bestFit="1" customWidth="1"/>
    <col min="4" max="4" width="12.28515625" customWidth="1"/>
    <col min="5" max="5" width="18.5703125" customWidth="1"/>
    <col min="6" max="6" width="13.42578125" bestFit="1" customWidth="1"/>
  </cols>
  <sheetData>
    <row r="1" spans="1:5" ht="15.75" thickBot="1" x14ac:dyDescent="0.3">
      <c r="A1" s="195" t="s">
        <v>319</v>
      </c>
      <c r="B1" s="195"/>
      <c r="C1" s="195"/>
      <c r="D1" s="195"/>
      <c r="E1" s="195"/>
    </row>
    <row r="2" spans="1:5" ht="15.75" thickBot="1" x14ac:dyDescent="0.3">
      <c r="A2" s="51" t="s">
        <v>291</v>
      </c>
      <c r="B2" s="52" t="s">
        <v>285</v>
      </c>
      <c r="C2" s="52" t="s">
        <v>286</v>
      </c>
      <c r="D2" s="52" t="s">
        <v>287</v>
      </c>
      <c r="E2" s="52" t="s">
        <v>412</v>
      </c>
    </row>
    <row r="3" spans="1:5" x14ac:dyDescent="0.25">
      <c r="A3" s="45" t="s">
        <v>292</v>
      </c>
      <c r="B3" s="48" t="s">
        <v>294</v>
      </c>
      <c r="C3" s="49">
        <v>1</v>
      </c>
      <c r="D3" s="46">
        <v>15000000</v>
      </c>
      <c r="E3" s="46">
        <f>D3*C3</f>
        <v>15000000</v>
      </c>
    </row>
    <row r="4" spans="1:5" x14ac:dyDescent="0.25">
      <c r="A4" s="45" t="s">
        <v>293</v>
      </c>
      <c r="B4" s="48" t="s">
        <v>424</v>
      </c>
      <c r="C4" s="45">
        <v>1</v>
      </c>
      <c r="D4" s="46">
        <v>40000000</v>
      </c>
      <c r="E4" s="46">
        <f>D4*C4</f>
        <v>40000000</v>
      </c>
    </row>
    <row r="5" spans="1:5" x14ac:dyDescent="0.25">
      <c r="A5" s="45" t="s">
        <v>303</v>
      </c>
      <c r="B5" s="48" t="s">
        <v>320</v>
      </c>
      <c r="C5" s="45">
        <v>1</v>
      </c>
      <c r="D5" s="46">
        <v>20000000</v>
      </c>
      <c r="E5" s="46">
        <f>D5*C5</f>
        <v>20000000</v>
      </c>
    </row>
    <row r="6" spans="1:5" x14ac:dyDescent="0.25">
      <c r="A6" s="45" t="s">
        <v>306</v>
      </c>
      <c r="B6" s="47" t="s">
        <v>300</v>
      </c>
      <c r="C6" s="45" t="s">
        <v>310</v>
      </c>
      <c r="D6" s="4"/>
      <c r="E6" s="4"/>
    </row>
    <row r="7" spans="1:5" x14ac:dyDescent="0.25">
      <c r="A7" s="45" t="s">
        <v>307</v>
      </c>
      <c r="B7" s="47" t="s">
        <v>329</v>
      </c>
      <c r="C7" s="45" t="s">
        <v>310</v>
      </c>
      <c r="D7" s="4"/>
      <c r="E7" s="4"/>
    </row>
    <row r="8" spans="1:5" x14ac:dyDescent="0.25">
      <c r="A8" s="45" t="s">
        <v>308</v>
      </c>
      <c r="B8" s="47" t="s">
        <v>295</v>
      </c>
      <c r="C8" s="45">
        <v>1</v>
      </c>
      <c r="D8" s="46">
        <v>175000</v>
      </c>
      <c r="E8" s="46">
        <f>D8*C8</f>
        <v>175000</v>
      </c>
    </row>
    <row r="9" spans="1:5" x14ac:dyDescent="0.25">
      <c r="A9" s="45" t="s">
        <v>309</v>
      </c>
      <c r="B9" s="47" t="s">
        <v>321</v>
      </c>
      <c r="C9" s="45">
        <v>1</v>
      </c>
      <c r="D9" s="46">
        <f>1200000*10</f>
        <v>12000000</v>
      </c>
      <c r="E9" s="46">
        <f>D9*C9</f>
        <v>12000000</v>
      </c>
    </row>
    <row r="10" spans="1:5" x14ac:dyDescent="0.25">
      <c r="A10" s="45" t="s">
        <v>413</v>
      </c>
      <c r="B10" s="47" t="s">
        <v>284</v>
      </c>
      <c r="C10" s="45">
        <v>150</v>
      </c>
      <c r="D10" s="46">
        <v>50000</v>
      </c>
      <c r="E10" s="46">
        <f>D10*C10</f>
        <v>7500000</v>
      </c>
    </row>
    <row r="11" spans="1:5" x14ac:dyDescent="0.25">
      <c r="A11" s="58" t="s">
        <v>414</v>
      </c>
      <c r="B11" s="61" t="s">
        <v>415</v>
      </c>
      <c r="C11" s="59"/>
      <c r="D11" s="60"/>
      <c r="E11" s="63">
        <f>SUM(E3:E10)</f>
        <v>94675000</v>
      </c>
    </row>
    <row r="12" spans="1:5" ht="15.75" thickBot="1" x14ac:dyDescent="0.3">
      <c r="A12" s="195" t="s">
        <v>322</v>
      </c>
      <c r="B12" s="195"/>
      <c r="C12" s="195"/>
      <c r="D12" s="195"/>
      <c r="E12" s="195"/>
    </row>
    <row r="13" spans="1:5" ht="15.75" thickBot="1" x14ac:dyDescent="0.3">
      <c r="A13" s="51" t="s">
        <v>291</v>
      </c>
      <c r="B13" s="52" t="s">
        <v>285</v>
      </c>
      <c r="C13" s="52" t="s">
        <v>286</v>
      </c>
      <c r="D13" s="52" t="s">
        <v>287</v>
      </c>
      <c r="E13" s="52" t="s">
        <v>283</v>
      </c>
    </row>
    <row r="14" spans="1:5" x14ac:dyDescent="0.25">
      <c r="A14" s="45">
        <v>1</v>
      </c>
      <c r="B14" s="47" t="s">
        <v>296</v>
      </c>
      <c r="C14" s="45">
        <v>1</v>
      </c>
      <c r="D14" s="46">
        <v>100000</v>
      </c>
      <c r="E14" s="46">
        <f>D14*C14</f>
        <v>100000</v>
      </c>
    </row>
    <row r="15" spans="1:5" x14ac:dyDescent="0.25">
      <c r="A15" s="45">
        <v>2</v>
      </c>
      <c r="B15" s="47" t="s">
        <v>299</v>
      </c>
      <c r="C15" s="45">
        <v>1</v>
      </c>
      <c r="D15" s="46">
        <v>15000</v>
      </c>
      <c r="E15" s="46">
        <f t="shared" ref="E15:E21" si="0">D15*C15</f>
        <v>15000</v>
      </c>
    </row>
    <row r="16" spans="1:5" x14ac:dyDescent="0.25">
      <c r="A16" s="45">
        <v>3</v>
      </c>
      <c r="B16" s="4" t="s">
        <v>289</v>
      </c>
      <c r="C16" s="45">
        <v>1</v>
      </c>
      <c r="D16" s="46">
        <v>10000</v>
      </c>
      <c r="E16" s="46">
        <f t="shared" si="0"/>
        <v>10000</v>
      </c>
    </row>
    <row r="17" spans="1:5" x14ac:dyDescent="0.25">
      <c r="A17" s="45">
        <v>4</v>
      </c>
      <c r="B17" s="47" t="s">
        <v>417</v>
      </c>
      <c r="C17" s="45">
        <v>1</v>
      </c>
      <c r="D17" s="46">
        <v>20000</v>
      </c>
      <c r="E17" s="46">
        <f t="shared" si="0"/>
        <v>20000</v>
      </c>
    </row>
    <row r="18" spans="1:5" x14ac:dyDescent="0.25">
      <c r="A18" s="45">
        <v>5</v>
      </c>
      <c r="B18" s="47" t="s">
        <v>288</v>
      </c>
      <c r="C18" s="45">
        <v>15</v>
      </c>
      <c r="D18" s="46">
        <v>3000</v>
      </c>
      <c r="E18" s="46">
        <f t="shared" si="0"/>
        <v>45000</v>
      </c>
    </row>
    <row r="19" spans="1:5" x14ac:dyDescent="0.25">
      <c r="A19" s="45">
        <v>6</v>
      </c>
      <c r="B19" s="47" t="s">
        <v>416</v>
      </c>
      <c r="C19" s="45">
        <v>10</v>
      </c>
      <c r="D19" s="46">
        <v>10000</v>
      </c>
      <c r="E19" s="46">
        <f t="shared" si="0"/>
        <v>100000</v>
      </c>
    </row>
    <row r="20" spans="1:5" x14ac:dyDescent="0.25">
      <c r="A20" s="45">
        <v>7</v>
      </c>
      <c r="B20" s="47" t="s">
        <v>301</v>
      </c>
      <c r="C20" s="45">
        <v>1</v>
      </c>
      <c r="D20" s="46">
        <v>20000</v>
      </c>
      <c r="E20" s="46">
        <f t="shared" si="0"/>
        <v>20000</v>
      </c>
    </row>
    <row r="21" spans="1:5" x14ac:dyDescent="0.25">
      <c r="A21" s="45">
        <v>8</v>
      </c>
      <c r="B21" s="47" t="s">
        <v>302</v>
      </c>
      <c r="C21" s="45">
        <v>1</v>
      </c>
      <c r="D21" s="46">
        <v>100000</v>
      </c>
      <c r="E21" s="46">
        <f t="shared" si="0"/>
        <v>100000</v>
      </c>
    </row>
    <row r="22" spans="1:5" x14ac:dyDescent="0.25">
      <c r="A22" s="45">
        <v>9</v>
      </c>
      <c r="B22" s="62" t="s">
        <v>330</v>
      </c>
      <c r="C22" s="49">
        <v>3</v>
      </c>
      <c r="D22" s="46">
        <v>20000</v>
      </c>
      <c r="E22" s="46">
        <f t="shared" ref="E22:E28" si="1">D22*C22</f>
        <v>60000</v>
      </c>
    </row>
    <row r="23" spans="1:5" x14ac:dyDescent="0.25">
      <c r="A23" s="45">
        <v>10</v>
      </c>
      <c r="B23" s="62" t="s">
        <v>195</v>
      </c>
      <c r="C23" s="49">
        <v>3</v>
      </c>
      <c r="D23" s="46">
        <v>35000</v>
      </c>
      <c r="E23" s="46">
        <f t="shared" si="1"/>
        <v>105000</v>
      </c>
    </row>
    <row r="24" spans="1:5" x14ac:dyDescent="0.25">
      <c r="A24" s="45">
        <v>11</v>
      </c>
      <c r="B24" s="62" t="s">
        <v>197</v>
      </c>
      <c r="C24" s="49">
        <v>2</v>
      </c>
      <c r="D24" s="46">
        <v>20000</v>
      </c>
      <c r="E24" s="46">
        <f t="shared" si="1"/>
        <v>40000</v>
      </c>
    </row>
    <row r="25" spans="1:5" x14ac:dyDescent="0.25">
      <c r="A25" s="45">
        <v>12</v>
      </c>
      <c r="B25" s="62" t="s">
        <v>198</v>
      </c>
      <c r="C25" s="49">
        <v>1</v>
      </c>
      <c r="D25" s="46">
        <v>35000</v>
      </c>
      <c r="E25" s="46">
        <f t="shared" si="1"/>
        <v>35000</v>
      </c>
    </row>
    <row r="26" spans="1:5" x14ac:dyDescent="0.25">
      <c r="A26" s="45">
        <v>13</v>
      </c>
      <c r="B26" s="62" t="s">
        <v>305</v>
      </c>
      <c r="C26" s="49">
        <v>1</v>
      </c>
      <c r="D26" s="46">
        <v>60000</v>
      </c>
      <c r="E26" s="46">
        <f t="shared" si="1"/>
        <v>60000</v>
      </c>
    </row>
    <row r="27" spans="1:5" x14ac:dyDescent="0.25">
      <c r="A27" s="45">
        <v>14</v>
      </c>
      <c r="B27" s="62" t="s">
        <v>200</v>
      </c>
      <c r="C27" s="49">
        <v>3</v>
      </c>
      <c r="D27" s="46">
        <v>30000</v>
      </c>
      <c r="E27" s="46">
        <f t="shared" si="1"/>
        <v>90000</v>
      </c>
    </row>
    <row r="28" spans="1:5" x14ac:dyDescent="0.25">
      <c r="A28" s="45">
        <v>15</v>
      </c>
      <c r="B28" s="62" t="s">
        <v>290</v>
      </c>
      <c r="C28" s="49">
        <v>1</v>
      </c>
      <c r="D28" s="46">
        <v>50000</v>
      </c>
      <c r="E28" s="46">
        <f t="shared" si="1"/>
        <v>50000</v>
      </c>
    </row>
    <row r="29" spans="1:5" x14ac:dyDescent="0.25">
      <c r="A29" s="45">
        <v>16</v>
      </c>
      <c r="B29" s="200" t="s">
        <v>323</v>
      </c>
      <c r="C29" s="201"/>
      <c r="D29" s="202"/>
      <c r="E29" s="46">
        <f>SUM(E14:E28)</f>
        <v>850000</v>
      </c>
    </row>
    <row r="30" spans="1:5" x14ac:dyDescent="0.25">
      <c r="A30" s="45">
        <v>17</v>
      </c>
      <c r="B30" s="200" t="s">
        <v>324</v>
      </c>
      <c r="C30" s="201"/>
      <c r="D30" s="202"/>
      <c r="E30" s="95">
        <f>E29*10</f>
        <v>8500000</v>
      </c>
    </row>
    <row r="31" spans="1:5" x14ac:dyDescent="0.25">
      <c r="A31" s="45">
        <v>18</v>
      </c>
      <c r="B31" s="200" t="s">
        <v>411</v>
      </c>
      <c r="C31" s="201"/>
      <c r="D31" s="202"/>
      <c r="E31" s="96">
        <f>E30*12</f>
        <v>102000000</v>
      </c>
    </row>
    <row r="32" spans="1:5" ht="15.75" thickBot="1" x14ac:dyDescent="0.3">
      <c r="A32" s="195" t="s">
        <v>325</v>
      </c>
      <c r="B32" s="195"/>
      <c r="C32" s="195"/>
      <c r="D32" s="195"/>
      <c r="E32" s="195"/>
    </row>
    <row r="33" spans="1:6" ht="15.75" thickBot="1" x14ac:dyDescent="0.3">
      <c r="A33" s="51" t="s">
        <v>291</v>
      </c>
      <c r="B33" s="52" t="s">
        <v>285</v>
      </c>
      <c r="C33" s="52" t="s">
        <v>286</v>
      </c>
      <c r="D33" s="52" t="s">
        <v>287</v>
      </c>
      <c r="E33" s="52" t="s">
        <v>410</v>
      </c>
    </row>
    <row r="34" spans="1:6" x14ac:dyDescent="0.25">
      <c r="A34" s="45">
        <v>1</v>
      </c>
      <c r="B34" s="48" t="s">
        <v>331</v>
      </c>
      <c r="C34" s="49">
        <v>1</v>
      </c>
      <c r="D34" s="50">
        <v>5000000</v>
      </c>
      <c r="E34" s="46">
        <f>D34*C34</f>
        <v>5000000</v>
      </c>
    </row>
    <row r="35" spans="1:6" x14ac:dyDescent="0.25">
      <c r="A35" s="45">
        <v>2</v>
      </c>
      <c r="B35" s="48" t="s">
        <v>193</v>
      </c>
      <c r="C35" s="49">
        <v>1</v>
      </c>
      <c r="D35" s="50">
        <v>2500000</v>
      </c>
      <c r="E35" s="46">
        <f>D35*C35*12</f>
        <v>30000000</v>
      </c>
    </row>
    <row r="36" spans="1:6" x14ac:dyDescent="0.25">
      <c r="A36" s="45">
        <v>3</v>
      </c>
      <c r="B36" s="54" t="s">
        <v>297</v>
      </c>
      <c r="C36" s="45">
        <v>800</v>
      </c>
      <c r="D36" s="55">
        <v>100000</v>
      </c>
      <c r="E36" s="46">
        <f>D36*C36</f>
        <v>80000000</v>
      </c>
    </row>
    <row r="37" spans="1:6" x14ac:dyDescent="0.25">
      <c r="A37" s="45">
        <v>4</v>
      </c>
      <c r="B37" s="4" t="s">
        <v>327</v>
      </c>
      <c r="C37" s="45">
        <v>1</v>
      </c>
      <c r="D37" s="90">
        <v>3000000</v>
      </c>
      <c r="E37" s="90">
        <f>D37</f>
        <v>3000000</v>
      </c>
      <c r="F37" s="64"/>
    </row>
    <row r="38" spans="1:6" x14ac:dyDescent="0.25">
      <c r="A38" s="45">
        <v>5</v>
      </c>
      <c r="B38" s="4" t="s">
        <v>166</v>
      </c>
      <c r="C38" s="45"/>
      <c r="D38" s="46"/>
      <c r="E38" s="63">
        <f>SUM(E34:E37)</f>
        <v>118000000</v>
      </c>
      <c r="F38" s="64"/>
    </row>
    <row r="39" spans="1:6" ht="18.75" x14ac:dyDescent="0.3">
      <c r="A39" s="91">
        <v>6</v>
      </c>
      <c r="B39" s="196" t="s">
        <v>409</v>
      </c>
      <c r="C39" s="197"/>
      <c r="D39" s="197"/>
      <c r="E39" s="92">
        <f>E38+E31</f>
        <v>220000000</v>
      </c>
      <c r="F39" s="64"/>
    </row>
    <row r="40" spans="1:6" ht="18.75" x14ac:dyDescent="0.3">
      <c r="A40" s="93">
        <v>7</v>
      </c>
      <c r="B40" s="198" t="s">
        <v>425</v>
      </c>
      <c r="C40" s="199"/>
      <c r="D40" s="199"/>
      <c r="E40" s="94">
        <f>E39+E11</f>
        <v>314675000</v>
      </c>
      <c r="F40" s="64"/>
    </row>
    <row r="41" spans="1:6" x14ac:dyDescent="0.25">
      <c r="A41" s="195" t="s">
        <v>328</v>
      </c>
      <c r="B41" s="195"/>
      <c r="C41" s="195"/>
      <c r="D41" s="195"/>
      <c r="E41" s="195"/>
    </row>
    <row r="42" spans="1:6" x14ac:dyDescent="0.25">
      <c r="A42" s="45">
        <v>1</v>
      </c>
      <c r="B42" s="54" t="s">
        <v>298</v>
      </c>
      <c r="C42" s="45">
        <v>50</v>
      </c>
      <c r="D42" s="46">
        <f>2/100*Budgeting!C29</f>
        <v>3660100.0000000005</v>
      </c>
      <c r="E42" s="46">
        <f>D42</f>
        <v>3660100.0000000005</v>
      </c>
    </row>
    <row r="43" spans="1:6" x14ac:dyDescent="0.25">
      <c r="A43" s="45">
        <v>2</v>
      </c>
      <c r="B43" s="56" t="s">
        <v>304</v>
      </c>
      <c r="C43" s="45">
        <v>50</v>
      </c>
      <c r="D43" s="46">
        <v>0</v>
      </c>
      <c r="E43" s="46">
        <f>D43/12</f>
        <v>0</v>
      </c>
    </row>
  </sheetData>
  <mergeCells count="9">
    <mergeCell ref="A1:E1"/>
    <mergeCell ref="A12:E12"/>
    <mergeCell ref="A32:E32"/>
    <mergeCell ref="A41:E41"/>
    <mergeCell ref="B39:D39"/>
    <mergeCell ref="B40:D40"/>
    <mergeCell ref="B29:D29"/>
    <mergeCell ref="B30:D30"/>
    <mergeCell ref="B31:D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pane ySplit="1" topLeftCell="A2" activePane="bottomLeft" state="frozen"/>
      <selection pane="bottomLeft" activeCell="D17" sqref="D17"/>
    </sheetView>
  </sheetViews>
  <sheetFormatPr defaultRowHeight="15" x14ac:dyDescent="0.25"/>
  <cols>
    <col min="2" max="2" width="12.28515625" style="43" bestFit="1" customWidth="1"/>
    <col min="3" max="3" width="12.140625" style="43" bestFit="1" customWidth="1"/>
    <col min="4" max="4" width="12.28515625" style="43" bestFit="1" customWidth="1"/>
    <col min="5" max="5" width="17" style="43" bestFit="1" customWidth="1"/>
    <col min="6" max="6" width="20.7109375" style="43" customWidth="1"/>
    <col min="7" max="7" width="23.28515625" bestFit="1" customWidth="1"/>
    <col min="8" max="8" width="40.28515625" customWidth="1"/>
  </cols>
  <sheetData>
    <row r="1" spans="1:11" ht="15.75" thickBot="1" x14ac:dyDescent="0.3">
      <c r="A1" s="68" t="s">
        <v>0</v>
      </c>
      <c r="B1" s="69" t="s">
        <v>342</v>
      </c>
      <c r="C1" s="69" t="s">
        <v>343</v>
      </c>
      <c r="D1" s="69" t="s">
        <v>344</v>
      </c>
      <c r="E1" s="69" t="s">
        <v>391</v>
      </c>
      <c r="F1" s="70" t="s">
        <v>390</v>
      </c>
      <c r="G1" s="69" t="s">
        <v>347</v>
      </c>
      <c r="H1" s="71" t="s">
        <v>104</v>
      </c>
      <c r="I1" s="20"/>
      <c r="J1" s="20"/>
      <c r="K1" s="20"/>
    </row>
    <row r="2" spans="1:11" x14ac:dyDescent="0.25">
      <c r="A2" s="203" t="s">
        <v>408</v>
      </c>
      <c r="B2" s="204"/>
      <c r="C2" s="204"/>
      <c r="D2" s="204"/>
      <c r="E2" s="204"/>
      <c r="F2" s="204"/>
      <c r="G2" s="204"/>
      <c r="H2" s="205"/>
      <c r="I2" s="20"/>
      <c r="J2" s="20"/>
      <c r="K2" s="20"/>
    </row>
    <row r="3" spans="1:11" ht="15.75" thickBot="1" x14ac:dyDescent="0.3">
      <c r="A3" s="206"/>
      <c r="B3" s="207"/>
      <c r="C3" s="207"/>
      <c r="D3" s="207"/>
      <c r="E3" s="207"/>
      <c r="F3" s="207"/>
      <c r="G3" s="207"/>
      <c r="H3" s="208"/>
      <c r="I3" s="20"/>
      <c r="J3" s="20"/>
      <c r="K3" s="20"/>
    </row>
    <row r="4" spans="1:11" x14ac:dyDescent="0.25">
      <c r="A4" s="219" t="s">
        <v>405</v>
      </c>
      <c r="B4" s="80" t="s">
        <v>345</v>
      </c>
      <c r="C4" s="80">
        <v>300</v>
      </c>
      <c r="D4" s="80">
        <v>0</v>
      </c>
      <c r="E4" s="80" t="s">
        <v>334</v>
      </c>
      <c r="F4" s="80"/>
      <c r="G4" s="81" t="s">
        <v>348</v>
      </c>
      <c r="H4" s="220" t="s">
        <v>389</v>
      </c>
    </row>
    <row r="5" spans="1:11" x14ac:dyDescent="0.25">
      <c r="A5" s="214"/>
      <c r="B5" s="72" t="s">
        <v>345</v>
      </c>
      <c r="C5" s="72">
        <v>750</v>
      </c>
      <c r="D5" s="72">
        <v>0</v>
      </c>
      <c r="E5" s="72" t="s">
        <v>334</v>
      </c>
      <c r="F5" s="72"/>
      <c r="G5" s="75" t="s">
        <v>349</v>
      </c>
      <c r="H5" s="221"/>
    </row>
    <row r="6" spans="1:11" x14ac:dyDescent="0.25">
      <c r="A6" s="214"/>
      <c r="B6" s="72" t="s">
        <v>345</v>
      </c>
      <c r="C6" s="72">
        <v>1000</v>
      </c>
      <c r="D6" s="72">
        <v>0</v>
      </c>
      <c r="E6" s="72" t="s">
        <v>334</v>
      </c>
      <c r="F6" s="72"/>
      <c r="G6" s="75" t="s">
        <v>350</v>
      </c>
      <c r="H6" s="221"/>
    </row>
    <row r="7" spans="1:11" x14ac:dyDescent="0.25">
      <c r="A7" s="214"/>
      <c r="B7" s="72" t="s">
        <v>345</v>
      </c>
      <c r="C7" s="72">
        <v>2500</v>
      </c>
      <c r="D7" s="72">
        <v>0</v>
      </c>
      <c r="E7" s="72" t="s">
        <v>334</v>
      </c>
      <c r="F7" s="72"/>
      <c r="G7" s="75" t="s">
        <v>351</v>
      </c>
      <c r="H7" s="221"/>
    </row>
    <row r="8" spans="1:11" x14ac:dyDescent="0.25">
      <c r="A8" s="214"/>
      <c r="B8" s="72" t="s">
        <v>345</v>
      </c>
      <c r="C8" s="72">
        <v>5000</v>
      </c>
      <c r="D8" s="72">
        <v>0</v>
      </c>
      <c r="E8" s="72" t="s">
        <v>334</v>
      </c>
      <c r="F8" s="72"/>
      <c r="G8" s="75" t="s">
        <v>352</v>
      </c>
      <c r="H8" s="221"/>
    </row>
    <row r="9" spans="1:11" x14ac:dyDescent="0.25">
      <c r="A9" s="214"/>
      <c r="B9" s="72" t="s">
        <v>345</v>
      </c>
      <c r="C9" s="72" t="s">
        <v>346</v>
      </c>
      <c r="D9" s="72">
        <v>0</v>
      </c>
      <c r="E9" s="72" t="s">
        <v>334</v>
      </c>
      <c r="F9" s="72"/>
      <c r="G9" s="75" t="s">
        <v>353</v>
      </c>
      <c r="H9" s="221"/>
    </row>
    <row r="10" spans="1:11" x14ac:dyDescent="0.25">
      <c r="A10" s="222" t="s">
        <v>406</v>
      </c>
      <c r="B10" s="45" t="s">
        <v>355</v>
      </c>
      <c r="C10" s="45">
        <v>300</v>
      </c>
      <c r="D10" s="65">
        <v>0.1</v>
      </c>
      <c r="E10" s="45">
        <v>60</v>
      </c>
      <c r="F10" s="45">
        <v>270</v>
      </c>
      <c r="G10" s="4" t="s">
        <v>348</v>
      </c>
      <c r="H10" s="224" t="s">
        <v>402</v>
      </c>
    </row>
    <row r="11" spans="1:11" x14ac:dyDescent="0.25">
      <c r="A11" s="223"/>
      <c r="B11" s="45" t="s">
        <v>355</v>
      </c>
      <c r="C11" s="45">
        <v>750</v>
      </c>
      <c r="D11" s="65">
        <v>0.1</v>
      </c>
      <c r="E11" s="45">
        <v>60</v>
      </c>
      <c r="F11" s="45">
        <v>675</v>
      </c>
      <c r="G11" s="4" t="s">
        <v>349</v>
      </c>
      <c r="H11" s="225"/>
    </row>
    <row r="12" spans="1:11" x14ac:dyDescent="0.25">
      <c r="A12" s="223"/>
      <c r="B12" s="45" t="s">
        <v>355</v>
      </c>
      <c r="C12" s="45">
        <v>1000</v>
      </c>
      <c r="D12" s="65">
        <v>0.1</v>
      </c>
      <c r="E12" s="45">
        <v>60</v>
      </c>
      <c r="F12" s="45">
        <v>900</v>
      </c>
      <c r="G12" s="4" t="s">
        <v>350</v>
      </c>
      <c r="H12" s="225"/>
    </row>
    <row r="13" spans="1:11" x14ac:dyDescent="0.25">
      <c r="A13" s="223"/>
      <c r="B13" s="45" t="s">
        <v>355</v>
      </c>
      <c r="C13" s="45">
        <v>2500</v>
      </c>
      <c r="D13" s="65">
        <v>0.1</v>
      </c>
      <c r="E13" s="45">
        <v>60</v>
      </c>
      <c r="F13" s="45">
        <v>2250</v>
      </c>
      <c r="G13" s="4" t="s">
        <v>351</v>
      </c>
      <c r="H13" s="225"/>
    </row>
    <row r="14" spans="1:11" x14ac:dyDescent="0.25">
      <c r="A14" s="223"/>
      <c r="B14" s="45" t="s">
        <v>355</v>
      </c>
      <c r="C14" s="45">
        <v>5000</v>
      </c>
      <c r="D14" s="65">
        <v>0.1</v>
      </c>
      <c r="E14" s="45">
        <v>60</v>
      </c>
      <c r="F14" s="45">
        <v>4000</v>
      </c>
      <c r="G14" s="4" t="s">
        <v>352</v>
      </c>
      <c r="H14" s="225"/>
    </row>
    <row r="15" spans="1:11" x14ac:dyDescent="0.25">
      <c r="A15" s="223"/>
      <c r="B15" s="45" t="s">
        <v>355</v>
      </c>
      <c r="C15" s="45" t="s">
        <v>346</v>
      </c>
      <c r="D15" s="65">
        <v>0.1</v>
      </c>
      <c r="E15" s="45">
        <v>60</v>
      </c>
      <c r="F15" s="45" t="s">
        <v>356</v>
      </c>
      <c r="G15" s="4" t="s">
        <v>353</v>
      </c>
      <c r="H15" s="225"/>
    </row>
    <row r="16" spans="1:11" x14ac:dyDescent="0.25">
      <c r="A16" s="213" t="s">
        <v>399</v>
      </c>
      <c r="B16" s="72" t="s">
        <v>354</v>
      </c>
      <c r="C16" s="72">
        <v>270</v>
      </c>
      <c r="D16" s="73">
        <v>0.1</v>
      </c>
      <c r="E16" s="74">
        <v>60</v>
      </c>
      <c r="F16" s="74">
        <f>C16*0.9</f>
        <v>243</v>
      </c>
      <c r="G16" s="75" t="s">
        <v>348</v>
      </c>
      <c r="H16" s="226"/>
    </row>
    <row r="17" spans="1:10" x14ac:dyDescent="0.25">
      <c r="A17" s="214"/>
      <c r="B17" s="72" t="s">
        <v>354</v>
      </c>
      <c r="C17" s="72">
        <v>675</v>
      </c>
      <c r="D17" s="73">
        <v>0.1</v>
      </c>
      <c r="E17" s="74">
        <v>60</v>
      </c>
      <c r="F17" s="74">
        <f>C17*0.9</f>
        <v>607.5</v>
      </c>
      <c r="G17" s="75" t="s">
        <v>349</v>
      </c>
      <c r="H17" s="227"/>
    </row>
    <row r="18" spans="1:10" x14ac:dyDescent="0.25">
      <c r="A18" s="214"/>
      <c r="B18" s="72" t="s">
        <v>354</v>
      </c>
      <c r="C18" s="72">
        <v>900</v>
      </c>
      <c r="D18" s="73">
        <v>0.1</v>
      </c>
      <c r="E18" s="74">
        <v>60</v>
      </c>
      <c r="F18" s="74">
        <f>C18*0.9</f>
        <v>810</v>
      </c>
      <c r="G18" s="75" t="s">
        <v>350</v>
      </c>
      <c r="H18" s="227"/>
    </row>
    <row r="19" spans="1:10" x14ac:dyDescent="0.25">
      <c r="A19" s="214"/>
      <c r="B19" s="72" t="s">
        <v>354</v>
      </c>
      <c r="C19" s="72">
        <v>2250</v>
      </c>
      <c r="D19" s="73">
        <v>0.1</v>
      </c>
      <c r="E19" s="74">
        <v>60</v>
      </c>
      <c r="F19" s="74">
        <f>C19*0.9</f>
        <v>2025</v>
      </c>
      <c r="G19" s="75" t="s">
        <v>351</v>
      </c>
      <c r="H19" s="227"/>
    </row>
    <row r="20" spans="1:10" x14ac:dyDescent="0.25">
      <c r="A20" s="214"/>
      <c r="B20" s="72" t="s">
        <v>354</v>
      </c>
      <c r="C20" s="72">
        <v>4500</v>
      </c>
      <c r="D20" s="73">
        <v>0.1</v>
      </c>
      <c r="E20" s="74">
        <v>60</v>
      </c>
      <c r="F20" s="74">
        <f>C20*0.9</f>
        <v>4050</v>
      </c>
      <c r="G20" s="75" t="s">
        <v>352</v>
      </c>
      <c r="H20" s="227"/>
    </row>
    <row r="21" spans="1:10" ht="15.75" thickBot="1" x14ac:dyDescent="0.3">
      <c r="A21" s="215"/>
      <c r="B21" s="76" t="s">
        <v>354</v>
      </c>
      <c r="C21" s="76" t="s">
        <v>356</v>
      </c>
      <c r="D21" s="77">
        <v>0.1</v>
      </c>
      <c r="E21" s="78">
        <v>60</v>
      </c>
      <c r="F21" s="78" t="s">
        <v>357</v>
      </c>
      <c r="G21" s="79" t="s">
        <v>353</v>
      </c>
      <c r="H21" s="228"/>
    </row>
    <row r="22" spans="1:10" x14ac:dyDescent="0.25">
      <c r="A22" s="203" t="s">
        <v>407</v>
      </c>
      <c r="B22" s="204"/>
      <c r="C22" s="204"/>
      <c r="D22" s="204"/>
      <c r="E22" s="204"/>
      <c r="F22" s="204"/>
      <c r="G22" s="204"/>
      <c r="H22" s="205"/>
    </row>
    <row r="23" spans="1:10" ht="15.75" thickBot="1" x14ac:dyDescent="0.3">
      <c r="A23" s="206"/>
      <c r="B23" s="207"/>
      <c r="C23" s="207"/>
      <c r="D23" s="207"/>
      <c r="E23" s="207"/>
      <c r="F23" s="207"/>
      <c r="G23" s="207"/>
      <c r="H23" s="208"/>
    </row>
    <row r="24" spans="1:10" x14ac:dyDescent="0.25">
      <c r="A24" s="209" t="s">
        <v>403</v>
      </c>
      <c r="B24" s="82" t="s">
        <v>359</v>
      </c>
      <c r="C24" s="82">
        <v>500</v>
      </c>
      <c r="D24" s="83">
        <v>0</v>
      </c>
      <c r="E24" s="84">
        <v>60</v>
      </c>
      <c r="F24" s="84">
        <v>250</v>
      </c>
      <c r="G24" s="85" t="s">
        <v>348</v>
      </c>
      <c r="H24" s="210" t="s">
        <v>400</v>
      </c>
      <c r="J24" t="s">
        <v>358</v>
      </c>
    </row>
    <row r="25" spans="1:10" x14ac:dyDescent="0.25">
      <c r="A25" s="178"/>
      <c r="B25" s="86" t="s">
        <v>359</v>
      </c>
      <c r="C25" s="86">
        <v>1000</v>
      </c>
      <c r="D25" s="87">
        <v>0</v>
      </c>
      <c r="E25" s="88">
        <v>60</v>
      </c>
      <c r="F25" s="88">
        <v>500</v>
      </c>
      <c r="G25" s="89" t="s">
        <v>349</v>
      </c>
      <c r="H25" s="211"/>
    </row>
    <row r="26" spans="1:10" x14ac:dyDescent="0.25">
      <c r="A26" s="178"/>
      <c r="B26" s="86" t="s">
        <v>359</v>
      </c>
      <c r="C26" s="86">
        <v>1500</v>
      </c>
      <c r="D26" s="87">
        <v>0</v>
      </c>
      <c r="E26" s="88">
        <v>60</v>
      </c>
      <c r="F26" s="88">
        <v>750</v>
      </c>
      <c r="G26" s="89" t="s">
        <v>350</v>
      </c>
      <c r="H26" s="211"/>
    </row>
    <row r="27" spans="1:10" x14ac:dyDescent="0.25">
      <c r="A27" s="178"/>
      <c r="B27" s="86" t="s">
        <v>359</v>
      </c>
      <c r="C27" s="86">
        <v>2000</v>
      </c>
      <c r="D27" s="87">
        <v>0</v>
      </c>
      <c r="E27" s="88">
        <v>60</v>
      </c>
      <c r="F27" s="88">
        <v>1000</v>
      </c>
      <c r="G27" s="89" t="s">
        <v>351</v>
      </c>
      <c r="H27" s="211"/>
    </row>
    <row r="28" spans="1:10" x14ac:dyDescent="0.25">
      <c r="A28" s="178"/>
      <c r="B28" s="86" t="s">
        <v>359</v>
      </c>
      <c r="C28" s="86">
        <v>5000</v>
      </c>
      <c r="D28" s="87">
        <v>0</v>
      </c>
      <c r="E28" s="88">
        <v>60</v>
      </c>
      <c r="F28" s="88">
        <v>2500</v>
      </c>
      <c r="G28" s="89" t="s">
        <v>352</v>
      </c>
      <c r="H28" s="211"/>
    </row>
    <row r="29" spans="1:10" x14ac:dyDescent="0.25">
      <c r="A29" s="178"/>
      <c r="B29" s="86" t="s">
        <v>359</v>
      </c>
      <c r="C29" s="86" t="s">
        <v>346</v>
      </c>
      <c r="D29" s="87">
        <v>0</v>
      </c>
      <c r="E29" s="88">
        <v>60</v>
      </c>
      <c r="F29" s="88" t="s">
        <v>388</v>
      </c>
      <c r="G29" s="89" t="s">
        <v>353</v>
      </c>
      <c r="H29" s="212"/>
    </row>
    <row r="30" spans="1:10" x14ac:dyDescent="0.25">
      <c r="A30" s="213" t="s">
        <v>404</v>
      </c>
      <c r="B30" s="72" t="s">
        <v>360</v>
      </c>
      <c r="C30" s="72">
        <v>250</v>
      </c>
      <c r="D30" s="73">
        <v>0.1</v>
      </c>
      <c r="E30" s="74">
        <v>60</v>
      </c>
      <c r="F30" s="74">
        <v>250</v>
      </c>
      <c r="G30" s="75" t="s">
        <v>348</v>
      </c>
      <c r="H30" s="216" t="s">
        <v>401</v>
      </c>
    </row>
    <row r="31" spans="1:10" x14ac:dyDescent="0.25">
      <c r="A31" s="214"/>
      <c r="B31" s="72" t="s">
        <v>360</v>
      </c>
      <c r="C31" s="72">
        <v>500</v>
      </c>
      <c r="D31" s="73">
        <v>0.1</v>
      </c>
      <c r="E31" s="74">
        <v>60</v>
      </c>
      <c r="F31" s="74">
        <v>450</v>
      </c>
      <c r="G31" s="75" t="s">
        <v>349</v>
      </c>
      <c r="H31" s="217"/>
    </row>
    <row r="32" spans="1:10" x14ac:dyDescent="0.25">
      <c r="A32" s="214"/>
      <c r="B32" s="72" t="s">
        <v>360</v>
      </c>
      <c r="C32" s="72">
        <v>750</v>
      </c>
      <c r="D32" s="73">
        <v>0.1</v>
      </c>
      <c r="E32" s="74">
        <v>60</v>
      </c>
      <c r="F32" s="74">
        <v>675</v>
      </c>
      <c r="G32" s="75" t="s">
        <v>350</v>
      </c>
      <c r="H32" s="217"/>
    </row>
    <row r="33" spans="1:8" x14ac:dyDescent="0.25">
      <c r="A33" s="214"/>
      <c r="B33" s="72" t="s">
        <v>360</v>
      </c>
      <c r="C33" s="72">
        <v>1000</v>
      </c>
      <c r="D33" s="73">
        <v>0.1</v>
      </c>
      <c r="E33" s="74">
        <v>60</v>
      </c>
      <c r="F33" s="74">
        <v>900</v>
      </c>
      <c r="G33" s="75" t="s">
        <v>351</v>
      </c>
      <c r="H33" s="217"/>
    </row>
    <row r="34" spans="1:8" x14ac:dyDescent="0.25">
      <c r="A34" s="214"/>
      <c r="B34" s="72" t="s">
        <v>360</v>
      </c>
      <c r="C34" s="72">
        <v>2500</v>
      </c>
      <c r="D34" s="73">
        <v>0.1</v>
      </c>
      <c r="E34" s="74">
        <v>60</v>
      </c>
      <c r="F34" s="74">
        <v>2250</v>
      </c>
      <c r="G34" s="75" t="s">
        <v>352</v>
      </c>
      <c r="H34" s="217"/>
    </row>
    <row r="35" spans="1:8" ht="15.75" thickBot="1" x14ac:dyDescent="0.3">
      <c r="A35" s="215"/>
      <c r="B35" s="76" t="s">
        <v>360</v>
      </c>
      <c r="C35" s="76" t="s">
        <v>388</v>
      </c>
      <c r="D35" s="77">
        <v>0.1</v>
      </c>
      <c r="E35" s="78">
        <v>60</v>
      </c>
      <c r="F35" s="78" t="s">
        <v>356</v>
      </c>
      <c r="G35" s="79" t="s">
        <v>353</v>
      </c>
      <c r="H35" s="218"/>
    </row>
  </sheetData>
  <mergeCells count="12">
    <mergeCell ref="A2:H3"/>
    <mergeCell ref="A24:A29"/>
    <mergeCell ref="H24:H29"/>
    <mergeCell ref="A30:A35"/>
    <mergeCell ref="H30:H35"/>
    <mergeCell ref="A4:A9"/>
    <mergeCell ref="H4:H9"/>
    <mergeCell ref="A10:A15"/>
    <mergeCell ref="H10:H15"/>
    <mergeCell ref="A16:A21"/>
    <mergeCell ref="H16:H21"/>
    <mergeCell ref="A22:H2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B1" zoomScaleNormal="100" workbookViewId="0">
      <selection activeCell="C1" sqref="C1"/>
    </sheetView>
  </sheetViews>
  <sheetFormatPr defaultRowHeight="15" x14ac:dyDescent="0.25"/>
  <cols>
    <col min="1" max="1" width="35.7109375" style="32" customWidth="1"/>
    <col min="2" max="2" width="43.42578125" style="32" customWidth="1"/>
    <col min="3" max="3" width="37.7109375" style="32" customWidth="1"/>
    <col min="4" max="4" width="24.85546875" style="32" bestFit="1" customWidth="1"/>
    <col min="5" max="5" width="28.42578125" style="32" customWidth="1"/>
    <col min="6" max="6" width="14" style="32" customWidth="1"/>
    <col min="7" max="16384" width="9.140625" style="32"/>
  </cols>
  <sheetData>
    <row r="1" spans="1:9" ht="150" x14ac:dyDescent="0.25">
      <c r="A1" s="29" t="s">
        <v>421</v>
      </c>
      <c r="B1" s="29" t="s">
        <v>422</v>
      </c>
      <c r="C1" s="29" t="s">
        <v>423</v>
      </c>
      <c r="E1" s="29" t="s">
        <v>361</v>
      </c>
      <c r="F1" s="33" t="s">
        <v>204</v>
      </c>
      <c r="G1" s="29"/>
      <c r="H1" s="29"/>
      <c r="I1" s="29"/>
    </row>
    <row r="2" spans="1:9" x14ac:dyDescent="0.25">
      <c r="A2" s="36" t="s">
        <v>205</v>
      </c>
      <c r="B2" s="36"/>
      <c r="C2" s="36"/>
      <c r="D2" s="36"/>
      <c r="E2" s="36"/>
    </row>
    <row r="3" spans="1:9" ht="210" customHeight="1" x14ac:dyDescent="0.25">
      <c r="A3" s="29" t="s">
        <v>206</v>
      </c>
      <c r="B3" s="34" t="s">
        <v>207</v>
      </c>
      <c r="D3" s="33"/>
      <c r="E3" s="29"/>
    </row>
    <row r="4" spans="1:9" x14ac:dyDescent="0.25">
      <c r="A4" s="29"/>
      <c r="B4" s="29"/>
      <c r="C4" s="34"/>
      <c r="D4" s="29"/>
      <c r="E4" s="29"/>
    </row>
    <row r="5" spans="1:9" x14ac:dyDescent="0.25">
      <c r="A5" s="29"/>
      <c r="B5" s="29" t="s">
        <v>159</v>
      </c>
      <c r="C5" s="34"/>
      <c r="D5" s="29"/>
      <c r="E5" s="29"/>
    </row>
    <row r="6" spans="1:9" x14ac:dyDescent="0.25">
      <c r="A6" s="29" t="s">
        <v>209</v>
      </c>
      <c r="B6" s="29" t="s">
        <v>210</v>
      </c>
      <c r="C6" s="39">
        <v>1225</v>
      </c>
      <c r="D6" s="29"/>
      <c r="E6" s="29"/>
    </row>
    <row r="7" spans="1:9" x14ac:dyDescent="0.25">
      <c r="A7" s="29"/>
      <c r="B7" s="29" t="s">
        <v>211</v>
      </c>
      <c r="C7" s="30">
        <v>2500</v>
      </c>
      <c r="D7" s="29"/>
      <c r="E7" s="35"/>
    </row>
    <row r="8" spans="1:9" x14ac:dyDescent="0.25">
      <c r="A8" s="29"/>
      <c r="B8" s="29" t="s">
        <v>212</v>
      </c>
      <c r="C8" s="30">
        <f>C7*C6</f>
        <v>3062500</v>
      </c>
      <c r="D8" s="29" t="s">
        <v>155</v>
      </c>
      <c r="E8" s="29"/>
    </row>
    <row r="9" spans="1:9" x14ac:dyDescent="0.25">
      <c r="A9" s="29"/>
      <c r="B9" s="29" t="s">
        <v>313</v>
      </c>
      <c r="C9" s="30">
        <f>C8*0.14</f>
        <v>428750.00000000006</v>
      </c>
      <c r="D9" s="33"/>
      <c r="E9" s="29"/>
    </row>
    <row r="10" spans="1:9" x14ac:dyDescent="0.25">
      <c r="A10" s="29"/>
      <c r="B10" s="29" t="s">
        <v>312</v>
      </c>
      <c r="C10" s="30">
        <f>C8*0.08</f>
        <v>245000</v>
      </c>
      <c r="D10" s="33"/>
      <c r="E10" s="29"/>
    </row>
    <row r="11" spans="1:9" x14ac:dyDescent="0.25">
      <c r="A11" s="29"/>
      <c r="B11" s="29" t="s">
        <v>314</v>
      </c>
      <c r="C11" s="30">
        <f>C8*0.07</f>
        <v>214375.00000000003</v>
      </c>
      <c r="D11" s="29"/>
      <c r="E11" s="29"/>
    </row>
    <row r="12" spans="1:9" x14ac:dyDescent="0.25">
      <c r="A12" s="29"/>
      <c r="B12" s="29"/>
      <c r="C12" s="30"/>
      <c r="D12" s="29"/>
      <c r="E12" s="29"/>
    </row>
    <row r="13" spans="1:9" x14ac:dyDescent="0.25">
      <c r="A13" s="29" t="s">
        <v>341</v>
      </c>
      <c r="B13" s="29"/>
      <c r="C13" s="39">
        <f>C6*0.05</f>
        <v>61.25</v>
      </c>
      <c r="D13" s="29"/>
      <c r="E13" s="29"/>
    </row>
    <row r="14" spans="1:9" x14ac:dyDescent="0.25">
      <c r="A14" s="29"/>
      <c r="B14" s="29"/>
      <c r="C14" s="30">
        <v>500</v>
      </c>
      <c r="D14" s="29" t="s">
        <v>156</v>
      </c>
      <c r="E14" s="29"/>
    </row>
    <row r="15" spans="1:9" x14ac:dyDescent="0.25">
      <c r="A15" s="29"/>
      <c r="B15" s="29"/>
      <c r="C15" s="30">
        <f>C14*C13</f>
        <v>30625</v>
      </c>
      <c r="D15" s="29" t="s">
        <v>160</v>
      </c>
      <c r="E15" s="29"/>
    </row>
    <row r="16" spans="1:9" x14ac:dyDescent="0.25">
      <c r="A16" s="29"/>
      <c r="B16" s="29"/>
      <c r="C16" s="30">
        <f>C15*0.37</f>
        <v>11331.25</v>
      </c>
      <c r="D16" s="29" t="s">
        <v>216</v>
      </c>
      <c r="E16" s="29"/>
    </row>
    <row r="17" spans="1:6" x14ac:dyDescent="0.25">
      <c r="A17" s="29"/>
      <c r="B17" s="29"/>
      <c r="C17" s="30"/>
      <c r="D17" s="29"/>
      <c r="E17" s="29"/>
    </row>
    <row r="18" spans="1:6" x14ac:dyDescent="0.25">
      <c r="A18" s="29" t="s">
        <v>219</v>
      </c>
      <c r="B18" s="29"/>
      <c r="C18" s="39">
        <v>122</v>
      </c>
      <c r="D18" s="29" t="s">
        <v>165</v>
      </c>
      <c r="E18" s="29" t="s">
        <v>218</v>
      </c>
    </row>
    <row r="19" spans="1:6" x14ac:dyDescent="0.25">
      <c r="A19" s="29"/>
      <c r="B19" s="29"/>
      <c r="C19" s="30">
        <v>500</v>
      </c>
      <c r="D19" s="29" t="s">
        <v>165</v>
      </c>
      <c r="E19" s="29" t="s">
        <v>218</v>
      </c>
    </row>
    <row r="20" spans="1:6" x14ac:dyDescent="0.25">
      <c r="A20" s="29"/>
      <c r="B20" s="29"/>
      <c r="C20" s="30">
        <f>C19*C18</f>
        <v>61000</v>
      </c>
      <c r="D20" s="29" t="s">
        <v>166</v>
      </c>
      <c r="E20" s="29"/>
    </row>
    <row r="21" spans="1:6" x14ac:dyDescent="0.25">
      <c r="A21" s="29"/>
      <c r="B21" s="29"/>
      <c r="C21" s="30">
        <f>C20*0.05</f>
        <v>3050</v>
      </c>
      <c r="D21" s="29" t="s">
        <v>167</v>
      </c>
      <c r="E21" s="29"/>
    </row>
    <row r="22" spans="1:6" ht="45" x14ac:dyDescent="0.25">
      <c r="A22" s="29" t="s">
        <v>168</v>
      </c>
      <c r="B22" s="29" t="s">
        <v>311</v>
      </c>
      <c r="C22" s="30">
        <f>C21+C16+C11</f>
        <v>228756.25000000003</v>
      </c>
      <c r="D22" s="31" t="s">
        <v>222</v>
      </c>
      <c r="E22" s="29" t="s">
        <v>224</v>
      </c>
    </row>
    <row r="23" spans="1:6" x14ac:dyDescent="0.25">
      <c r="A23" s="29" t="s">
        <v>315</v>
      </c>
      <c r="B23" s="29" t="s">
        <v>297</v>
      </c>
      <c r="C23" s="57">
        <v>0</v>
      </c>
      <c r="D23" s="31"/>
      <c r="E23" s="29" t="s">
        <v>333</v>
      </c>
    </row>
    <row r="24" spans="1:6" x14ac:dyDescent="0.25">
      <c r="A24" s="29" t="s">
        <v>316</v>
      </c>
      <c r="B24" s="29" t="s">
        <v>317</v>
      </c>
      <c r="C24" s="30">
        <f>C22-C23</f>
        <v>228756.25000000003</v>
      </c>
      <c r="D24" s="30">
        <f>C24*10</f>
        <v>2287562.5000000005</v>
      </c>
      <c r="E24" s="30">
        <f>D24*10</f>
        <v>22875625.000000004</v>
      </c>
      <c r="F24" s="32" t="s">
        <v>332</v>
      </c>
    </row>
    <row r="25" spans="1:6" x14ac:dyDescent="0.25">
      <c r="A25" s="29" t="s">
        <v>315</v>
      </c>
      <c r="B25" s="29" t="s">
        <v>297</v>
      </c>
      <c r="C25" s="30">
        <f>C24*50</f>
        <v>11437812.500000002</v>
      </c>
      <c r="D25" s="30">
        <f>C25*10</f>
        <v>114378125.00000001</v>
      </c>
      <c r="E25" s="30">
        <f>D25*6</f>
        <v>686268750.00000012</v>
      </c>
      <c r="F25" s="30">
        <f>E24*6</f>
        <v>137253750.00000003</v>
      </c>
    </row>
    <row r="26" spans="1:6" x14ac:dyDescent="0.25">
      <c r="A26" s="29" t="s">
        <v>315</v>
      </c>
      <c r="B26" s="29" t="s">
        <v>297</v>
      </c>
      <c r="C26" s="30"/>
      <c r="D26" s="31"/>
      <c r="E26" s="29"/>
    </row>
    <row r="27" spans="1:6" ht="45" x14ac:dyDescent="0.25">
      <c r="A27" s="29" t="s">
        <v>221</v>
      </c>
      <c r="B27" s="29" t="s">
        <v>237</v>
      </c>
      <c r="C27" s="38">
        <f>C24*50</f>
        <v>11437812.500000002</v>
      </c>
      <c r="D27" s="32" t="s">
        <v>223</v>
      </c>
      <c r="E27" s="29"/>
    </row>
    <row r="28" spans="1:6" x14ac:dyDescent="0.25">
      <c r="A28" s="29" t="s">
        <v>181</v>
      </c>
      <c r="B28" s="29" t="s">
        <v>176</v>
      </c>
      <c r="C28" s="40">
        <f>C27*10</f>
        <v>114378125.00000001</v>
      </c>
      <c r="D28" s="32" t="s">
        <v>225</v>
      </c>
      <c r="E28" s="29"/>
    </row>
    <row r="29" spans="1:6" x14ac:dyDescent="0.25">
      <c r="A29" s="29" t="s">
        <v>326</v>
      </c>
      <c r="B29" s="29" t="s">
        <v>176</v>
      </c>
      <c r="C29" s="40">
        <f>C28*8/5</f>
        <v>183005000.00000003</v>
      </c>
      <c r="E29" s="29"/>
    </row>
    <row r="30" spans="1:6" ht="45" customHeight="1" x14ac:dyDescent="0.25">
      <c r="A30" s="29" t="s">
        <v>177</v>
      </c>
      <c r="B30" s="29" t="s">
        <v>226</v>
      </c>
      <c r="C30" s="30"/>
      <c r="D30" s="29"/>
      <c r="E30" s="29"/>
    </row>
    <row r="31" spans="1:6" x14ac:dyDescent="0.25">
      <c r="A31" s="29"/>
      <c r="B31" s="29" t="s">
        <v>227</v>
      </c>
      <c r="C31" s="30"/>
      <c r="D31" s="29"/>
      <c r="E31" s="29"/>
    </row>
    <row r="32" spans="1:6" x14ac:dyDescent="0.25">
      <c r="A32" s="29"/>
      <c r="B32" s="29" t="s">
        <v>228</v>
      </c>
      <c r="C32" s="38">
        <f>4*C27</f>
        <v>45751250.000000007</v>
      </c>
      <c r="D32" s="37" t="s">
        <v>229</v>
      </c>
      <c r="E32" s="29"/>
    </row>
    <row r="33" spans="1:7" ht="30" x14ac:dyDescent="0.25">
      <c r="A33" s="29"/>
      <c r="B33" s="29" t="s">
        <v>238</v>
      </c>
      <c r="C33" s="30"/>
      <c r="D33" s="29"/>
      <c r="E33" s="29"/>
    </row>
    <row r="34" spans="1:7" x14ac:dyDescent="0.25">
      <c r="A34" s="29" t="s">
        <v>318</v>
      </c>
      <c r="B34" s="29" t="s">
        <v>230</v>
      </c>
      <c r="C34" s="40">
        <f>C32*10</f>
        <v>457512500.00000006</v>
      </c>
      <c r="D34" s="29" t="s">
        <v>188</v>
      </c>
      <c r="E34" s="32" t="s">
        <v>232</v>
      </c>
    </row>
    <row r="35" spans="1:7" x14ac:dyDescent="0.25">
      <c r="A35" s="29"/>
      <c r="B35" s="29"/>
      <c r="C35" s="30"/>
      <c r="D35" s="29"/>
      <c r="E35" s="29"/>
    </row>
    <row r="37" spans="1:7" x14ac:dyDescent="0.25">
      <c r="C37" s="32" t="s">
        <v>392</v>
      </c>
      <c r="D37" s="32" t="s">
        <v>393</v>
      </c>
      <c r="E37" s="32" t="s">
        <v>394</v>
      </c>
      <c r="F37" s="67">
        <f>SUM(F38:F42)</f>
        <v>974925</v>
      </c>
      <c r="G37" s="66"/>
    </row>
    <row r="38" spans="1:7" x14ac:dyDescent="0.25">
      <c r="B38" s="32" t="s">
        <v>397</v>
      </c>
      <c r="C38" s="32">
        <v>4500</v>
      </c>
      <c r="D38" s="32">
        <v>2500</v>
      </c>
      <c r="E38" s="32">
        <f>C38*D38</f>
        <v>11250000</v>
      </c>
      <c r="F38" s="32">
        <f>E38*0.04</f>
        <v>450000</v>
      </c>
    </row>
    <row r="39" spans="1:7" x14ac:dyDescent="0.25">
      <c r="B39" s="32" t="s">
        <v>396</v>
      </c>
      <c r="C39" s="32">
        <v>450</v>
      </c>
      <c r="D39" s="32">
        <v>1000</v>
      </c>
      <c r="E39" s="32">
        <f>C39*D39</f>
        <v>450000</v>
      </c>
      <c r="F39" s="32">
        <f>E39*0.14</f>
        <v>63000.000000000007</v>
      </c>
    </row>
    <row r="40" spans="1:7" x14ac:dyDescent="0.25">
      <c r="B40" s="32" t="s">
        <v>359</v>
      </c>
      <c r="C40" s="32">
        <v>450</v>
      </c>
      <c r="D40" s="32">
        <v>500</v>
      </c>
      <c r="E40" s="32">
        <f>C40*D40</f>
        <v>225000</v>
      </c>
      <c r="F40" s="32">
        <f>450*(250*0.67+250*0.14)</f>
        <v>91125</v>
      </c>
    </row>
    <row r="41" spans="1:7" x14ac:dyDescent="0.25">
      <c r="B41" s="32" t="s">
        <v>395</v>
      </c>
      <c r="C41" s="32">
        <v>450</v>
      </c>
      <c r="D41" s="32">
        <v>600</v>
      </c>
      <c r="E41" s="32">
        <f>C41*D41</f>
        <v>270000</v>
      </c>
      <c r="F41" s="32">
        <f>E41*0.04</f>
        <v>10800</v>
      </c>
    </row>
    <row r="42" spans="1:7" ht="30" x14ac:dyDescent="0.25">
      <c r="B42" s="29" t="s">
        <v>398</v>
      </c>
      <c r="C42" s="32">
        <v>3000</v>
      </c>
      <c r="D42" s="32">
        <v>1000</v>
      </c>
      <c r="E42" s="32">
        <f>C42*D42</f>
        <v>3000000</v>
      </c>
      <c r="F42" s="32">
        <f>E42*0.12</f>
        <v>360000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pane ySplit="1" topLeftCell="A2" activePane="bottomLeft" state="frozen"/>
      <selection pane="bottomLeft"/>
    </sheetView>
  </sheetViews>
  <sheetFormatPr defaultRowHeight="15" x14ac:dyDescent="0.25"/>
  <cols>
    <col min="2" max="2" width="19.85546875" bestFit="1" customWidth="1"/>
    <col min="3" max="3" width="48.7109375" customWidth="1"/>
    <col min="5" max="5" width="23.85546875" bestFit="1" customWidth="1"/>
    <col min="6" max="6" width="30.140625" customWidth="1"/>
    <col min="7" max="7" width="43" style="25" customWidth="1"/>
    <col min="8" max="8" width="13.42578125" customWidth="1"/>
  </cols>
  <sheetData>
    <row r="1" spans="1:9" x14ac:dyDescent="0.25">
      <c r="A1" t="s">
        <v>138</v>
      </c>
      <c r="B1" t="s">
        <v>139</v>
      </c>
      <c r="C1" t="s">
        <v>142</v>
      </c>
      <c r="D1" t="s">
        <v>140</v>
      </c>
      <c r="G1" s="25" t="s">
        <v>148</v>
      </c>
      <c r="H1" t="s">
        <v>148</v>
      </c>
    </row>
    <row r="2" spans="1:9" x14ac:dyDescent="0.25">
      <c r="A2">
        <v>1</v>
      </c>
      <c r="B2" t="s">
        <v>137</v>
      </c>
      <c r="E2" t="s">
        <v>147</v>
      </c>
      <c r="H2" s="21"/>
    </row>
    <row r="3" spans="1:9" x14ac:dyDescent="0.25">
      <c r="A3">
        <v>2</v>
      </c>
      <c r="B3" t="s">
        <v>141</v>
      </c>
      <c r="E3" t="s">
        <v>147</v>
      </c>
      <c r="H3" s="21"/>
    </row>
    <row r="4" spans="1:9" ht="315" x14ac:dyDescent="0.25">
      <c r="A4">
        <v>3</v>
      </c>
      <c r="B4" t="s">
        <v>143</v>
      </c>
      <c r="C4" s="1" t="s">
        <v>144</v>
      </c>
      <c r="E4" t="s">
        <v>147</v>
      </c>
      <c r="F4" s="1" t="s">
        <v>151</v>
      </c>
      <c r="G4" s="22" t="s">
        <v>202</v>
      </c>
      <c r="H4" s="27" t="s">
        <v>203</v>
      </c>
      <c r="I4" t="s">
        <v>150</v>
      </c>
    </row>
    <row r="5" spans="1:9" x14ac:dyDescent="0.25">
      <c r="A5">
        <v>4</v>
      </c>
      <c r="B5" t="s">
        <v>145</v>
      </c>
      <c r="E5" t="s">
        <v>147</v>
      </c>
      <c r="H5" s="21"/>
    </row>
    <row r="6" spans="1:9" ht="225" x14ac:dyDescent="0.25">
      <c r="A6">
        <v>5</v>
      </c>
      <c r="B6" t="s">
        <v>146</v>
      </c>
      <c r="E6" t="s">
        <v>147</v>
      </c>
      <c r="F6" s="1" t="s">
        <v>153</v>
      </c>
      <c r="G6" s="26" t="s">
        <v>158</v>
      </c>
      <c r="H6" s="21"/>
    </row>
    <row r="7" spans="1:9" x14ac:dyDescent="0.25">
      <c r="A7">
        <v>6</v>
      </c>
      <c r="B7" t="s">
        <v>152</v>
      </c>
    </row>
    <row r="8" spans="1:9" x14ac:dyDescent="0.25">
      <c r="F8" t="s">
        <v>159</v>
      </c>
    </row>
    <row r="9" spans="1:9" x14ac:dyDescent="0.25">
      <c r="E9" t="s">
        <v>162</v>
      </c>
      <c r="F9">
        <v>1250</v>
      </c>
      <c r="G9" s="25">
        <v>2500</v>
      </c>
      <c r="H9" t="s">
        <v>156</v>
      </c>
    </row>
    <row r="10" spans="1:9" x14ac:dyDescent="0.25">
      <c r="F10" t="s">
        <v>157</v>
      </c>
      <c r="G10" s="25">
        <f>G9*F9</f>
        <v>3125000</v>
      </c>
      <c r="H10" t="s">
        <v>155</v>
      </c>
    </row>
    <row r="11" spans="1:9" x14ac:dyDescent="0.25">
      <c r="G11" s="25">
        <f>G10*0.15</f>
        <v>468750</v>
      </c>
      <c r="H11" s="21">
        <v>0.15</v>
      </c>
    </row>
    <row r="12" spans="1:9" x14ac:dyDescent="0.25">
      <c r="C12" t="s">
        <v>169</v>
      </c>
      <c r="G12" s="25">
        <f>G10*0.1</f>
        <v>312500</v>
      </c>
      <c r="H12" s="21">
        <v>0.1</v>
      </c>
    </row>
    <row r="13" spans="1:9" x14ac:dyDescent="0.25">
      <c r="C13" t="s">
        <v>171</v>
      </c>
      <c r="G13" s="25">
        <f>G10*0.04</f>
        <v>125000</v>
      </c>
      <c r="H13">
        <v>4</v>
      </c>
      <c r="I13">
        <f>G13/10000</f>
        <v>12.5</v>
      </c>
    </row>
    <row r="14" spans="1:9" x14ac:dyDescent="0.25">
      <c r="C14" t="s">
        <v>172</v>
      </c>
    </row>
    <row r="15" spans="1:9" x14ac:dyDescent="0.25">
      <c r="C15" t="s">
        <v>173</v>
      </c>
      <c r="E15" t="s">
        <v>164</v>
      </c>
      <c r="F15">
        <f>F9*0.05</f>
        <v>62.5</v>
      </c>
    </row>
    <row r="16" spans="1:9" x14ac:dyDescent="0.25">
      <c r="C16" t="s">
        <v>172</v>
      </c>
      <c r="F16">
        <v>62.5</v>
      </c>
      <c r="G16" s="25">
        <v>500</v>
      </c>
      <c r="H16" t="s">
        <v>156</v>
      </c>
    </row>
    <row r="17" spans="3:9" x14ac:dyDescent="0.25">
      <c r="C17" t="s">
        <v>14</v>
      </c>
      <c r="G17" s="25">
        <f>G16*F16</f>
        <v>31250</v>
      </c>
      <c r="H17" t="s">
        <v>160</v>
      </c>
    </row>
    <row r="18" spans="3:9" x14ac:dyDescent="0.25">
      <c r="C18" t="s">
        <v>174</v>
      </c>
      <c r="G18" s="25">
        <f>G17*0.74</f>
        <v>23125</v>
      </c>
      <c r="H18" t="s">
        <v>161</v>
      </c>
    </row>
    <row r="19" spans="3:9" x14ac:dyDescent="0.25">
      <c r="C19" t="s">
        <v>175</v>
      </c>
    </row>
    <row r="20" spans="3:9" x14ac:dyDescent="0.25">
      <c r="E20" t="s">
        <v>163</v>
      </c>
      <c r="F20">
        <v>125</v>
      </c>
      <c r="G20" s="25">
        <v>750</v>
      </c>
      <c r="H20" t="s">
        <v>165</v>
      </c>
    </row>
    <row r="21" spans="3:9" x14ac:dyDescent="0.25">
      <c r="G21" s="25">
        <f>G20*F20</f>
        <v>93750</v>
      </c>
      <c r="H21" t="s">
        <v>166</v>
      </c>
    </row>
    <row r="22" spans="3:9" x14ac:dyDescent="0.25">
      <c r="G22" s="25">
        <f>G21*0.05</f>
        <v>4687.5</v>
      </c>
      <c r="H22" t="s">
        <v>167</v>
      </c>
    </row>
    <row r="23" spans="3:9" x14ac:dyDescent="0.25">
      <c r="F23" t="s">
        <v>168</v>
      </c>
      <c r="G23" s="25">
        <f>G22+G18+G13</f>
        <v>152812.5</v>
      </c>
    </row>
    <row r="24" spans="3:9" ht="45" x14ac:dyDescent="0.25">
      <c r="D24">
        <f>1400*50</f>
        <v>70000</v>
      </c>
      <c r="E24" t="s">
        <v>180</v>
      </c>
      <c r="F24" s="1" t="s">
        <v>184</v>
      </c>
      <c r="G24" s="25">
        <f>G23*50</f>
        <v>7640625</v>
      </c>
      <c r="H24" s="25">
        <f>G24/1400</f>
        <v>5457.5892857142853</v>
      </c>
      <c r="I24" t="s">
        <v>185</v>
      </c>
    </row>
    <row r="25" spans="3:9" x14ac:dyDescent="0.25">
      <c r="F25" t="s">
        <v>170</v>
      </c>
    </row>
    <row r="26" spans="3:9" x14ac:dyDescent="0.25">
      <c r="E26" t="s">
        <v>181</v>
      </c>
      <c r="F26" t="s">
        <v>176</v>
      </c>
      <c r="G26" s="25">
        <f>G24*10</f>
        <v>76406250</v>
      </c>
      <c r="H26" s="25"/>
    </row>
    <row r="27" spans="3:9" x14ac:dyDescent="0.25">
      <c r="E27" t="s">
        <v>177</v>
      </c>
      <c r="F27" t="s">
        <v>178</v>
      </c>
    </row>
    <row r="28" spans="3:9" x14ac:dyDescent="0.25">
      <c r="F28" t="s">
        <v>179</v>
      </c>
    </row>
    <row r="29" spans="3:9" x14ac:dyDescent="0.25">
      <c r="F29" t="s">
        <v>182</v>
      </c>
    </row>
    <row r="30" spans="3:9" x14ac:dyDescent="0.25">
      <c r="D30">
        <f>4*D24</f>
        <v>280000</v>
      </c>
      <c r="F30" t="s">
        <v>183</v>
      </c>
      <c r="G30" s="25">
        <f>4*G24</f>
        <v>30562500</v>
      </c>
      <c r="H30" s="25"/>
    </row>
    <row r="31" spans="3:9" x14ac:dyDescent="0.25">
      <c r="F31" t="s">
        <v>186</v>
      </c>
    </row>
    <row r="32" spans="3:9" x14ac:dyDescent="0.25">
      <c r="D32">
        <f>D30*10</f>
        <v>2800000</v>
      </c>
      <c r="F32" t="s">
        <v>187</v>
      </c>
      <c r="G32" s="25">
        <f>G30*10</f>
        <v>305625000</v>
      </c>
      <c r="H32" t="s">
        <v>188</v>
      </c>
    </row>
    <row r="34" spans="5:7" x14ac:dyDescent="0.25">
      <c r="E34" t="s">
        <v>189</v>
      </c>
      <c r="F34" t="s">
        <v>190</v>
      </c>
      <c r="G34" s="25">
        <v>1500000</v>
      </c>
    </row>
    <row r="35" spans="5:7" x14ac:dyDescent="0.25">
      <c r="E35" t="s">
        <v>191</v>
      </c>
      <c r="F35" t="s">
        <v>192</v>
      </c>
      <c r="G35" s="25">
        <v>50000</v>
      </c>
    </row>
    <row r="36" spans="5:7" x14ac:dyDescent="0.25">
      <c r="F36" t="s">
        <v>193</v>
      </c>
      <c r="G36" s="25">
        <f>1400*50*10/6*20</f>
        <v>2333333.3333333335</v>
      </c>
    </row>
    <row r="37" spans="5:7" x14ac:dyDescent="0.25">
      <c r="F37" t="s">
        <v>201</v>
      </c>
    </row>
    <row r="38" spans="5:7" x14ac:dyDescent="0.25">
      <c r="F38" t="s">
        <v>194</v>
      </c>
      <c r="G38" s="25" t="s">
        <v>196</v>
      </c>
    </row>
    <row r="39" spans="5:7" x14ac:dyDescent="0.25">
      <c r="F39" t="s">
        <v>195</v>
      </c>
      <c r="G39" s="25" t="s">
        <v>196</v>
      </c>
    </row>
    <row r="40" spans="5:7" x14ac:dyDescent="0.25">
      <c r="F40" t="s">
        <v>192</v>
      </c>
      <c r="G40" s="25" t="s">
        <v>196</v>
      </c>
    </row>
    <row r="41" spans="5:7" x14ac:dyDescent="0.25">
      <c r="F41" t="s">
        <v>197</v>
      </c>
      <c r="G41" s="25" t="s">
        <v>196</v>
      </c>
    </row>
    <row r="42" spans="5:7" x14ac:dyDescent="0.25">
      <c r="F42" t="s">
        <v>198</v>
      </c>
      <c r="G42" s="25">
        <v>1</v>
      </c>
    </row>
    <row r="43" spans="5:7" x14ac:dyDescent="0.25">
      <c r="F43" t="s">
        <v>199</v>
      </c>
      <c r="G43" s="25">
        <v>1</v>
      </c>
    </row>
    <row r="44" spans="5:7" x14ac:dyDescent="0.25">
      <c r="F44" t="s">
        <v>200</v>
      </c>
    </row>
    <row r="45" spans="5:7" x14ac:dyDescent="0.25">
      <c r="F45" t="s">
        <v>149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heetViews>
  <sheetFormatPr defaultRowHeight="15" x14ac:dyDescent="0.25"/>
  <cols>
    <col min="1" max="1" width="6.140625" bestFit="1" customWidth="1"/>
    <col min="2" max="2" width="69.7109375" bestFit="1" customWidth="1"/>
    <col min="3" max="3" width="65.140625" style="1" customWidth="1"/>
    <col min="4" max="4" width="44.42578125" style="1" customWidth="1"/>
  </cols>
  <sheetData>
    <row r="1" spans="1:4" x14ac:dyDescent="0.25">
      <c r="A1" s="23" t="s">
        <v>0</v>
      </c>
      <c r="B1" s="23" t="s">
        <v>1</v>
      </c>
      <c r="C1" s="24" t="s">
        <v>98</v>
      </c>
      <c r="D1" s="24" t="s">
        <v>104</v>
      </c>
    </row>
    <row r="2" spans="1:4" ht="45" x14ac:dyDescent="0.25">
      <c r="A2" s="13">
        <v>0</v>
      </c>
      <c r="B2" s="13" t="s">
        <v>60</v>
      </c>
      <c r="C2" s="14" t="s">
        <v>99</v>
      </c>
      <c r="D2" s="14" t="s">
        <v>106</v>
      </c>
    </row>
    <row r="3" spans="1:4" ht="90" x14ac:dyDescent="0.25">
      <c r="A3" s="4">
        <v>2</v>
      </c>
      <c r="B3" s="4" t="s">
        <v>64</v>
      </c>
      <c r="C3" s="6" t="s">
        <v>122</v>
      </c>
      <c r="D3" s="19" t="s">
        <v>123</v>
      </c>
    </row>
    <row r="4" spans="1:4" x14ac:dyDescent="0.25">
      <c r="A4" s="4">
        <v>3</v>
      </c>
      <c r="B4" s="4" t="s">
        <v>65</v>
      </c>
      <c r="C4" s="6" t="s">
        <v>72</v>
      </c>
      <c r="D4" s="19" t="s">
        <v>124</v>
      </c>
    </row>
    <row r="5" spans="1:4" x14ac:dyDescent="0.25">
      <c r="A5" s="4">
        <v>4</v>
      </c>
      <c r="B5" s="4" t="s">
        <v>75</v>
      </c>
      <c r="C5" s="6" t="s">
        <v>78</v>
      </c>
      <c r="D5" s="6"/>
    </row>
    <row r="6" spans="1:4" x14ac:dyDescent="0.25">
      <c r="A6" s="4">
        <v>5</v>
      </c>
      <c r="B6" s="4" t="s">
        <v>74</v>
      </c>
      <c r="C6" s="6" t="s">
        <v>84</v>
      </c>
      <c r="D6" s="6"/>
    </row>
    <row r="7" spans="1:4" x14ac:dyDescent="0.25">
      <c r="A7" s="4">
        <v>6</v>
      </c>
      <c r="B7" s="4" t="s">
        <v>77</v>
      </c>
      <c r="C7" s="6" t="s">
        <v>125</v>
      </c>
      <c r="D7" s="6"/>
    </row>
    <row r="8" spans="1:4" x14ac:dyDescent="0.25">
      <c r="A8" s="4">
        <v>7</v>
      </c>
      <c r="B8" s="4" t="s">
        <v>73</v>
      </c>
      <c r="C8" s="6"/>
      <c r="D8" s="6"/>
    </row>
    <row r="9" spans="1:4" x14ac:dyDescent="0.25">
      <c r="A9" s="4">
        <v>8</v>
      </c>
      <c r="B9" s="4" t="s">
        <v>66</v>
      </c>
      <c r="C9" s="6" t="s">
        <v>126</v>
      </c>
      <c r="D9" s="6"/>
    </row>
    <row r="10" spans="1:4" ht="45" x14ac:dyDescent="0.25">
      <c r="A10" s="4">
        <v>9</v>
      </c>
      <c r="B10" s="4" t="s">
        <v>67</v>
      </c>
      <c r="C10" s="6" t="s">
        <v>154</v>
      </c>
      <c r="D10" s="6" t="s">
        <v>127</v>
      </c>
    </row>
    <row r="11" spans="1:4" x14ac:dyDescent="0.25">
      <c r="A11" s="4">
        <v>10</v>
      </c>
      <c r="B11" s="4" t="s">
        <v>71</v>
      </c>
      <c r="C11" s="6"/>
      <c r="D11" s="6"/>
    </row>
    <row r="12" spans="1:4" x14ac:dyDescent="0.25">
      <c r="A12" s="4">
        <v>11</v>
      </c>
      <c r="B12" s="4" t="s">
        <v>76</v>
      </c>
      <c r="C12" s="6" t="s">
        <v>100</v>
      </c>
      <c r="D12" s="6" t="s">
        <v>129</v>
      </c>
    </row>
    <row r="13" spans="1:4" x14ac:dyDescent="0.25">
      <c r="A13" s="4">
        <v>12</v>
      </c>
      <c r="B13" s="4" t="s">
        <v>79</v>
      </c>
      <c r="C13" s="6" t="s">
        <v>130</v>
      </c>
      <c r="D13" s="6"/>
    </row>
    <row r="14" spans="1:4" x14ac:dyDescent="0.25">
      <c r="A14" s="4">
        <v>13</v>
      </c>
      <c r="B14" s="4" t="s">
        <v>80</v>
      </c>
      <c r="C14" s="6" t="s">
        <v>130</v>
      </c>
      <c r="D14" s="6"/>
    </row>
    <row r="15" spans="1:4" x14ac:dyDescent="0.25">
      <c r="A15" s="4">
        <v>14</v>
      </c>
      <c r="B15" s="4" t="s">
        <v>81</v>
      </c>
      <c r="C15" s="6" t="s">
        <v>131</v>
      </c>
      <c r="D15" s="6"/>
    </row>
    <row r="16" spans="1:4" x14ac:dyDescent="0.25">
      <c r="A16" s="4">
        <v>15</v>
      </c>
      <c r="B16" s="4" t="s">
        <v>101</v>
      </c>
      <c r="C16" s="6" t="s">
        <v>132</v>
      </c>
      <c r="D16" s="6"/>
    </row>
    <row r="17" spans="1:5" x14ac:dyDescent="0.25">
      <c r="A17" s="4">
        <v>16</v>
      </c>
      <c r="B17" s="4" t="s">
        <v>82</v>
      </c>
      <c r="C17" s="6" t="s">
        <v>133</v>
      </c>
      <c r="D17" s="6"/>
    </row>
    <row r="18" spans="1:5" x14ac:dyDescent="0.25">
      <c r="A18" s="13">
        <v>17</v>
      </c>
      <c r="B18" s="13" t="s">
        <v>83</v>
      </c>
      <c r="C18" s="14" t="s">
        <v>109</v>
      </c>
      <c r="D18" s="14"/>
    </row>
    <row r="19" spans="1:5" x14ac:dyDescent="0.25">
      <c r="A19" s="4">
        <v>18</v>
      </c>
      <c r="B19" s="4" t="s">
        <v>85</v>
      </c>
      <c r="C19" s="6"/>
      <c r="D19" s="6"/>
    </row>
    <row r="20" spans="1:5" x14ac:dyDescent="0.25">
      <c r="A20" s="4">
        <v>19</v>
      </c>
      <c r="B20" s="4" t="s">
        <v>86</v>
      </c>
      <c r="C20" s="6" t="s">
        <v>87</v>
      </c>
      <c r="D20" s="6"/>
    </row>
    <row r="21" spans="1:5" x14ac:dyDescent="0.25">
      <c r="A21" s="4">
        <v>20</v>
      </c>
      <c r="B21" s="4" t="s">
        <v>88</v>
      </c>
      <c r="C21" s="6" t="s">
        <v>89</v>
      </c>
      <c r="D21" s="6"/>
    </row>
    <row r="22" spans="1:5" x14ac:dyDescent="0.25">
      <c r="A22" s="4">
        <v>21</v>
      </c>
      <c r="B22" s="4" t="s">
        <v>90</v>
      </c>
      <c r="C22" s="6" t="s">
        <v>134</v>
      </c>
      <c r="D22" s="6"/>
    </row>
    <row r="23" spans="1:5" ht="30" x14ac:dyDescent="0.25">
      <c r="A23" s="4">
        <v>22</v>
      </c>
      <c r="B23" s="4" t="s">
        <v>91</v>
      </c>
      <c r="C23" s="6" t="s">
        <v>135</v>
      </c>
      <c r="D23" s="6" t="s">
        <v>136</v>
      </c>
    </row>
    <row r="24" spans="1:5" x14ac:dyDescent="0.25">
      <c r="A24" s="4">
        <v>23</v>
      </c>
      <c r="B24" s="4" t="s">
        <v>92</v>
      </c>
      <c r="C24" s="6"/>
      <c r="D24" s="6"/>
      <c r="E24" s="20"/>
    </row>
    <row r="25" spans="1:5" x14ac:dyDescent="0.25">
      <c r="A25" s="4">
        <v>24</v>
      </c>
      <c r="B25" s="4" t="s">
        <v>93</v>
      </c>
      <c r="C25" s="6" t="s">
        <v>94</v>
      </c>
      <c r="D25" s="6"/>
      <c r="E25" s="20"/>
    </row>
    <row r="26" spans="1:5" x14ac:dyDescent="0.25">
      <c r="A26" s="4">
        <v>25</v>
      </c>
      <c r="B26" s="4" t="s">
        <v>95</v>
      </c>
      <c r="C26" s="6"/>
      <c r="D26" s="6"/>
    </row>
    <row r="27" spans="1:5" x14ac:dyDescent="0.25">
      <c r="A27" s="4">
        <v>26</v>
      </c>
      <c r="B27" s="4" t="s">
        <v>69</v>
      </c>
      <c r="C27" s="6" t="s">
        <v>68</v>
      </c>
      <c r="D27" s="6"/>
    </row>
    <row r="28" spans="1:5" x14ac:dyDescent="0.25">
      <c r="A28" s="4">
        <v>27</v>
      </c>
      <c r="B28" s="4" t="s">
        <v>96</v>
      </c>
      <c r="C28" s="6" t="s">
        <v>97</v>
      </c>
      <c r="D28" s="6"/>
    </row>
    <row r="29" spans="1:5" x14ac:dyDescent="0.25">
      <c r="A29" s="4">
        <v>28</v>
      </c>
      <c r="B29" s="4" t="s">
        <v>70</v>
      </c>
      <c r="C29" s="6"/>
      <c r="D29" s="6"/>
    </row>
    <row r="30" spans="1:5" x14ac:dyDescent="0.25">
      <c r="A30" s="4">
        <v>29</v>
      </c>
      <c r="B30" s="4" t="s">
        <v>102</v>
      </c>
      <c r="C30" s="6" t="s">
        <v>103</v>
      </c>
      <c r="D30" s="6"/>
    </row>
    <row r="31" spans="1:5" x14ac:dyDescent="0.25">
      <c r="A31" s="4">
        <v>30</v>
      </c>
      <c r="B31" s="4" t="s">
        <v>108</v>
      </c>
      <c r="C31" s="6" t="s">
        <v>103</v>
      </c>
      <c r="D31" s="6"/>
    </row>
    <row r="32" spans="1:5" ht="30" x14ac:dyDescent="0.25">
      <c r="A32" s="4">
        <v>31</v>
      </c>
      <c r="B32" s="4" t="s">
        <v>105</v>
      </c>
      <c r="C32" s="6" t="s">
        <v>107</v>
      </c>
      <c r="D32" s="6"/>
    </row>
    <row r="33" spans="1:4" x14ac:dyDescent="0.25">
      <c r="A33" s="16">
        <v>32</v>
      </c>
      <c r="B33" s="16" t="s">
        <v>110</v>
      </c>
      <c r="C33" s="17" t="s">
        <v>111</v>
      </c>
      <c r="D33" s="6"/>
    </row>
    <row r="34" spans="1:4" x14ac:dyDescent="0.25">
      <c r="B34" s="15" t="s">
        <v>112</v>
      </c>
      <c r="C34" s="18" t="s">
        <v>113</v>
      </c>
    </row>
    <row r="35" spans="1:4" x14ac:dyDescent="0.25">
      <c r="B35" s="15" t="s">
        <v>114</v>
      </c>
    </row>
    <row r="36" spans="1:4" x14ac:dyDescent="0.25">
      <c r="B36" s="15" t="s">
        <v>115</v>
      </c>
      <c r="C36" s="1" t="s">
        <v>116</v>
      </c>
    </row>
    <row r="37" spans="1:4" ht="180" x14ac:dyDescent="0.25">
      <c r="B37" s="15" t="s">
        <v>117</v>
      </c>
      <c r="C37" s="1" t="s">
        <v>118</v>
      </c>
      <c r="D37" s="1" t="s">
        <v>119</v>
      </c>
    </row>
    <row r="38" spans="1:4" x14ac:dyDescent="0.25">
      <c r="B38" s="15" t="s">
        <v>120</v>
      </c>
    </row>
    <row r="39" spans="1:4" x14ac:dyDescent="0.25">
      <c r="B39" s="15" t="s">
        <v>121</v>
      </c>
    </row>
    <row r="40" spans="1:4" x14ac:dyDescent="0.25">
      <c r="B40" s="15" t="s">
        <v>128</v>
      </c>
    </row>
    <row r="43" spans="1:4" x14ac:dyDescent="0.25">
      <c r="B43" t="s">
        <v>62</v>
      </c>
    </row>
    <row r="44" spans="1:4" x14ac:dyDescent="0.25">
      <c r="B44" t="s">
        <v>63</v>
      </c>
    </row>
    <row r="45" spans="1:4" x14ac:dyDescent="0.25">
      <c r="B45"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defaultRowHeight="15" x14ac:dyDescent="0.25"/>
  <cols>
    <col min="1" max="1" width="39.85546875" bestFit="1" customWidth="1"/>
    <col min="2" max="2" width="26.5703125" style="3" bestFit="1" customWidth="1"/>
    <col min="3" max="3" width="113" style="1" customWidth="1"/>
  </cols>
  <sheetData>
    <row r="1" spans="1:5" x14ac:dyDescent="0.25">
      <c r="A1" s="10" t="s">
        <v>57</v>
      </c>
      <c r="B1" s="11" t="s">
        <v>58</v>
      </c>
      <c r="C1" s="12" t="s">
        <v>59</v>
      </c>
    </row>
    <row r="2" spans="1:5" x14ac:dyDescent="0.25">
      <c r="A2" s="4" t="s">
        <v>2</v>
      </c>
      <c r="B2" s="5">
        <v>18</v>
      </c>
      <c r="C2" s="6"/>
      <c r="E2" t="s">
        <v>55</v>
      </c>
    </row>
    <row r="3" spans="1:5" x14ac:dyDescent="0.25">
      <c r="A3" s="4" t="s">
        <v>3</v>
      </c>
      <c r="B3" s="5">
        <v>21</v>
      </c>
      <c r="C3" s="6"/>
    </row>
    <row r="4" spans="1:5" x14ac:dyDescent="0.25">
      <c r="A4" s="4" t="s">
        <v>4</v>
      </c>
      <c r="B4" s="5">
        <v>21</v>
      </c>
      <c r="C4" s="6"/>
    </row>
    <row r="5" spans="1:5" x14ac:dyDescent="0.25">
      <c r="A5" s="4" t="s">
        <v>5</v>
      </c>
      <c r="B5" s="5">
        <v>21</v>
      </c>
      <c r="C5" s="6"/>
    </row>
    <row r="6" spans="1:5" x14ac:dyDescent="0.25">
      <c r="A6" s="4" t="s">
        <v>6</v>
      </c>
      <c r="B6" s="5" t="s">
        <v>7</v>
      </c>
      <c r="C6" t="s">
        <v>8</v>
      </c>
    </row>
    <row r="7" spans="1:5" x14ac:dyDescent="0.25">
      <c r="A7" s="4" t="s">
        <v>9</v>
      </c>
      <c r="B7" s="5">
        <v>25</v>
      </c>
      <c r="C7" s="6"/>
    </row>
    <row r="8" spans="1:5" x14ac:dyDescent="0.25">
      <c r="A8" s="4" t="s">
        <v>10</v>
      </c>
      <c r="B8" s="5">
        <v>21</v>
      </c>
      <c r="C8" s="6"/>
    </row>
    <row r="9" spans="1:5" x14ac:dyDescent="0.25">
      <c r="A9" s="4" t="s">
        <v>11</v>
      </c>
      <c r="B9" s="5">
        <v>25</v>
      </c>
      <c r="C9" s="6"/>
    </row>
    <row r="10" spans="1:5" x14ac:dyDescent="0.25">
      <c r="A10" s="4" t="s">
        <v>12</v>
      </c>
      <c r="B10" s="5">
        <v>25</v>
      </c>
      <c r="C10" t="s">
        <v>13</v>
      </c>
    </row>
    <row r="11" spans="1:5" x14ac:dyDescent="0.25">
      <c r="A11" s="4" t="s">
        <v>14</v>
      </c>
      <c r="B11" s="5">
        <v>21</v>
      </c>
      <c r="C11" s="6"/>
    </row>
    <row r="12" spans="1:5" x14ac:dyDescent="0.25">
      <c r="A12" s="4" t="s">
        <v>15</v>
      </c>
      <c r="B12" s="5" t="s">
        <v>7</v>
      </c>
      <c r="C12" s="6" t="s">
        <v>16</v>
      </c>
    </row>
    <row r="13" spans="1:5" ht="59.25" x14ac:dyDescent="0.25">
      <c r="A13" s="4" t="s">
        <v>17</v>
      </c>
      <c r="B13" s="5">
        <v>25</v>
      </c>
      <c r="C13" s="6" t="s">
        <v>18</v>
      </c>
    </row>
    <row r="14" spans="1:5" x14ac:dyDescent="0.25">
      <c r="A14" s="4" t="s">
        <v>19</v>
      </c>
      <c r="B14" s="5">
        <v>18</v>
      </c>
      <c r="C14" s="6"/>
    </row>
    <row r="15" spans="1:5" x14ac:dyDescent="0.25">
      <c r="A15" s="4" t="s">
        <v>20</v>
      </c>
      <c r="B15" s="5">
        <v>18</v>
      </c>
      <c r="C15" s="6"/>
    </row>
    <row r="16" spans="1:5" x14ac:dyDescent="0.25">
      <c r="A16" s="4" t="s">
        <v>21</v>
      </c>
      <c r="B16" s="5">
        <v>21</v>
      </c>
      <c r="C16" s="6"/>
    </row>
    <row r="17" spans="1:3" ht="58.5" x14ac:dyDescent="0.25">
      <c r="A17" s="4" t="s">
        <v>22</v>
      </c>
      <c r="B17" s="5">
        <v>18</v>
      </c>
      <c r="C17" s="6" t="s">
        <v>23</v>
      </c>
    </row>
    <row r="18" spans="1:3" x14ac:dyDescent="0.25">
      <c r="A18" s="4" t="s">
        <v>24</v>
      </c>
      <c r="B18" s="5">
        <v>23</v>
      </c>
      <c r="C18" s="6" t="s">
        <v>25</v>
      </c>
    </row>
    <row r="19" spans="1:3" x14ac:dyDescent="0.25">
      <c r="A19" s="4" t="s">
        <v>26</v>
      </c>
      <c r="B19" s="5">
        <v>18</v>
      </c>
      <c r="C19" s="6"/>
    </row>
    <row r="20" spans="1:3" x14ac:dyDescent="0.25">
      <c r="A20" s="4" t="s">
        <v>27</v>
      </c>
      <c r="B20" s="5" t="s">
        <v>28</v>
      </c>
      <c r="C20" s="6" t="s">
        <v>29</v>
      </c>
    </row>
    <row r="21" spans="1:3" x14ac:dyDescent="0.25">
      <c r="A21" s="4" t="s">
        <v>30</v>
      </c>
      <c r="B21" s="5">
        <v>21</v>
      </c>
      <c r="C21" s="6"/>
    </row>
    <row r="22" spans="1:3" s="2" customFormat="1" ht="15.75" customHeight="1" x14ac:dyDescent="0.25">
      <c r="A22" s="7" t="s">
        <v>31</v>
      </c>
      <c r="B22" s="8" t="s">
        <v>56</v>
      </c>
      <c r="C22" s="9" t="s">
        <v>32</v>
      </c>
    </row>
    <row r="24" spans="1:3" x14ac:dyDescent="0.25">
      <c r="A24" t="s">
        <v>33</v>
      </c>
      <c r="B24" s="3">
        <v>21</v>
      </c>
      <c r="C24" s="1" t="s">
        <v>34</v>
      </c>
    </row>
    <row r="25" spans="1:3" x14ac:dyDescent="0.25">
      <c r="A25" t="s">
        <v>35</v>
      </c>
      <c r="B25" s="3">
        <v>21</v>
      </c>
    </row>
    <row r="26" spans="1:3" x14ac:dyDescent="0.25">
      <c r="A26" t="s">
        <v>36</v>
      </c>
      <c r="B26" s="3" t="s">
        <v>37</v>
      </c>
      <c r="C26" t="s">
        <v>38</v>
      </c>
    </row>
    <row r="27" spans="1:3" x14ac:dyDescent="0.25">
      <c r="A27" t="s">
        <v>39</v>
      </c>
      <c r="B27" s="3" t="s">
        <v>40</v>
      </c>
      <c r="C27" t="s">
        <v>41</v>
      </c>
    </row>
    <row r="28" spans="1:3" x14ac:dyDescent="0.25">
      <c r="A28" t="s">
        <v>42</v>
      </c>
      <c r="B28" s="3">
        <v>21</v>
      </c>
    </row>
    <row r="29" spans="1:3" x14ac:dyDescent="0.25">
      <c r="A29" t="s">
        <v>43</v>
      </c>
      <c r="B29" s="3">
        <v>18</v>
      </c>
    </row>
    <row r="30" spans="1:3" ht="59.25" x14ac:dyDescent="0.25">
      <c r="A30" t="s">
        <v>44</v>
      </c>
      <c r="B30" s="3">
        <v>25</v>
      </c>
      <c r="C30" s="1" t="s">
        <v>45</v>
      </c>
    </row>
    <row r="31" spans="1:3" x14ac:dyDescent="0.25">
      <c r="A31" t="s">
        <v>46</v>
      </c>
      <c r="B31" s="3">
        <v>18</v>
      </c>
    </row>
    <row r="32" spans="1:3" x14ac:dyDescent="0.25">
      <c r="A32" t="s">
        <v>47</v>
      </c>
      <c r="B32" s="3">
        <v>18</v>
      </c>
    </row>
    <row r="33" spans="1:3" x14ac:dyDescent="0.25">
      <c r="A33" t="s">
        <v>48</v>
      </c>
      <c r="B33" s="3">
        <v>21</v>
      </c>
    </row>
    <row r="34" spans="1:3" x14ac:dyDescent="0.25">
      <c r="A34" t="s">
        <v>49</v>
      </c>
      <c r="B34" s="3">
        <v>21</v>
      </c>
    </row>
    <row r="35" spans="1:3" x14ac:dyDescent="0.25">
      <c r="A35" t="s">
        <v>50</v>
      </c>
      <c r="B35" s="3">
        <v>21</v>
      </c>
    </row>
    <row r="36" spans="1:3" x14ac:dyDescent="0.25">
      <c r="A36" t="s">
        <v>51</v>
      </c>
      <c r="B36" s="3">
        <v>21</v>
      </c>
      <c r="C36" t="s">
        <v>52</v>
      </c>
    </row>
    <row r="37" spans="1:3" x14ac:dyDescent="0.25">
      <c r="A37" t="s">
        <v>53</v>
      </c>
      <c r="B37" s="3">
        <v>21</v>
      </c>
    </row>
    <row r="38" spans="1:3" x14ac:dyDescent="0.25">
      <c r="A38" t="s">
        <v>54</v>
      </c>
      <c r="B38" s="3">
        <v>21</v>
      </c>
    </row>
  </sheetData>
  <hyperlinks>
    <hyperlink ref="A2" r:id="rId1" tooltip="Andaman and Nicobar Islands" display="https://en.wikipedia.org/wiki/Andaman_and_Nicobar_Islands"/>
    <hyperlink ref="B2" r:id="rId2" location="cite_note-MDAIndia-10" display="https://en.wikipedia.org/wiki/Alcohol_laws_of_India - cite_note-MDAIndia-10"/>
    <hyperlink ref="A3" r:id="rId3" tooltip="Andhra Pradesh" display="https://en.wikipedia.org/wiki/Andhra_Pradesh"/>
    <hyperlink ref="B3" r:id="rId4" location="cite_note-MDAIndia-10" display="https://en.wikipedia.org/wiki/Alcohol_laws_of_India - cite_note-MDAIndia-10"/>
    <hyperlink ref="A4" r:id="rId5" tooltip="Arunachal Pradesh" display="https://en.wikipedia.org/wiki/Arunachal_Pradesh"/>
    <hyperlink ref="B4" r:id="rId6" location="cite_note-MDAIndia-10" display="https://en.wikipedia.org/wiki/Alcohol_laws_of_India - cite_note-MDAIndia-10"/>
    <hyperlink ref="A5" r:id="rId7" tooltip="Assam" display="https://en.wikipedia.org/wiki/Assam"/>
    <hyperlink ref="B5" r:id="rId8" location="cite_note-MDAIndia-10" display="cite_note-MDAIndia-10"/>
    <hyperlink ref="A6" r:id="rId9" tooltip="Bihar" display="https://en.wikipedia.org/wiki/Bihar"/>
    <hyperlink ref="B6" r:id="rId10" tooltip="Bihar Excise (Amendment) Act, 2016" display="https://en.wikipedia.org/wiki/Bihar_Excise_(Amendment)_Act,_2016"/>
    <hyperlink ref="A7" r:id="rId11" tooltip="Chandigarh" display="https://en.wikipedia.org/wiki/Chandigarh"/>
    <hyperlink ref="B7" r:id="rId12" location="cite_note-12" display="https://en.wikipedia.org/wiki/Alcohol_laws_of_India - cite_note-12"/>
    <hyperlink ref="A8" r:id="rId13" tooltip="Chhattisgarh" display="https://en.wikipedia.org/wiki/Chhattisgarh"/>
    <hyperlink ref="B8" r:id="rId14" location="cite_note-MDAIndia-10" display="https://en.wikipedia.org/wiki/Alcohol_laws_of_India - cite_note-MDAIndia-10"/>
    <hyperlink ref="A9" r:id="rId15" tooltip="Dadra and Nagar Haveli and Daman and Diu" display="https://en.wikipedia.org/wiki/Dadra_and_Nagar_Haveli_and_Daman_and_Diu"/>
    <hyperlink ref="A10" r:id="rId16" tooltip="Delhi" display="https://en.wikipedia.org/wiki/Delhi"/>
    <hyperlink ref="A11" r:id="rId17" tooltip="Goa" display="https://en.wikipedia.org/wiki/Goa"/>
    <hyperlink ref="B11" r:id="rId18" location="cite_note-14" display="https://en.wikipedia.org/wiki/Alcohol_laws_of_India - cite_note-14"/>
    <hyperlink ref="A12" r:id="rId19" tooltip="Gujarat" display="https://en.wikipedia.org/wiki/Gujarat"/>
    <hyperlink ref="B12" r:id="rId20" tooltip="Bombay Prohibition (Gujarat Amendment) Act, 2009" display="https://en.wikipedia.org/wiki/Bombay_Prohibition_(Gujarat_Amendment)_Act,_2009"/>
    <hyperlink ref="A13" r:id="rId21" tooltip="Haryana" display="https://en.wikipedia.org/wiki/Haryana"/>
    <hyperlink ref="B13" r:id="rId22" location="cite_note-MDAIndia-10" display="cite_note-MDAIndia-10"/>
    <hyperlink ref="A14" r:id="rId23" tooltip="Himachal Pradesh" display="https://en.wikipedia.org/wiki/Himachal_Pradesh"/>
    <hyperlink ref="B14" r:id="rId24" location="cite_note-18" display="https://en.wikipedia.org/wiki/Alcohol_laws_of_India - cite_note-18"/>
    <hyperlink ref="A15" r:id="rId25" tooltip="Jammu and Kashmir (union territory)" display="https://en.wikipedia.org/wiki/Jammu_and_Kashmir_(union_territory)"/>
    <hyperlink ref="A16" r:id="rId26" tooltip="Jharkhand" display="https://en.wikipedia.org/wiki/Jharkhand"/>
    <hyperlink ref="A17" r:id="rId27" tooltip="Karnataka" display="https://en.wikipedia.org/wiki/Karnataka"/>
    <hyperlink ref="A18" r:id="rId28" tooltip="Kerala" display="https://en.wikipedia.org/wiki/Kerala"/>
    <hyperlink ref="B18" r:id="rId29" location="cite_note-27" display="https://en.wikipedia.org/wiki/Alcohol_laws_of_India - cite_note-27"/>
    <hyperlink ref="A19" r:id="rId30" tooltip="Ladakh" display="https://en.wikipedia.org/wiki/Ladakh"/>
    <hyperlink ref="A20" r:id="rId31" tooltip="Lakshadweep" display="https://en.wikipedia.org/wiki/Lakshadweep"/>
    <hyperlink ref="A21" r:id="rId32" tooltip="Madhya Pradesh" display="https://en.wikipedia.org/wiki/Madhya_Pradesh"/>
    <hyperlink ref="B21" r:id="rId33" location="cite_note-31" display="https://en.wikipedia.org/wiki/Alcohol_laws_of_India - cite_note-31"/>
    <hyperlink ref="A22" r:id="rId34" tooltip="Maharashtra" display="https://en.wikipedia.org/wiki/Maharashtra"/>
    <hyperlink ref="A24" r:id="rId35" tooltip="Manipur" display="https://en.wikipedia.org/wiki/Manipur"/>
    <hyperlink ref="B24" r:id="rId36" location="cite_note-MDAIndia-10" display="https://en.wikipedia.org/wiki/Alcohol_laws_of_India - cite_note-MDAIndia-10"/>
    <hyperlink ref="A25" r:id="rId37" tooltip="Meghalaya" display="https://en.wikipedia.org/wiki/Meghalaya"/>
    <hyperlink ref="B25" r:id="rId38" location="cite_note-ibn_18_rome-33" display="https://en.wikipedia.org/wiki/Alcohol_laws_of_India - cite_note-ibn_18_rome-33"/>
    <hyperlink ref="A26" r:id="rId39" tooltip="Mizoram" display="https://en.wikipedia.org/wiki/Mizoram"/>
    <hyperlink ref="B26" r:id="rId40" location="cite_note-34" display="https://en.wikipedia.org/wiki/Alcohol_laws_of_India - cite_note-34"/>
    <hyperlink ref="A27" r:id="rId41" tooltip="Nagaland" display="https://en.wikipedia.org/wiki/Nagaland"/>
    <hyperlink ref="A28" r:id="rId42" tooltip="Odisha" display="https://en.wikipedia.org/wiki/Odisha"/>
    <hyperlink ref="A29" r:id="rId43" tooltip="Puducherry" display="https://en.wikipedia.org/wiki/Puducherry"/>
    <hyperlink ref="B29" r:id="rId44" location="cite_note-MDAIndia-10" display="https://en.wikipedia.org/wiki/Alcohol_laws_of_India - cite_note-MDAIndia-10"/>
    <hyperlink ref="A30" r:id="rId45" tooltip="Punjab, India" display="https://en.wikipedia.org/wiki/Punjab,_India"/>
    <hyperlink ref="B30" r:id="rId46" location="cite_note-38" display="https://en.wikipedia.org/wiki/Alcohol_laws_of_India - cite_note-38"/>
    <hyperlink ref="A31" r:id="rId47" tooltip="Rajasthan" display="https://en.wikipedia.org/wiki/Rajasthan"/>
    <hyperlink ref="B31" r:id="rId48" location="cite_note-39" display="https://en.wikipedia.org/wiki/Alcohol_laws_of_India - cite_note-39"/>
    <hyperlink ref="A32" r:id="rId49" tooltip="Sikkim" display="https://en.wikipedia.org/wiki/Sikkim"/>
    <hyperlink ref="B32" r:id="rId50" location="cite_note-TOI2-40" display="https://en.wikipedia.org/wiki/Alcohol_laws_of_India - cite_note-TOI2-40"/>
    <hyperlink ref="A33" r:id="rId51" tooltip="Tamil Nadu" display="https://en.wikipedia.org/wiki/Tamil_Nadu"/>
    <hyperlink ref="B33" r:id="rId52" location="cite_note-MDAIndia-10" display="https://en.wikipedia.org/wiki/Alcohol_laws_of_India - cite_note-MDAIndia-10"/>
    <hyperlink ref="A34" r:id="rId53" tooltip="Telangana" display="https://en.wikipedia.org/wiki/Telangana"/>
    <hyperlink ref="A35" r:id="rId54" tooltip="Tripura" display="https://en.wikipedia.org/wiki/Tripura"/>
    <hyperlink ref="A36" r:id="rId55" tooltip="Uttar Pradesh" display="https://en.wikipedia.org/wiki/Uttar_Pradesh"/>
    <hyperlink ref="A37" r:id="rId56" tooltip="Uttarakhand" display="https://en.wikipedia.org/wiki/Uttarakhand"/>
    <hyperlink ref="A38" r:id="rId57" tooltip="West Bengal" display="https://en.wikipedia.org/wiki/West_Bengal"/>
    <hyperlink ref="B28" r:id="rId58" location="cite_note-ibn_18_rome-33" display="https://en.wikipedia.org/wiki/Alcohol_laws_of_India - cite_note-ibn_18_rome-33"/>
    <hyperlink ref="B34" r:id="rId59" location="cite_note-MDAIndia-10" display="https://en.wikipedia.org/wiki/Alcohol_laws_of_India - cite_note-MDAIndia-10"/>
    <hyperlink ref="B35" r:id="rId60" location="cite_note-MDAIndia-10" display="https://en.wikipedia.org/wiki/Alcohol_laws_of_India - cite_note-MDAIndia-10"/>
    <hyperlink ref="B36" r:id="rId61" location="cite_note-MDAIndia-10" display="https://en.wikipedia.org/wiki/Alcohol_laws_of_India - cite_note-MDAIndia-10"/>
    <hyperlink ref="B37" r:id="rId62" location="cite_note-MDAIndia-10" display="https://en.wikipedia.org/wiki/Alcohol_laws_of_India - cite_note-MDAIndia-10"/>
    <hyperlink ref="B38" r:id="rId63" location="cite_note-MDAIndia-10" display="https://en.wikipedia.org/wiki/Alcohol_laws_of_India - cite_note-MDAIndia-10"/>
  </hyperlinks>
  <pageMargins left="0.7" right="0.7" top="0.75" bottom="0.75" header="0.3" footer="0.3"/>
  <pageSetup orientation="portrait"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heetViews>
  <sheetFormatPr defaultRowHeight="15" x14ac:dyDescent="0.25"/>
  <cols>
    <col min="1" max="1" width="124.7109375" bestFit="1" customWidth="1"/>
    <col min="2" max="2" width="20.28515625" customWidth="1"/>
    <col min="3" max="3" width="19.140625" customWidth="1"/>
  </cols>
  <sheetData>
    <row r="1" spans="1:1" x14ac:dyDescent="0.25">
      <c r="A1" s="44" t="s">
        <v>261</v>
      </c>
    </row>
    <row r="2" spans="1:1" x14ac:dyDescent="0.25">
      <c r="A2" s="44" t="s">
        <v>244</v>
      </c>
    </row>
    <row r="3" spans="1:1" x14ac:dyDescent="0.25">
      <c r="A3" s="44" t="s">
        <v>245</v>
      </c>
    </row>
    <row r="4" spans="1:1" x14ac:dyDescent="0.25">
      <c r="A4" s="44" t="s">
        <v>246</v>
      </c>
    </row>
    <row r="5" spans="1:1" x14ac:dyDescent="0.25">
      <c r="A5" s="44" t="s">
        <v>247</v>
      </c>
    </row>
    <row r="6" spans="1:1" x14ac:dyDescent="0.25">
      <c r="A6" s="44" t="s">
        <v>262</v>
      </c>
    </row>
    <row r="7" spans="1:1" x14ac:dyDescent="0.25">
      <c r="A7" s="44" t="s">
        <v>248</v>
      </c>
    </row>
    <row r="8" spans="1:1" x14ac:dyDescent="0.25">
      <c r="A8" s="44" t="s">
        <v>249</v>
      </c>
    </row>
    <row r="9" spans="1:1" x14ac:dyDescent="0.25">
      <c r="A9" s="44" t="s">
        <v>264</v>
      </c>
    </row>
    <row r="10" spans="1:1" x14ac:dyDescent="0.25">
      <c r="A10" s="44" t="s">
        <v>250</v>
      </c>
    </row>
    <row r="11" spans="1:1" x14ac:dyDescent="0.25">
      <c r="A11" s="44" t="s">
        <v>251</v>
      </c>
    </row>
    <row r="12" spans="1:1" x14ac:dyDescent="0.25">
      <c r="A12" s="44" t="s">
        <v>252</v>
      </c>
    </row>
    <row r="13" spans="1:1" x14ac:dyDescent="0.25">
      <c r="A13" s="44" t="s">
        <v>253</v>
      </c>
    </row>
    <row r="14" spans="1:1" x14ac:dyDescent="0.25">
      <c r="A14" s="44" t="s">
        <v>254</v>
      </c>
    </row>
    <row r="15" spans="1:1" x14ac:dyDescent="0.25">
      <c r="A15" s="44" t="s">
        <v>255</v>
      </c>
    </row>
    <row r="16" spans="1:1" x14ac:dyDescent="0.25">
      <c r="A16" s="44" t="s">
        <v>256</v>
      </c>
    </row>
    <row r="17" spans="1:2" x14ac:dyDescent="0.25">
      <c r="A17" s="44" t="s">
        <v>257</v>
      </c>
    </row>
    <row r="18" spans="1:2" x14ac:dyDescent="0.25">
      <c r="A18" s="44" t="s">
        <v>263</v>
      </c>
    </row>
    <row r="19" spans="1:2" x14ac:dyDescent="0.25">
      <c r="A19" s="44" t="s">
        <v>258</v>
      </c>
    </row>
    <row r="20" spans="1:2" x14ac:dyDescent="0.25">
      <c r="A20" s="44" t="s">
        <v>259</v>
      </c>
    </row>
    <row r="21" spans="1:2" x14ac:dyDescent="0.25">
      <c r="A21" s="44" t="s">
        <v>260</v>
      </c>
    </row>
    <row r="22" spans="1:2" x14ac:dyDescent="0.25">
      <c r="A22" s="44" t="s">
        <v>265</v>
      </c>
      <c r="B22">
        <v>500</v>
      </c>
    </row>
    <row r="23" spans="1:2" x14ac:dyDescent="0.25">
      <c r="A23" s="44" t="s">
        <v>266</v>
      </c>
      <c r="B23">
        <v>1000</v>
      </c>
    </row>
    <row r="24" spans="1:2" x14ac:dyDescent="0.25">
      <c r="A24" s="44" t="s">
        <v>267</v>
      </c>
      <c r="B24">
        <v>12000</v>
      </c>
    </row>
    <row r="25" spans="1:2" x14ac:dyDescent="0.25">
      <c r="A25" s="44" t="s">
        <v>268</v>
      </c>
      <c r="B25">
        <v>3000</v>
      </c>
    </row>
    <row r="26" spans="1:2" x14ac:dyDescent="0.25">
      <c r="A26" s="44" t="s">
        <v>269</v>
      </c>
      <c r="B26">
        <v>3000</v>
      </c>
    </row>
    <row r="27" spans="1:2" x14ac:dyDescent="0.25">
      <c r="A27" s="44" t="s">
        <v>270</v>
      </c>
      <c r="B27">
        <v>3000</v>
      </c>
    </row>
    <row r="28" spans="1:2" x14ac:dyDescent="0.25">
      <c r="A28" s="44" t="s">
        <v>271</v>
      </c>
      <c r="B28">
        <v>3000</v>
      </c>
    </row>
    <row r="29" spans="1:2" x14ac:dyDescent="0.25">
      <c r="A29" s="44" t="s">
        <v>272</v>
      </c>
      <c r="B29">
        <v>12000</v>
      </c>
    </row>
    <row r="30" spans="1:2" x14ac:dyDescent="0.25">
      <c r="A30" s="44" t="s">
        <v>273</v>
      </c>
      <c r="B30">
        <v>1200</v>
      </c>
    </row>
    <row r="31" spans="1:2" x14ac:dyDescent="0.25">
      <c r="A31" s="44" t="s">
        <v>274</v>
      </c>
      <c r="B31">
        <v>1200</v>
      </c>
    </row>
    <row r="32" spans="1:2" x14ac:dyDescent="0.25">
      <c r="A32" s="44" t="s">
        <v>275</v>
      </c>
      <c r="B32">
        <v>5000</v>
      </c>
    </row>
    <row r="33" spans="1:4" x14ac:dyDescent="0.25">
      <c r="A33" s="44" t="s">
        <v>276</v>
      </c>
    </row>
    <row r="34" spans="1:4" x14ac:dyDescent="0.25">
      <c r="A34" s="44" t="s">
        <v>277</v>
      </c>
    </row>
    <row r="35" spans="1:4" x14ac:dyDescent="0.25">
      <c r="A35" s="44" t="s">
        <v>194</v>
      </c>
    </row>
    <row r="36" spans="1:4" x14ac:dyDescent="0.25">
      <c r="A36" s="44" t="s">
        <v>278</v>
      </c>
    </row>
    <row r="37" spans="1:4" x14ac:dyDescent="0.25">
      <c r="A37" s="44" t="s">
        <v>279</v>
      </c>
    </row>
    <row r="39" spans="1:4" x14ac:dyDescent="0.25">
      <c r="A39" s="29" t="s">
        <v>190</v>
      </c>
      <c r="B39" s="30">
        <v>4000000</v>
      </c>
      <c r="C39" s="29"/>
      <c r="D39" s="29"/>
    </row>
    <row r="40" spans="1:4" x14ac:dyDescent="0.25">
      <c r="A40" s="29" t="s">
        <v>192</v>
      </c>
      <c r="B40" s="30">
        <v>100000</v>
      </c>
      <c r="C40" s="29" t="s">
        <v>283</v>
      </c>
      <c r="D40" s="29"/>
    </row>
    <row r="41" spans="1:4" x14ac:dyDescent="0.25">
      <c r="A41" s="29" t="s">
        <v>193</v>
      </c>
      <c r="B41" s="30">
        <f>1400*50*10*20/6</f>
        <v>2333333.3333333335</v>
      </c>
      <c r="C41" s="29" t="s">
        <v>220</v>
      </c>
      <c r="D41" s="29"/>
    </row>
    <row r="42" spans="1:4" x14ac:dyDescent="0.25">
      <c r="A42" s="29" t="s">
        <v>201</v>
      </c>
      <c r="B42" s="34" t="s">
        <v>280</v>
      </c>
      <c r="C42" s="29"/>
      <c r="D42" s="29"/>
    </row>
    <row r="43" spans="1:4" x14ac:dyDescent="0.25">
      <c r="A43" s="29" t="s">
        <v>281</v>
      </c>
      <c r="B43" s="29">
        <v>3</v>
      </c>
      <c r="C43" s="30">
        <v>18000</v>
      </c>
      <c r="D43" s="30">
        <f>C43*B43</f>
        <v>54000</v>
      </c>
    </row>
    <row r="44" spans="1:4" x14ac:dyDescent="0.25">
      <c r="A44" s="29" t="s">
        <v>195</v>
      </c>
      <c r="B44" s="29">
        <v>2</v>
      </c>
      <c r="C44" s="30">
        <v>33000</v>
      </c>
      <c r="D44" s="30">
        <f t="shared" ref="D44:D49" si="0">C44*B44</f>
        <v>66000</v>
      </c>
    </row>
    <row r="45" spans="1:4" x14ac:dyDescent="0.25">
      <c r="A45" s="29" t="s">
        <v>197</v>
      </c>
      <c r="B45" s="29">
        <v>1</v>
      </c>
      <c r="C45" s="30">
        <v>18000</v>
      </c>
      <c r="D45" s="30">
        <f t="shared" si="0"/>
        <v>18000</v>
      </c>
    </row>
    <row r="46" spans="1:4" x14ac:dyDescent="0.25">
      <c r="A46" s="29" t="s">
        <v>198</v>
      </c>
      <c r="B46" s="29">
        <v>1</v>
      </c>
      <c r="C46" s="30">
        <v>33000</v>
      </c>
      <c r="D46" s="30">
        <f t="shared" si="0"/>
        <v>33000</v>
      </c>
    </row>
    <row r="47" spans="1:4" x14ac:dyDescent="0.25">
      <c r="A47" s="29" t="s">
        <v>199</v>
      </c>
      <c r="B47" s="29">
        <v>2</v>
      </c>
      <c r="C47" s="30">
        <v>38000</v>
      </c>
      <c r="D47" s="30">
        <f t="shared" si="0"/>
        <v>76000</v>
      </c>
    </row>
    <row r="48" spans="1:4" x14ac:dyDescent="0.25">
      <c r="A48" s="29" t="s">
        <v>200</v>
      </c>
      <c r="B48" s="29">
        <v>3</v>
      </c>
      <c r="C48" s="30">
        <v>28000</v>
      </c>
      <c r="D48" s="30">
        <f t="shared" si="0"/>
        <v>84000</v>
      </c>
    </row>
    <row r="49" spans="1:4" x14ac:dyDescent="0.25">
      <c r="A49" s="29" t="s">
        <v>282</v>
      </c>
      <c r="B49" s="29">
        <v>1</v>
      </c>
      <c r="C49" s="30">
        <v>50000</v>
      </c>
      <c r="D49" s="30">
        <f t="shared" si="0"/>
        <v>50000</v>
      </c>
    </row>
    <row r="50" spans="1:4" x14ac:dyDescent="0.25">
      <c r="D50" s="29"/>
    </row>
  </sheetData>
  <hyperlinks>
    <hyperlink ref="A2" r:id="rId1" tooltip="Advertising" display="https://en.wikipedia.org/wiki/Advertising"/>
    <hyperlink ref="A13" r:id="rId2" tooltip="Internet" display="https://en.wikipedia.org/wiki/Internet"/>
    <hyperlink ref="A16" r:id="rId3" tooltip="Insurance premium" display="https://en.wikipedia.org/wiki/Insurance_premium"/>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Normal="100" workbookViewId="0">
      <selection activeCell="B1" sqref="B1"/>
    </sheetView>
  </sheetViews>
  <sheetFormatPr defaultRowHeight="15" x14ac:dyDescent="0.25"/>
  <cols>
    <col min="1" max="1" width="22.85546875" style="32" customWidth="1"/>
    <col min="2" max="2" width="42.5703125" style="32" customWidth="1"/>
    <col min="3" max="3" width="20.140625" style="32" bestFit="1" customWidth="1"/>
    <col min="4" max="4" width="24.85546875" style="32" bestFit="1" customWidth="1"/>
    <col min="5" max="5" width="28.42578125" style="32" customWidth="1"/>
    <col min="6" max="16384" width="9.140625" style="32"/>
  </cols>
  <sheetData>
    <row r="1" spans="1:8" ht="240" x14ac:dyDescent="0.25">
      <c r="A1" s="29" t="s">
        <v>151</v>
      </c>
      <c r="B1" s="29" t="s">
        <v>217</v>
      </c>
      <c r="C1" s="33" t="s">
        <v>204</v>
      </c>
      <c r="E1" s="29"/>
      <c r="F1" s="32">
        <f>150+10+25</f>
        <v>185</v>
      </c>
      <c r="G1" s="32">
        <v>500</v>
      </c>
      <c r="H1" s="32">
        <f>F1/G1</f>
        <v>0.37</v>
      </c>
    </row>
    <row r="2" spans="1:8" x14ac:dyDescent="0.25">
      <c r="A2" s="36" t="s">
        <v>205</v>
      </c>
      <c r="B2" s="36"/>
      <c r="C2" s="36"/>
      <c r="D2" s="36"/>
      <c r="E2" s="36"/>
    </row>
    <row r="3" spans="1:8" ht="210" customHeight="1" x14ac:dyDescent="0.25">
      <c r="A3" s="29" t="s">
        <v>206</v>
      </c>
      <c r="B3" s="34" t="s">
        <v>207</v>
      </c>
      <c r="D3" s="33"/>
      <c r="E3" s="29"/>
    </row>
    <row r="4" spans="1:8" x14ac:dyDescent="0.25">
      <c r="A4" s="29"/>
      <c r="B4" s="29"/>
      <c r="C4" s="34"/>
      <c r="D4" s="29"/>
      <c r="E4" s="29"/>
    </row>
    <row r="5" spans="1:8" x14ac:dyDescent="0.25">
      <c r="A5" s="29"/>
      <c r="B5" s="29" t="s">
        <v>159</v>
      </c>
      <c r="C5" s="34"/>
      <c r="D5" s="29"/>
      <c r="E5" s="29"/>
    </row>
    <row r="6" spans="1:8" x14ac:dyDescent="0.25">
      <c r="A6" s="29" t="s">
        <v>209</v>
      </c>
      <c r="B6" s="29" t="s">
        <v>210</v>
      </c>
      <c r="C6" s="39">
        <v>1225</v>
      </c>
      <c r="D6" s="29"/>
      <c r="E6" s="29"/>
    </row>
    <row r="7" spans="1:8" x14ac:dyDescent="0.25">
      <c r="A7" s="29"/>
      <c r="B7" s="29" t="s">
        <v>211</v>
      </c>
      <c r="C7" s="30">
        <v>2500</v>
      </c>
      <c r="D7" s="29"/>
      <c r="E7" s="35"/>
    </row>
    <row r="8" spans="1:8" x14ac:dyDescent="0.25">
      <c r="A8" s="29"/>
      <c r="B8" s="29" t="s">
        <v>212</v>
      </c>
      <c r="C8" s="30">
        <f>C7*C6</f>
        <v>3062500</v>
      </c>
      <c r="D8" s="29" t="s">
        <v>155</v>
      </c>
      <c r="E8" s="29"/>
    </row>
    <row r="9" spans="1:8" x14ac:dyDescent="0.25">
      <c r="A9" s="29"/>
      <c r="B9" s="29" t="s">
        <v>213</v>
      </c>
      <c r="C9" s="30">
        <f>C8*0.15</f>
        <v>459375</v>
      </c>
      <c r="D9" s="33"/>
      <c r="E9" s="29"/>
    </row>
    <row r="10" spans="1:8" x14ac:dyDescent="0.25">
      <c r="A10" s="29"/>
      <c r="B10" s="29" t="s">
        <v>214</v>
      </c>
      <c r="C10" s="30">
        <f>C8*0.1</f>
        <v>306250</v>
      </c>
      <c r="D10" s="33"/>
      <c r="E10" s="29"/>
    </row>
    <row r="11" spans="1:8" x14ac:dyDescent="0.25">
      <c r="A11" s="29"/>
      <c r="B11" s="29" t="s">
        <v>215</v>
      </c>
      <c r="C11" s="30">
        <f>C8*0.04</f>
        <v>122500</v>
      </c>
      <c r="D11" s="29"/>
      <c r="E11" s="29"/>
    </row>
    <row r="12" spans="1:8" x14ac:dyDescent="0.25">
      <c r="A12" s="29"/>
      <c r="B12" s="29"/>
      <c r="C12" s="30"/>
      <c r="D12" s="29"/>
      <c r="E12" s="29"/>
    </row>
    <row r="13" spans="1:8" x14ac:dyDescent="0.25">
      <c r="A13" s="29" t="s">
        <v>208</v>
      </c>
      <c r="B13" s="29"/>
      <c r="C13" s="39">
        <f>C6*0.05</f>
        <v>61.25</v>
      </c>
      <c r="D13" s="29"/>
      <c r="E13" s="29"/>
    </row>
    <row r="14" spans="1:8" x14ac:dyDescent="0.25">
      <c r="A14" s="29"/>
      <c r="B14" s="29"/>
      <c r="C14" s="30">
        <v>500</v>
      </c>
      <c r="D14" s="29" t="s">
        <v>156</v>
      </c>
      <c r="E14" s="29"/>
    </row>
    <row r="15" spans="1:8" x14ac:dyDescent="0.25">
      <c r="A15" s="29"/>
      <c r="B15" s="29"/>
      <c r="C15" s="30">
        <f>C14*C13</f>
        <v>30625</v>
      </c>
      <c r="D15" s="29" t="s">
        <v>160</v>
      </c>
      <c r="E15" s="29"/>
    </row>
    <row r="16" spans="1:8" x14ac:dyDescent="0.25">
      <c r="A16" s="29"/>
      <c r="B16" s="29"/>
      <c r="C16" s="30">
        <f>C15*0.37</f>
        <v>11331.25</v>
      </c>
      <c r="D16" s="29" t="s">
        <v>216</v>
      </c>
      <c r="E16" s="29"/>
    </row>
    <row r="17" spans="1:5" x14ac:dyDescent="0.25">
      <c r="A17" s="29"/>
      <c r="B17" s="29"/>
      <c r="C17" s="30"/>
      <c r="D17" s="29"/>
      <c r="E17" s="29"/>
    </row>
    <row r="18" spans="1:5" x14ac:dyDescent="0.25">
      <c r="A18" s="29" t="s">
        <v>219</v>
      </c>
      <c r="B18" s="29"/>
      <c r="C18" s="39">
        <v>122</v>
      </c>
      <c r="D18" s="29" t="s">
        <v>165</v>
      </c>
      <c r="E18" s="29" t="s">
        <v>218</v>
      </c>
    </row>
    <row r="19" spans="1:5" x14ac:dyDescent="0.25">
      <c r="A19" s="29"/>
      <c r="B19" s="29"/>
      <c r="C19" s="30">
        <v>500</v>
      </c>
      <c r="D19" s="29" t="s">
        <v>165</v>
      </c>
      <c r="E19" s="29" t="s">
        <v>218</v>
      </c>
    </row>
    <row r="20" spans="1:5" x14ac:dyDescent="0.25">
      <c r="A20" s="29"/>
      <c r="B20" s="29"/>
      <c r="C20" s="30">
        <f>C19*C18</f>
        <v>61000</v>
      </c>
      <c r="D20" s="29" t="s">
        <v>166</v>
      </c>
      <c r="E20" s="29"/>
    </row>
    <row r="21" spans="1:5" x14ac:dyDescent="0.25">
      <c r="A21" s="29"/>
      <c r="B21" s="29"/>
      <c r="C21" s="30">
        <f>C20*0.05</f>
        <v>3050</v>
      </c>
      <c r="D21" s="29" t="s">
        <v>167</v>
      </c>
      <c r="E21" s="29"/>
    </row>
    <row r="22" spans="1:5" ht="45" x14ac:dyDescent="0.25">
      <c r="A22" s="29" t="s">
        <v>168</v>
      </c>
      <c r="B22" s="29" t="s">
        <v>311</v>
      </c>
      <c r="C22" s="30">
        <f>C21+C16+C11</f>
        <v>136881.25</v>
      </c>
      <c r="D22" s="31" t="s">
        <v>222</v>
      </c>
      <c r="E22" s="29" t="s">
        <v>224</v>
      </c>
    </row>
    <row r="23" spans="1:5" x14ac:dyDescent="0.25">
      <c r="A23" s="29"/>
      <c r="B23" s="29"/>
      <c r="C23" s="30"/>
      <c r="D23" s="31"/>
      <c r="E23" s="29"/>
    </row>
    <row r="24" spans="1:5" ht="45" x14ac:dyDescent="0.25">
      <c r="A24" s="29" t="s">
        <v>221</v>
      </c>
      <c r="B24" s="29" t="s">
        <v>237</v>
      </c>
      <c r="C24" s="38">
        <f>C22*50</f>
        <v>6844062.5</v>
      </c>
      <c r="D24" s="32" t="s">
        <v>223</v>
      </c>
      <c r="E24" s="29"/>
    </row>
    <row r="25" spans="1:5" x14ac:dyDescent="0.25">
      <c r="A25" s="29" t="s">
        <v>181</v>
      </c>
      <c r="B25" s="29" t="s">
        <v>176</v>
      </c>
      <c r="C25" s="40">
        <f>C24*10</f>
        <v>68440625</v>
      </c>
      <c r="D25" s="32" t="s">
        <v>225</v>
      </c>
      <c r="E25" s="29"/>
    </row>
    <row r="26" spans="1:5" ht="45" customHeight="1" x14ac:dyDescent="0.25">
      <c r="A26" s="29" t="s">
        <v>177</v>
      </c>
      <c r="B26" s="29" t="s">
        <v>226</v>
      </c>
      <c r="C26" s="30"/>
      <c r="D26" s="29"/>
      <c r="E26" s="29"/>
    </row>
    <row r="27" spans="1:5" x14ac:dyDescent="0.25">
      <c r="A27" s="29"/>
      <c r="B27" s="29" t="s">
        <v>227</v>
      </c>
      <c r="C27" s="30"/>
      <c r="D27" s="29"/>
      <c r="E27" s="29"/>
    </row>
    <row r="28" spans="1:5" x14ac:dyDescent="0.25">
      <c r="A28" s="29"/>
      <c r="B28" s="29" t="s">
        <v>228</v>
      </c>
      <c r="C28" s="38">
        <f>4*C24</f>
        <v>27376250</v>
      </c>
      <c r="D28" s="37" t="s">
        <v>229</v>
      </c>
      <c r="E28" s="29"/>
    </row>
    <row r="29" spans="1:5" ht="30" x14ac:dyDescent="0.25">
      <c r="A29" s="29"/>
      <c r="B29" s="29" t="s">
        <v>238</v>
      </c>
      <c r="C29" s="30"/>
      <c r="D29" s="29"/>
      <c r="E29" s="29"/>
    </row>
    <row r="30" spans="1:5" x14ac:dyDescent="0.25">
      <c r="A30" s="29"/>
      <c r="B30" s="29" t="s">
        <v>230</v>
      </c>
      <c r="C30" s="40">
        <f>C28*10</f>
        <v>273762500</v>
      </c>
      <c r="D30" s="29" t="s">
        <v>188</v>
      </c>
      <c r="E30" s="32" t="s">
        <v>232</v>
      </c>
    </row>
    <row r="31" spans="1:5" x14ac:dyDescent="0.25">
      <c r="A31" s="29"/>
      <c r="B31" s="29"/>
      <c r="C31" s="30"/>
      <c r="D31" s="29"/>
      <c r="E31" s="29"/>
    </row>
    <row r="32" spans="1:5" x14ac:dyDescent="0.25">
      <c r="A32" s="29" t="s">
        <v>189</v>
      </c>
      <c r="B32" s="29" t="s">
        <v>190</v>
      </c>
      <c r="C32" s="30">
        <v>1500000</v>
      </c>
      <c r="D32" s="29"/>
      <c r="E32" s="29"/>
    </row>
    <row r="33" spans="1:5" x14ac:dyDescent="0.25">
      <c r="A33" s="29" t="s">
        <v>231</v>
      </c>
      <c r="B33" s="29" t="s">
        <v>192</v>
      </c>
      <c r="C33" s="30">
        <v>50000</v>
      </c>
      <c r="D33" s="29"/>
      <c r="E33" s="29"/>
    </row>
    <row r="34" spans="1:5" x14ac:dyDescent="0.25">
      <c r="A34" s="29"/>
      <c r="B34" s="29" t="s">
        <v>193</v>
      </c>
      <c r="C34" s="30">
        <f>1400*50*10*20/6</f>
        <v>2333333.3333333335</v>
      </c>
      <c r="D34" s="29" t="s">
        <v>220</v>
      </c>
      <c r="E34" s="32" t="s">
        <v>232</v>
      </c>
    </row>
    <row r="35" spans="1:5" x14ac:dyDescent="0.25">
      <c r="A35" s="29"/>
      <c r="B35" s="29" t="s">
        <v>201</v>
      </c>
      <c r="C35" s="34"/>
      <c r="D35" s="29"/>
      <c r="E35" s="29"/>
    </row>
    <row r="36" spans="1:5" x14ac:dyDescent="0.25">
      <c r="A36" s="29"/>
      <c r="B36" s="29" t="s">
        <v>194</v>
      </c>
      <c r="C36" s="34" t="s">
        <v>196</v>
      </c>
      <c r="D36" s="29"/>
      <c r="E36" s="29"/>
    </row>
    <row r="37" spans="1:5" x14ac:dyDescent="0.25">
      <c r="A37" s="29"/>
      <c r="B37" s="29" t="s">
        <v>195</v>
      </c>
      <c r="C37" s="34" t="s">
        <v>196</v>
      </c>
      <c r="D37" s="29"/>
      <c r="E37" s="29"/>
    </row>
    <row r="38" spans="1:5" x14ac:dyDescent="0.25">
      <c r="A38" s="29"/>
      <c r="B38" s="29" t="s">
        <v>192</v>
      </c>
      <c r="C38" s="34" t="s">
        <v>196</v>
      </c>
      <c r="D38" s="29"/>
      <c r="E38" s="29"/>
    </row>
    <row r="39" spans="1:5" x14ac:dyDescent="0.25">
      <c r="A39" s="29"/>
      <c r="B39" s="29" t="s">
        <v>197</v>
      </c>
      <c r="C39" s="34" t="s">
        <v>196</v>
      </c>
      <c r="D39" s="29"/>
      <c r="E39" s="29"/>
    </row>
    <row r="40" spans="1:5" x14ac:dyDescent="0.25">
      <c r="A40" s="29"/>
      <c r="B40" s="29" t="s">
        <v>198</v>
      </c>
      <c r="C40" s="29">
        <v>1</v>
      </c>
      <c r="D40" s="29"/>
      <c r="E40" s="29"/>
    </row>
    <row r="41" spans="1:5" x14ac:dyDescent="0.25">
      <c r="A41" s="29"/>
      <c r="B41" s="29" t="s">
        <v>199</v>
      </c>
      <c r="C41" s="29">
        <v>1</v>
      </c>
      <c r="D41" s="29"/>
      <c r="E41" s="29"/>
    </row>
    <row r="42" spans="1:5" x14ac:dyDescent="0.25">
      <c r="A42" s="29"/>
      <c r="B42" s="29" t="s">
        <v>200</v>
      </c>
      <c r="C42" s="29">
        <v>1</v>
      </c>
      <c r="D42" s="29"/>
      <c r="E42" s="29"/>
    </row>
    <row r="43" spans="1:5" x14ac:dyDescent="0.25">
      <c r="A43" s="29"/>
      <c r="B43" s="29" t="s">
        <v>149</v>
      </c>
      <c r="C43" s="33">
        <v>0.18</v>
      </c>
      <c r="D43" s="29" t="s">
        <v>129</v>
      </c>
      <c r="E43" s="29"/>
    </row>
    <row r="44" spans="1:5" x14ac:dyDescent="0.25">
      <c r="B44" s="32" t="s">
        <v>297</v>
      </c>
      <c r="C44" s="53">
        <f>(C20+C15+C8)</f>
        <v>3154125</v>
      </c>
      <c r="D44" s="32">
        <f>C44*3/100</f>
        <v>94623.75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Earning - By month &amp; phases</vt:lpstr>
      <vt:lpstr>Expenses - Old2</vt:lpstr>
      <vt:lpstr>Points Old</vt:lpstr>
      <vt:lpstr>Budgeting</vt:lpstr>
      <vt:lpstr>Activity list</vt:lpstr>
      <vt:lpstr>Open Queries</vt:lpstr>
      <vt:lpstr>Legal Age Of Buying Alcohol</vt:lpstr>
      <vt:lpstr>Expenses</vt:lpstr>
      <vt:lpstr>Budgeting Copy</vt:lpstr>
      <vt:lpstr>Points + Cash</vt:lpstr>
      <vt:lpstr>Expenses - Deck</vt:lpstr>
      <vt:lpstr>Expenses - Deck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2020-06-06T08:54:04Z</dcterms:created>
  <dcterms:modified xsi:type="dcterms:W3CDTF">2021-01-03T12:26:05Z</dcterms:modified>
</cp:coreProperties>
</file>