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1"/>
  <workbookPr/>
  <mc:AlternateContent xmlns:mc="http://schemas.openxmlformats.org/markup-compatibility/2006">
    <mc:Choice Requires="x15">
      <x15ac:absPath xmlns:x15ac="http://schemas.microsoft.com/office/spreadsheetml/2010/11/ac" url="/Users/Shared/Cloud Drive/Backup - 22 July/Uk Shared Drive/Alok/Documents/Boozeshare/Kolhapur/Sakal/FI/ES/"/>
    </mc:Choice>
  </mc:AlternateContent>
  <xr:revisionPtr revIDLastSave="0" documentId="13_ncr:1_{27A7BBDF-6CF2-1441-AA20-99B0B4025A44}" xr6:coauthVersionLast="47" xr6:coauthVersionMax="47" xr10:uidLastSave="{00000000-0000-0000-0000-000000000000}"/>
  <bookViews>
    <workbookView xWindow="0" yWindow="500" windowWidth="33600" windowHeight="18680" firstSheet="23" activeTab="29" xr2:uid="{00000000-000D-0000-FFFF-FFFF00000000}"/>
  </bookViews>
  <sheets>
    <sheet name="Earning - By month &amp; phases" sheetId="6" r:id="rId1"/>
    <sheet name="Expenses - Old2" sheetId="10" r:id="rId2"/>
    <sheet name="Points Old" sheetId="13" r:id="rId3"/>
    <sheet name="Budgeting" sheetId="5" r:id="rId4"/>
    <sheet name="Activity list" sheetId="4" r:id="rId5"/>
    <sheet name="Open Queries" sheetId="1" r:id="rId6"/>
    <sheet name="Legal Age Of Buying Alcohol" sheetId="2" r:id="rId7"/>
    <sheet name="Expenses" sheetId="7" r:id="rId8"/>
    <sheet name="Budgeting Copy" sheetId="9" r:id="rId9"/>
    <sheet name="Points + Cash" sheetId="14" r:id="rId10"/>
    <sheet name="Transaction Costs" sheetId="25" r:id="rId11"/>
    <sheet name="Earning - By month &amp; phases - K" sheetId="18" r:id="rId12"/>
    <sheet name="Org Structure" sheetId="21" r:id="rId13"/>
    <sheet name="Earning - 7 Cities" sheetId="20" r:id="rId14"/>
    <sheet name="Earning - 7 Citi v2" sheetId="22" r:id="rId15"/>
    <sheet name="Earning - 7 Citi v3 25 Feb" sheetId="23" r:id="rId16"/>
    <sheet name="Expenses - Deck Jan 2021" sheetId="15" r:id="rId17"/>
    <sheet name="Customer Acquisition Theory" sheetId="24" r:id="rId18"/>
    <sheet name="Expenses - Deck (2) - Feb 25" sheetId="16" r:id="rId19"/>
    <sheet name="Earning - 7 Citi v3 28 Feb " sheetId="26" r:id="rId20"/>
    <sheet name="Expenses - Deck - 04 Oct 2021" sheetId="29" r:id="rId21"/>
    <sheet name="Earning - 7 Citi v3 27 sep 21" sheetId="30" r:id="rId22"/>
    <sheet name="Clique First Approach" sheetId="31" r:id="rId23"/>
    <sheet name="Phase Cost Breakup" sheetId="32" r:id="rId24"/>
    <sheet name="finvest" sheetId="33" r:id="rId25"/>
    <sheet name="Phase Cost Breakup (Clique)" sheetId="34" r:id="rId26"/>
    <sheet name="Clique Expense - Nov 15 2021" sheetId="35" r:id="rId27"/>
    <sheet name="Clique Phase Cost Breakup - 15 " sheetId="36" r:id="rId28"/>
    <sheet name="Expenses - Deck - 04 Oct 20 (2)" sheetId="37" r:id="rId29"/>
    <sheet name="Clique Expense - Dec 2 2021 (8)" sheetId="38" r:id="rId30"/>
    <sheet name="Clique Phase Cost Breakup (8Cr)" sheetId="39" r:id="rId31"/>
    <sheet name="WAIU - Cash Flow" sheetId="40"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40" l="1"/>
  <c r="G6" i="40"/>
  <c r="G5" i="40"/>
  <c r="G4" i="40"/>
  <c r="G3" i="40"/>
  <c r="G2" i="40"/>
  <c r="G7" i="39"/>
  <c r="G6" i="39"/>
  <c r="G5" i="39"/>
  <c r="G4" i="39"/>
  <c r="G3" i="39"/>
  <c r="G2" i="39"/>
  <c r="E27" i="38"/>
  <c r="D27" i="38"/>
  <c r="C27" i="38"/>
  <c r="E23" i="38"/>
  <c r="E24" i="38" s="1"/>
  <c r="E25" i="38" s="1"/>
  <c r="D23" i="38"/>
  <c r="D24" i="38" s="1"/>
  <c r="D25" i="38" s="1"/>
  <c r="C23" i="38"/>
  <c r="C24" i="38" s="1"/>
  <c r="E18" i="38"/>
  <c r="D18" i="38"/>
  <c r="C18" i="38"/>
  <c r="E17" i="38"/>
  <c r="D17" i="38"/>
  <c r="C17" i="38"/>
  <c r="E13" i="38"/>
  <c r="E14" i="38" s="1"/>
  <c r="D13" i="38"/>
  <c r="D14" i="38" s="1"/>
  <c r="C13" i="38"/>
  <c r="C14" i="38" s="1"/>
  <c r="E9" i="38"/>
  <c r="D9" i="38"/>
  <c r="C9" i="38"/>
  <c r="E44" i="37" l="1"/>
  <c r="H37" i="37"/>
  <c r="H36" i="37"/>
  <c r="E35" i="37"/>
  <c r="G35" i="37" s="1"/>
  <c r="D34" i="37"/>
  <c r="E34" i="37" s="1"/>
  <c r="H33" i="37"/>
  <c r="G29" i="37"/>
  <c r="G30" i="37" s="1"/>
  <c r="G31" i="37" s="1"/>
  <c r="F29" i="37"/>
  <c r="F30" i="37" s="1"/>
  <c r="F31" i="37" s="1"/>
  <c r="E29" i="37"/>
  <c r="E30" i="37" s="1"/>
  <c r="E31" i="37" s="1"/>
  <c r="E28" i="37"/>
  <c r="E27" i="37"/>
  <c r="E26" i="37"/>
  <c r="E25" i="37"/>
  <c r="E24" i="37"/>
  <c r="E23" i="37"/>
  <c r="E21" i="37"/>
  <c r="E14" i="37"/>
  <c r="G12" i="37"/>
  <c r="F12" i="37"/>
  <c r="E12" i="37"/>
  <c r="E10" i="37"/>
  <c r="E9" i="37"/>
  <c r="G8" i="37"/>
  <c r="F8" i="37"/>
  <c r="E8" i="37"/>
  <c r="H7" i="37"/>
  <c r="G7" i="37"/>
  <c r="F7" i="37"/>
  <c r="E7" i="37"/>
  <c r="J5" i="37"/>
  <c r="J6" i="37" s="1"/>
  <c r="N4" i="37"/>
  <c r="N5" i="37" s="1"/>
  <c r="J4" i="37"/>
  <c r="E4" i="37"/>
  <c r="E3" i="37"/>
  <c r="G7" i="36"/>
  <c r="G6" i="36"/>
  <c r="G5" i="36"/>
  <c r="G4" i="36"/>
  <c r="G3" i="36"/>
  <c r="G2" i="36"/>
  <c r="E27" i="35"/>
  <c r="D27" i="35"/>
  <c r="C27" i="35"/>
  <c r="E23" i="35"/>
  <c r="E24" i="35" s="1"/>
  <c r="D23" i="35"/>
  <c r="D24" i="35" s="1"/>
  <c r="C23" i="35"/>
  <c r="C24" i="35" s="1"/>
  <c r="E18" i="35"/>
  <c r="D18" i="35"/>
  <c r="C18" i="35"/>
  <c r="E17" i="35"/>
  <c r="D17" i="35"/>
  <c r="C17" i="35"/>
  <c r="E13" i="35"/>
  <c r="E14" i="35" s="1"/>
  <c r="D13" i="35"/>
  <c r="D14" i="35" s="1"/>
  <c r="C13" i="35"/>
  <c r="C14" i="35" s="1"/>
  <c r="D9" i="35"/>
  <c r="E9" i="35"/>
  <c r="C9" i="35"/>
  <c r="G7" i="34"/>
  <c r="G6" i="34"/>
  <c r="G5" i="34"/>
  <c r="G4" i="34"/>
  <c r="G3" i="34"/>
  <c r="G2" i="34"/>
  <c r="E36" i="33"/>
  <c r="G36" i="33" s="1"/>
  <c r="D35" i="33"/>
  <c r="E35" i="33" s="1"/>
  <c r="G30" i="33"/>
  <c r="G31" i="33" s="1"/>
  <c r="G32" i="33" s="1"/>
  <c r="F30" i="33"/>
  <c r="F31" i="33" s="1"/>
  <c r="F32" i="33" s="1"/>
  <c r="E29" i="33"/>
  <c r="E28" i="33"/>
  <c r="E27" i="33"/>
  <c r="E26" i="33"/>
  <c r="E25" i="33"/>
  <c r="E24" i="33"/>
  <c r="E22" i="33"/>
  <c r="E15" i="33"/>
  <c r="E11" i="33"/>
  <c r="E10" i="33"/>
  <c r="G9" i="33"/>
  <c r="F9" i="33"/>
  <c r="E9" i="33"/>
  <c r="G8" i="33"/>
  <c r="G13" i="33" s="1"/>
  <c r="F8" i="33"/>
  <c r="E8" i="33"/>
  <c r="E5" i="33"/>
  <c r="E4" i="33"/>
  <c r="H7" i="29"/>
  <c r="G2" i="32"/>
  <c r="G7" i="32"/>
  <c r="G6" i="32"/>
  <c r="G5" i="32"/>
  <c r="G4" i="32"/>
  <c r="G3" i="32"/>
  <c r="H34" i="37" l="1"/>
  <c r="F34" i="37"/>
  <c r="G34" i="37"/>
  <c r="G38" i="37" s="1"/>
  <c r="G39" i="37" s="1"/>
  <c r="G40" i="37" s="1"/>
  <c r="E38" i="37"/>
  <c r="E39" i="37" s="1"/>
  <c r="E40" i="37" s="1"/>
  <c r="J31" i="37"/>
  <c r="J34" i="37"/>
  <c r="J22" i="37"/>
  <c r="J21" i="37"/>
  <c r="J29" i="37"/>
  <c r="J14" i="37"/>
  <c r="J13" i="37"/>
  <c r="J32" i="37"/>
  <c r="J12" i="37"/>
  <c r="J35" i="37" s="1"/>
  <c r="J33" i="37"/>
  <c r="F35" i="37"/>
  <c r="E25" i="35"/>
  <c r="D25" i="35"/>
  <c r="E30" i="33"/>
  <c r="E31" i="33" s="1"/>
  <c r="E32" i="33" s="1"/>
  <c r="F13" i="33"/>
  <c r="E13" i="33"/>
  <c r="G35" i="33"/>
  <c r="G39" i="33" s="1"/>
  <c r="G40" i="33" s="1"/>
  <c r="G41" i="33" s="1"/>
  <c r="F35" i="33"/>
  <c r="E39" i="33"/>
  <c r="F36" i="33"/>
  <c r="F26" i="31"/>
  <c r="E26" i="31"/>
  <c r="F38" i="37" l="1"/>
  <c r="F39" i="37" s="1"/>
  <c r="F40" i="37" s="1"/>
  <c r="F39" i="33"/>
  <c r="F40" i="33" s="1"/>
  <c r="F41" i="33" s="1"/>
  <c r="E40" i="33"/>
  <c r="E41" i="33" s="1"/>
  <c r="E26" i="30" l="1"/>
  <c r="E25" i="30"/>
  <c r="J31" i="30"/>
  <c r="G32" i="30"/>
  <c r="H41" i="30"/>
  <c r="H38" i="30"/>
  <c r="H39" i="30" s="1"/>
  <c r="H40" i="30" s="1"/>
  <c r="U30" i="30"/>
  <c r="U31" i="30" s="1"/>
  <c r="U32" i="30" s="1"/>
  <c r="D27" i="30"/>
  <c r="E27" i="30" s="1"/>
  <c r="C21" i="30"/>
  <c r="C22" i="30" s="1"/>
  <c r="P18" i="30"/>
  <c r="C17" i="30"/>
  <c r="C18" i="30" s="1"/>
  <c r="G14" i="30"/>
  <c r="C13" i="30"/>
  <c r="C15" i="30" s="1"/>
  <c r="H12" i="30"/>
  <c r="H17" i="30" s="1"/>
  <c r="H18" i="30" s="1"/>
  <c r="G12" i="30"/>
  <c r="G17" i="30" s="1"/>
  <c r="G18" i="30" s="1"/>
  <c r="G20" i="30" s="1"/>
  <c r="C9" i="30"/>
  <c r="C10" i="30" s="1"/>
  <c r="C3" i="30"/>
  <c r="C5" i="30" s="1"/>
  <c r="G7" i="29"/>
  <c r="F7" i="29"/>
  <c r="E7" i="29"/>
  <c r="E44" i="29"/>
  <c r="H37" i="29"/>
  <c r="H36" i="29"/>
  <c r="E35" i="29"/>
  <c r="G35" i="29" s="1"/>
  <c r="D34" i="29"/>
  <c r="E34" i="29" s="1"/>
  <c r="F34" i="29" s="1"/>
  <c r="H33" i="29"/>
  <c r="G29" i="29"/>
  <c r="G30" i="29" s="1"/>
  <c r="G31" i="29" s="1"/>
  <c r="F29" i="29"/>
  <c r="F30" i="29" s="1"/>
  <c r="F31" i="29" s="1"/>
  <c r="E28" i="29"/>
  <c r="E27" i="29"/>
  <c r="E26" i="29"/>
  <c r="E25" i="29"/>
  <c r="E24" i="29"/>
  <c r="E23" i="29"/>
  <c r="E21" i="29"/>
  <c r="E14" i="29"/>
  <c r="E10" i="29"/>
  <c r="E9" i="29"/>
  <c r="G8" i="29"/>
  <c r="F8" i="29"/>
  <c r="E8" i="29"/>
  <c r="N4" i="29"/>
  <c r="N5" i="29" s="1"/>
  <c r="J4" i="29"/>
  <c r="J5" i="29" s="1"/>
  <c r="J6" i="29" s="1"/>
  <c r="E4" i="29"/>
  <c r="E3" i="29"/>
  <c r="E44" i="16"/>
  <c r="C43" i="16"/>
  <c r="N11" i="21"/>
  <c r="O11" i="21"/>
  <c r="R11" i="21"/>
  <c r="R12" i="21" s="1"/>
  <c r="D3" i="26"/>
  <c r="H35" i="16"/>
  <c r="H36" i="16"/>
  <c r="J4" i="16"/>
  <c r="D33" i="16"/>
  <c r="G7" i="16"/>
  <c r="F7" i="16"/>
  <c r="H37" i="16"/>
  <c r="F12" i="29" l="1"/>
  <c r="G12" i="29"/>
  <c r="C4" i="30"/>
  <c r="C11" i="30"/>
  <c r="C12" i="30" s="1"/>
  <c r="C23" i="30"/>
  <c r="C24" i="30" s="1"/>
  <c r="D28" i="30"/>
  <c r="E28" i="30" s="1"/>
  <c r="D29" i="30"/>
  <c r="E29" i="30" s="1"/>
  <c r="E29" i="29"/>
  <c r="E30" i="29" s="1"/>
  <c r="E31" i="29" s="1"/>
  <c r="E12" i="29"/>
  <c r="J33" i="29"/>
  <c r="J13" i="29"/>
  <c r="J31" i="29"/>
  <c r="J34" i="29"/>
  <c r="J21" i="29"/>
  <c r="J12" i="29"/>
  <c r="J22" i="29"/>
  <c r="J29" i="29"/>
  <c r="J32" i="29"/>
  <c r="J14" i="29"/>
  <c r="E38" i="29"/>
  <c r="G34" i="29"/>
  <c r="G38" i="29" s="1"/>
  <c r="G39" i="29" s="1"/>
  <c r="H34" i="29"/>
  <c r="F35" i="29"/>
  <c r="F38" i="29" s="1"/>
  <c r="F39" i="29" s="1"/>
  <c r="J5" i="16"/>
  <c r="J6" i="16" s="1"/>
  <c r="J31" i="26"/>
  <c r="H41" i="26"/>
  <c r="H38" i="26"/>
  <c r="H39" i="26" s="1"/>
  <c r="H40" i="26" s="1"/>
  <c r="G32" i="26"/>
  <c r="E32" i="26"/>
  <c r="E31" i="26"/>
  <c r="U30" i="26"/>
  <c r="U31" i="26" s="1"/>
  <c r="U32" i="26" s="1"/>
  <c r="D27" i="26"/>
  <c r="D29" i="26" s="1"/>
  <c r="E29" i="26" s="1"/>
  <c r="E26" i="26"/>
  <c r="E25" i="26"/>
  <c r="P18" i="26"/>
  <c r="C17" i="26"/>
  <c r="C18" i="26" s="1"/>
  <c r="G14" i="26"/>
  <c r="H12" i="26"/>
  <c r="H17" i="26" s="1"/>
  <c r="H18" i="26" s="1"/>
  <c r="G12" i="26"/>
  <c r="G17" i="26" s="1"/>
  <c r="G18" i="26" s="1"/>
  <c r="G20" i="26" s="1"/>
  <c r="C3" i="26"/>
  <c r="C5" i="26" s="1"/>
  <c r="E20" i="16"/>
  <c r="G14" i="21"/>
  <c r="G9" i="21"/>
  <c r="G10" i="21"/>
  <c r="G8" i="21"/>
  <c r="G7" i="21"/>
  <c r="G6" i="21"/>
  <c r="G5" i="21"/>
  <c r="G4" i="21"/>
  <c r="E34" i="16"/>
  <c r="G34" i="16" s="1"/>
  <c r="G28" i="16"/>
  <c r="G29" i="16" s="1"/>
  <c r="G30" i="16" s="1"/>
  <c r="F28" i="16"/>
  <c r="F29" i="16" s="1"/>
  <c r="F30" i="16" s="1"/>
  <c r="N4" i="16"/>
  <c r="N5" i="16" s="1"/>
  <c r="E13" i="16"/>
  <c r="E33" i="16"/>
  <c r="F40" i="29" l="1"/>
  <c r="G40" i="29"/>
  <c r="C36" i="30"/>
  <c r="C34" i="30"/>
  <c r="C35" i="30"/>
  <c r="C38" i="30"/>
  <c r="C37" i="30"/>
  <c r="C42" i="30"/>
  <c r="C39" i="30"/>
  <c r="C41" i="30"/>
  <c r="C40" i="30"/>
  <c r="C33" i="30"/>
  <c r="D30" i="30"/>
  <c r="E30" i="30" s="1"/>
  <c r="E39" i="29"/>
  <c r="E40" i="29" s="1"/>
  <c r="J35" i="29"/>
  <c r="C4" i="26"/>
  <c r="G11" i="21"/>
  <c r="E27" i="26"/>
  <c r="D28" i="26"/>
  <c r="D30" i="26" s="1"/>
  <c r="F34" i="16"/>
  <c r="G33" i="16"/>
  <c r="H33" i="16"/>
  <c r="C13" i="26"/>
  <c r="C15" i="26" s="1"/>
  <c r="C21" i="26"/>
  <c r="C22" i="26" s="1"/>
  <c r="C9" i="26"/>
  <c r="C10" i="26" s="1"/>
  <c r="G15" i="21"/>
  <c r="J32" i="16"/>
  <c r="J28" i="16"/>
  <c r="J12" i="16"/>
  <c r="J20" i="16"/>
  <c r="J13" i="16"/>
  <c r="J31" i="16"/>
  <c r="J21" i="16"/>
  <c r="J11" i="16"/>
  <c r="J30" i="16"/>
  <c r="J33" i="16"/>
  <c r="F33" i="16"/>
  <c r="E31" i="23"/>
  <c r="E25" i="23"/>
  <c r="E24" i="23"/>
  <c r="H40" i="23"/>
  <c r="H37" i="23"/>
  <c r="H38" i="23" s="1"/>
  <c r="H39" i="23" s="1"/>
  <c r="G31" i="23"/>
  <c r="E30" i="23"/>
  <c r="U29" i="23"/>
  <c r="U30" i="23" s="1"/>
  <c r="U31" i="23" s="1"/>
  <c r="D26" i="23"/>
  <c r="D28" i="23" s="1"/>
  <c r="E28" i="23" s="1"/>
  <c r="P17" i="23"/>
  <c r="C16" i="23"/>
  <c r="C17" i="23" s="1"/>
  <c r="G13" i="23"/>
  <c r="G16" i="23" s="1"/>
  <c r="G17" i="23" s="1"/>
  <c r="G19" i="23" s="1"/>
  <c r="H11" i="23"/>
  <c r="H16" i="23" s="1"/>
  <c r="H17" i="23" s="1"/>
  <c r="G11" i="23"/>
  <c r="C3" i="23"/>
  <c r="C4" i="23" s="1"/>
  <c r="E28" i="26" l="1"/>
  <c r="D39" i="30"/>
  <c r="D38" i="30"/>
  <c r="E38" i="30" s="1"/>
  <c r="D35" i="30"/>
  <c r="E35" i="30" s="1"/>
  <c r="D37" i="30"/>
  <c r="E37" i="30" s="1"/>
  <c r="D34" i="30"/>
  <c r="E34" i="30" s="1"/>
  <c r="D36" i="30"/>
  <c r="E36" i="30" s="1"/>
  <c r="G16" i="21"/>
  <c r="G17" i="21"/>
  <c r="C5" i="23"/>
  <c r="C6" i="23" s="1"/>
  <c r="C12" i="23" s="1"/>
  <c r="C14" i="23" s="1"/>
  <c r="E30" i="26"/>
  <c r="C11" i="26"/>
  <c r="C12" i="26" s="1"/>
  <c r="C23" i="26"/>
  <c r="C24" i="26" s="1"/>
  <c r="J34" i="16"/>
  <c r="E26" i="23"/>
  <c r="D27" i="23"/>
  <c r="E27" i="23" s="1"/>
  <c r="G31" i="22"/>
  <c r="U29" i="22"/>
  <c r="U30" i="22" s="1"/>
  <c r="U31" i="22" s="1"/>
  <c r="H40" i="22"/>
  <c r="H37" i="22"/>
  <c r="H38" i="22" s="1"/>
  <c r="H39" i="22" s="1"/>
  <c r="E30" i="22"/>
  <c r="D26" i="22"/>
  <c r="D28" i="22" s="1"/>
  <c r="E28" i="22" s="1"/>
  <c r="E24" i="22"/>
  <c r="P17" i="22"/>
  <c r="H16" i="22"/>
  <c r="H17" i="22" s="1"/>
  <c r="C16" i="22"/>
  <c r="C17" i="22" s="1"/>
  <c r="G13" i="22"/>
  <c r="H11" i="22"/>
  <c r="G11" i="22"/>
  <c r="C3" i="22"/>
  <c r="C5" i="22" s="1"/>
  <c r="E39" i="30" l="1"/>
  <c r="D40" i="30"/>
  <c r="D42" i="30"/>
  <c r="D41" i="30"/>
  <c r="C8" i="23"/>
  <c r="C9" i="23" s="1"/>
  <c r="C18" i="23"/>
  <c r="C20" i="23" s="1"/>
  <c r="C21" i="23" s="1"/>
  <c r="G16" i="22"/>
  <c r="G17" i="22" s="1"/>
  <c r="G19" i="22" s="1"/>
  <c r="C36" i="26"/>
  <c r="C35" i="26"/>
  <c r="C33" i="26"/>
  <c r="C37" i="26"/>
  <c r="C42" i="26"/>
  <c r="C41" i="26"/>
  <c r="C40" i="26"/>
  <c r="C39" i="26"/>
  <c r="C38" i="26"/>
  <c r="C34" i="26"/>
  <c r="D34" i="26" s="1"/>
  <c r="D29" i="23"/>
  <c r="E29" i="23" s="1"/>
  <c r="C10" i="23"/>
  <c r="C11" i="23" s="1"/>
  <c r="C22" i="23"/>
  <c r="C23" i="23" s="1"/>
  <c r="C4" i="22"/>
  <c r="C6" i="22" s="1"/>
  <c r="D27" i="22"/>
  <c r="E42" i="30" l="1"/>
  <c r="E40" i="30"/>
  <c r="E41" i="30" s="1"/>
  <c r="D35" i="26"/>
  <c r="E35" i="26" s="1"/>
  <c r="D36" i="26"/>
  <c r="E36" i="26" s="1"/>
  <c r="D39" i="26"/>
  <c r="D38" i="26"/>
  <c r="E38" i="26" s="1"/>
  <c r="D37" i="26"/>
  <c r="E37" i="26" s="1"/>
  <c r="E34" i="26"/>
  <c r="C35" i="23"/>
  <c r="D35" i="23" s="1"/>
  <c r="E35" i="23" s="1"/>
  <c r="C36" i="23"/>
  <c r="D36" i="23" s="1"/>
  <c r="E36" i="23" s="1"/>
  <c r="C41" i="23"/>
  <c r="C40" i="23"/>
  <c r="C39" i="23"/>
  <c r="C38" i="23"/>
  <c r="C37" i="23"/>
  <c r="C33" i="23"/>
  <c r="D33" i="23" s="1"/>
  <c r="E33" i="23" s="1"/>
  <c r="C34" i="23"/>
  <c r="D34" i="23" s="1"/>
  <c r="E34" i="23" s="1"/>
  <c r="C32" i="23"/>
  <c r="C12" i="22"/>
  <c r="C14" i="22" s="1"/>
  <c r="C18" i="22"/>
  <c r="C20" i="22" s="1"/>
  <c r="C21" i="22" s="1"/>
  <c r="C8" i="22"/>
  <c r="C9" i="22" s="1"/>
  <c r="E27" i="22"/>
  <c r="D29" i="22"/>
  <c r="E29" i="22" s="1"/>
  <c r="E39" i="26" l="1"/>
  <c r="D42" i="26"/>
  <c r="D41" i="26"/>
  <c r="D40" i="26"/>
  <c r="D38" i="23"/>
  <c r="D37" i="23"/>
  <c r="E37" i="23" s="1"/>
  <c r="C10" i="22"/>
  <c r="C11" i="22" s="1"/>
  <c r="C22" i="22"/>
  <c r="C23" i="22" s="1"/>
  <c r="E42" i="26" l="1"/>
  <c r="E40" i="26"/>
  <c r="E41" i="26" s="1"/>
  <c r="E38" i="23"/>
  <c r="D41" i="23"/>
  <c r="D40" i="23"/>
  <c r="D39" i="23"/>
  <c r="C35" i="22"/>
  <c r="C41" i="22"/>
  <c r="C39" i="22"/>
  <c r="C33" i="22"/>
  <c r="C34" i="22"/>
  <c r="C36" i="22"/>
  <c r="C40" i="22"/>
  <c r="C38" i="22"/>
  <c r="C37" i="22"/>
  <c r="C32" i="22"/>
  <c r="D34" i="22" l="1"/>
  <c r="E34" i="22" s="1"/>
  <c r="D35" i="22"/>
  <c r="E35" i="22" s="1"/>
  <c r="D36" i="22"/>
  <c r="E36" i="22" s="1"/>
  <c r="D33" i="22"/>
  <c r="E33" i="22" s="1"/>
  <c r="D38" i="22"/>
  <c r="D37" i="22"/>
  <c r="E37" i="22" s="1"/>
  <c r="E41" i="23"/>
  <c r="E39" i="23"/>
  <c r="E40" i="23" s="1"/>
  <c r="E38" i="22" l="1"/>
  <c r="E39" i="22" s="1"/>
  <c r="E40" i="22" s="1"/>
  <c r="D41" i="22"/>
  <c r="D40" i="22"/>
  <c r="D39" i="22"/>
  <c r="E41" i="22" l="1"/>
  <c r="E30" i="20" l="1"/>
  <c r="E24" i="20"/>
  <c r="E42" i="15" l="1"/>
  <c r="E11" i="15"/>
  <c r="D41" i="15"/>
  <c r="E40" i="15"/>
  <c r="H40" i="20"/>
  <c r="H37" i="20"/>
  <c r="H38" i="20" s="1"/>
  <c r="H39" i="20" s="1"/>
  <c r="P17" i="20"/>
  <c r="E21" i="15"/>
  <c r="E32" i="15"/>
  <c r="E33" i="15"/>
  <c r="E30" i="15"/>
  <c r="E12" i="15" l="1"/>
  <c r="T16" i="15"/>
  <c r="S16" i="15"/>
  <c r="U14" i="15"/>
  <c r="U17" i="15" l="1"/>
  <c r="U18" i="15" s="1"/>
  <c r="D26" i="20"/>
  <c r="D27" i="20" s="1"/>
  <c r="E27" i="20" s="1"/>
  <c r="C16" i="20"/>
  <c r="C17" i="20" s="1"/>
  <c r="G13" i="20"/>
  <c r="H11" i="20"/>
  <c r="H16" i="20" s="1"/>
  <c r="H17" i="20" s="1"/>
  <c r="G11" i="20"/>
  <c r="G16" i="20" s="1"/>
  <c r="G17" i="20" s="1"/>
  <c r="G19" i="20" s="1"/>
  <c r="C3" i="20"/>
  <c r="C4" i="20" s="1"/>
  <c r="D16" i="18"/>
  <c r="D17" i="18" s="1"/>
  <c r="D15" i="18"/>
  <c r="E15" i="18" s="1"/>
  <c r="D14" i="18"/>
  <c r="E14" i="18" s="1"/>
  <c r="D13" i="18"/>
  <c r="E13" i="18" s="1"/>
  <c r="D12" i="18"/>
  <c r="E12" i="18" s="1"/>
  <c r="D11" i="18"/>
  <c r="E11" i="18" s="1"/>
  <c r="C10" i="18"/>
  <c r="C3" i="18"/>
  <c r="C5" i="18" s="1"/>
  <c r="C5" i="20" l="1"/>
  <c r="E16" i="18"/>
  <c r="E17" i="18" s="1"/>
  <c r="E19" i="18" s="1"/>
  <c r="C6" i="20"/>
  <c r="D28" i="20"/>
  <c r="E28" i="20" s="1"/>
  <c r="D19" i="18"/>
  <c r="D18" i="18"/>
  <c r="E18" i="18"/>
  <c r="C4" i="18"/>
  <c r="G11" i="16"/>
  <c r="F11" i="16"/>
  <c r="F38" i="16"/>
  <c r="C12" i="20" l="1"/>
  <c r="C14" i="20" s="1"/>
  <c r="C8" i="20"/>
  <c r="C18" i="20"/>
  <c r="C20" i="20" s="1"/>
  <c r="C21" i="20" s="1"/>
  <c r="D29" i="20"/>
  <c r="E29" i="20" s="1"/>
  <c r="F39" i="16"/>
  <c r="F40" i="16" s="1"/>
  <c r="G38" i="16"/>
  <c r="G39" i="16" s="1"/>
  <c r="G40" i="16" s="1"/>
  <c r="C9" i="20" l="1"/>
  <c r="D8" i="20"/>
  <c r="C22" i="20"/>
  <c r="C23" i="20"/>
  <c r="C10" i="20"/>
  <c r="C11" i="20" s="1"/>
  <c r="C32" i="20" l="1"/>
  <c r="C39" i="20"/>
  <c r="C35" i="20"/>
  <c r="D35" i="20" s="1"/>
  <c r="E35" i="20" s="1"/>
  <c r="C40" i="20"/>
  <c r="C36" i="20"/>
  <c r="D36" i="20" s="1"/>
  <c r="E36" i="20" s="1"/>
  <c r="C38" i="20"/>
  <c r="C41" i="20"/>
  <c r="C37" i="20"/>
  <c r="C33" i="20"/>
  <c r="D33" i="20" s="1"/>
  <c r="E33" i="20" s="1"/>
  <c r="C34" i="20"/>
  <c r="D34" i="20" s="1"/>
  <c r="E34" i="20" s="1"/>
  <c r="D38" i="20" l="1"/>
  <c r="D37" i="20"/>
  <c r="E37" i="20" s="1"/>
  <c r="E22" i="16"/>
  <c r="E23" i="16"/>
  <c r="E24" i="16"/>
  <c r="E25" i="16"/>
  <c r="E26" i="16"/>
  <c r="E27" i="16"/>
  <c r="E4" i="16"/>
  <c r="H32" i="16"/>
  <c r="E9" i="16"/>
  <c r="E8" i="16"/>
  <c r="E7" i="16"/>
  <c r="E3" i="16"/>
  <c r="E7" i="15"/>
  <c r="E6" i="15"/>
  <c r="E49" i="15"/>
  <c r="E43" i="15"/>
  <c r="E41" i="15"/>
  <c r="E38" i="15"/>
  <c r="E31" i="15"/>
  <c r="E29" i="15"/>
  <c r="E28" i="15"/>
  <c r="E27" i="15"/>
  <c r="E26" i="15"/>
  <c r="E25" i="15"/>
  <c r="E24" i="15"/>
  <c r="E23" i="15"/>
  <c r="E22" i="15"/>
  <c r="E20" i="15"/>
  <c r="E19" i="15"/>
  <c r="E18" i="15"/>
  <c r="E17" i="15"/>
  <c r="E16" i="15"/>
  <c r="E10" i="15"/>
  <c r="E9" i="15"/>
  <c r="E8" i="15"/>
  <c r="E5" i="15"/>
  <c r="E4" i="15"/>
  <c r="E3" i="15"/>
  <c r="E38" i="20" l="1"/>
  <c r="D39" i="20"/>
  <c r="D40" i="20"/>
  <c r="D41" i="20"/>
  <c r="E13" i="15"/>
  <c r="E34" i="15"/>
  <c r="E44" i="15"/>
  <c r="E38" i="16"/>
  <c r="E28" i="16"/>
  <c r="E11" i="16"/>
  <c r="E23" i="10"/>
  <c r="E29" i="16" l="1"/>
  <c r="E30" i="16" s="1"/>
  <c r="E39" i="16" s="1"/>
  <c r="E40" i="16" s="1"/>
  <c r="E35" i="15"/>
  <c r="E45" i="15" s="1"/>
  <c r="E41" i="20"/>
  <c r="E39" i="20"/>
  <c r="E40" i="20" s="1"/>
  <c r="H11" i="6"/>
  <c r="H16" i="6" s="1"/>
  <c r="H17" i="6" s="1"/>
  <c r="G11" i="6"/>
  <c r="G16" i="6"/>
  <c r="G17" i="6" s="1"/>
  <c r="G19" i="6" s="1"/>
  <c r="G13" i="6"/>
  <c r="F20" i="14"/>
  <c r="F19" i="14"/>
  <c r="F18" i="14"/>
  <c r="F17" i="14"/>
  <c r="F16" i="14"/>
  <c r="E46" i="15" l="1"/>
  <c r="E25" i="6"/>
  <c r="E24" i="6"/>
  <c r="D26" i="6"/>
  <c r="E26" i="6" s="1"/>
  <c r="E10" i="10"/>
  <c r="E8" i="10"/>
  <c r="E5" i="10"/>
  <c r="E4" i="10"/>
  <c r="E3" i="10"/>
  <c r="D28" i="6" l="1"/>
  <c r="E28" i="6" s="1"/>
  <c r="D27" i="6"/>
  <c r="E27" i="6" s="1"/>
  <c r="F42" i="5"/>
  <c r="E42" i="5"/>
  <c r="F38" i="5"/>
  <c r="F40" i="5"/>
  <c r="E41" i="5"/>
  <c r="F41" i="5" s="1"/>
  <c r="E40" i="5"/>
  <c r="E39" i="5"/>
  <c r="F39" i="5" s="1"/>
  <c r="E38" i="5"/>
  <c r="F37" i="5" l="1"/>
  <c r="D29" i="6"/>
  <c r="E29" i="6" s="1"/>
  <c r="F20" i="13"/>
  <c r="F19" i="13"/>
  <c r="F18" i="13"/>
  <c r="F17" i="13"/>
  <c r="F16" i="13"/>
  <c r="C16" i="6"/>
  <c r="C17" i="6" s="1"/>
  <c r="E34" i="10" l="1"/>
  <c r="D9" i="10"/>
  <c r="E9" i="10" s="1"/>
  <c r="E11" i="10" s="1"/>
  <c r="E43" i="10"/>
  <c r="E37" i="10"/>
  <c r="E36" i="10"/>
  <c r="E35" i="10"/>
  <c r="E28" i="10"/>
  <c r="E27" i="10"/>
  <c r="E26" i="10"/>
  <c r="E25" i="10"/>
  <c r="E24" i="10"/>
  <c r="E22" i="10"/>
  <c r="E21" i="10"/>
  <c r="E20" i="10"/>
  <c r="E19" i="10"/>
  <c r="E18" i="10"/>
  <c r="E17" i="10"/>
  <c r="E16" i="10"/>
  <c r="E15" i="10"/>
  <c r="E14" i="10"/>
  <c r="E29" i="10" l="1"/>
  <c r="E30" i="10" s="1"/>
  <c r="E31" i="10" s="1"/>
  <c r="E38" i="10"/>
  <c r="C11" i="9"/>
  <c r="C10" i="9"/>
  <c r="C9" i="9"/>
  <c r="C34" i="9"/>
  <c r="C20" i="9"/>
  <c r="C21" i="9" s="1"/>
  <c r="C13" i="9"/>
  <c r="C15" i="9" s="1"/>
  <c r="C16" i="9" s="1"/>
  <c r="C8" i="9"/>
  <c r="F1" i="9"/>
  <c r="H1" i="9" s="1"/>
  <c r="D49" i="7"/>
  <c r="D48" i="7"/>
  <c r="D47" i="7"/>
  <c r="D46" i="7"/>
  <c r="D45" i="7"/>
  <c r="D44" i="7"/>
  <c r="D43" i="7"/>
  <c r="B41" i="7"/>
  <c r="E39" i="10" l="1"/>
  <c r="E40" i="10" s="1"/>
  <c r="C22" i="9"/>
  <c r="C24" i="9" s="1"/>
  <c r="C44" i="9"/>
  <c r="D44" i="9" s="1"/>
  <c r="C3" i="6"/>
  <c r="C5" i="6" s="1"/>
  <c r="C20" i="5"/>
  <c r="C21" i="5" s="1"/>
  <c r="C13" i="5"/>
  <c r="C15" i="5" s="1"/>
  <c r="C16" i="5" s="1"/>
  <c r="C8" i="5"/>
  <c r="G36" i="4"/>
  <c r="D24" i="4"/>
  <c r="D30" i="4" s="1"/>
  <c r="D32" i="4" s="1"/>
  <c r="G21" i="4"/>
  <c r="G22" i="4" s="1"/>
  <c r="G17" i="4"/>
  <c r="G18" i="4" s="1"/>
  <c r="F15" i="4"/>
  <c r="G10" i="4"/>
  <c r="G11" i="4" s="1"/>
  <c r="C10" i="5" l="1"/>
  <c r="C9" i="5"/>
  <c r="C11" i="5"/>
  <c r="C28" i="9"/>
  <c r="C30" i="9" s="1"/>
  <c r="C25" i="9"/>
  <c r="C4" i="6"/>
  <c r="C6" i="6" s="1"/>
  <c r="C8" i="6" s="1"/>
  <c r="G12" i="4"/>
  <c r="G13" i="4"/>
  <c r="I13" i="4" s="1"/>
  <c r="G23" i="4" l="1"/>
  <c r="G24" i="4" s="1"/>
  <c r="C18" i="6"/>
  <c r="C12" i="6"/>
  <c r="C14" i="6" s="1"/>
  <c r="C9" i="6"/>
  <c r="H24" i="4"/>
  <c r="G26" i="4"/>
  <c r="G30" i="4"/>
  <c r="G32" i="4" s="1"/>
  <c r="C22" i="5"/>
  <c r="C10" i="6" l="1"/>
  <c r="C11" i="6" s="1"/>
  <c r="C20" i="6"/>
  <c r="C21" i="6" s="1"/>
  <c r="C24" i="5"/>
  <c r="C27" i="5" l="1"/>
  <c r="D24" i="5"/>
  <c r="E24" i="5" s="1"/>
  <c r="F25" i="5" s="1"/>
  <c r="C25" i="5"/>
  <c r="D25" i="5" s="1"/>
  <c r="E25" i="5" s="1"/>
  <c r="C22" i="6"/>
  <c r="C23" i="6" s="1"/>
  <c r="C31" i="6" s="1"/>
  <c r="D31" i="6" s="1"/>
  <c r="E31" i="6" s="1"/>
  <c r="C32" i="5"/>
  <c r="C34" i="5" s="1"/>
  <c r="C28" i="5"/>
  <c r="C29" i="5" s="1"/>
  <c r="D48" i="15" l="1"/>
  <c r="E48" i="15" s="1"/>
  <c r="D42" i="10"/>
  <c r="E42" i="10" s="1"/>
  <c r="C33" i="6"/>
  <c r="D33" i="6" s="1"/>
  <c r="E33" i="6" s="1"/>
  <c r="C39" i="6"/>
  <c r="C36" i="6"/>
  <c r="C34" i="6"/>
  <c r="D34" i="6" s="1"/>
  <c r="E34" i="6" s="1"/>
  <c r="C35" i="6"/>
  <c r="D36" i="6" s="1"/>
  <c r="C32" i="6"/>
  <c r="D32" i="6" s="1"/>
  <c r="E32" i="6" s="1"/>
  <c r="C38" i="6"/>
  <c r="C37" i="6"/>
  <c r="C30" i="6"/>
  <c r="D35" i="6" l="1"/>
  <c r="E35" i="6" s="1"/>
  <c r="E36" i="6"/>
  <c r="D37" i="6"/>
  <c r="D38" i="6" s="1"/>
  <c r="D39" i="6"/>
  <c r="E39" i="6" l="1"/>
  <c r="E37" i="6"/>
  <c r="E3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25" authorId="0" shapeId="0" xr:uid="{00000000-0006-0000-0F00-000001000000}">
      <text>
        <r>
          <rPr>
            <b/>
            <sz val="9"/>
            <color indexed="81"/>
            <rFont val="Tahoma"/>
            <family val="2"/>
          </rPr>
          <t>Hp:</t>
        </r>
        <r>
          <rPr>
            <sz val="9"/>
            <color indexed="81"/>
            <rFont val="Tahoma"/>
            <family val="2"/>
          </rPr>
          <t xml:space="preserve">
Use credit tentd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E4" authorId="0" shapeId="0" xr:uid="{00000000-0006-0000-1200-000001000000}">
      <text>
        <r>
          <rPr>
            <b/>
            <sz val="9"/>
            <color rgb="FF000000"/>
            <rFont val="Tahoma"/>
            <family val="2"/>
          </rPr>
          <t>Hp:</t>
        </r>
        <r>
          <rPr>
            <sz val="9"/>
            <color rgb="FF000000"/>
            <rFont val="Tahoma"/>
            <family val="2"/>
          </rPr>
          <t xml:space="preserve">
</t>
        </r>
        <r>
          <rPr>
            <sz val="9"/>
            <color rgb="FF000000"/>
            <rFont val="Tahoma"/>
            <family val="2"/>
          </rPr>
          <t xml:space="preserve">3.5cr national
</t>
        </r>
        <r>
          <rPr>
            <sz val="9"/>
            <color rgb="FF000000"/>
            <rFont val="Tahoma"/>
            <family val="2"/>
          </rPr>
          <t>50L local</t>
        </r>
      </text>
    </comment>
    <comment ref="E5" authorId="0" shapeId="0" xr:uid="{00000000-0006-0000-1200-000002000000}">
      <text>
        <r>
          <rPr>
            <b/>
            <sz val="9"/>
            <color rgb="FF000000"/>
            <rFont val="Tahoma"/>
            <family val="2"/>
          </rPr>
          <t>Hp:</t>
        </r>
        <r>
          <rPr>
            <sz val="9"/>
            <color rgb="FF000000"/>
            <rFont val="Tahoma"/>
            <family val="2"/>
          </rPr>
          <t xml:space="preserve">
</t>
        </r>
        <r>
          <rPr>
            <sz val="9"/>
            <color rgb="FF000000"/>
            <rFont val="Tahoma"/>
            <family val="2"/>
          </rPr>
          <t>Col I</t>
        </r>
      </text>
    </comment>
    <comment ref="E6" authorId="0" shapeId="0" xr:uid="{00000000-0006-0000-1200-000003000000}">
      <text>
        <r>
          <rPr>
            <b/>
            <sz val="9"/>
            <color rgb="FF000000"/>
            <rFont val="Tahoma"/>
            <family val="2"/>
          </rPr>
          <t>Hp:</t>
        </r>
        <r>
          <rPr>
            <sz val="9"/>
            <color rgb="FF000000"/>
            <rFont val="Tahoma"/>
            <family val="2"/>
          </rPr>
          <t xml:space="preserve">
</t>
        </r>
        <r>
          <rPr>
            <sz val="9"/>
            <color rgb="FF000000"/>
            <rFont val="Tahoma"/>
            <family val="2"/>
          </rPr>
          <t xml:space="preserve">4L national
</t>
        </r>
        <r>
          <rPr>
            <sz val="9"/>
            <color rgb="FF000000"/>
            <rFont val="Tahoma"/>
            <family val="2"/>
          </rPr>
          <t>1L local</t>
        </r>
      </text>
    </comment>
    <comment ref="D20" authorId="0" shapeId="0" xr:uid="{00000000-0006-0000-1200-000004000000}">
      <text>
        <r>
          <rPr>
            <b/>
            <sz val="9"/>
            <color indexed="81"/>
            <rFont val="Tahoma"/>
            <family val="2"/>
          </rPr>
          <t>Hp:</t>
        </r>
        <r>
          <rPr>
            <sz val="9"/>
            <color indexed="81"/>
            <rFont val="Tahoma"/>
            <family val="2"/>
          </rPr>
          <t xml:space="preserve">
2L per location - packaging, ribbons etc</t>
        </r>
      </text>
    </comment>
    <comment ref="D33" authorId="0" shapeId="0" xr:uid="{00000000-0006-0000-1200-000005000000}">
      <text>
        <r>
          <rPr>
            <b/>
            <sz val="9"/>
            <color rgb="FF000000"/>
            <rFont val="Tahoma"/>
            <family val="2"/>
          </rPr>
          <t>Hp:</t>
        </r>
        <r>
          <rPr>
            <sz val="9"/>
            <color rgb="FF000000"/>
            <rFont val="Tahoma"/>
            <family val="2"/>
          </rPr>
          <t xml:space="preserve">
</t>
        </r>
        <r>
          <rPr>
            <sz val="9"/>
            <color rgb="FF000000"/>
            <rFont val="Tahoma"/>
            <family val="2"/>
          </rPr>
          <t xml:space="preserve">1 Rs per persons
</t>
        </r>
        <r>
          <rPr>
            <sz val="9"/>
            <color rgb="FF000000"/>
            <rFont val="Tahoma"/>
            <family val="2"/>
          </rPr>
          <t>1000 customers from restaurant and 1000 Waiu direct customers</t>
        </r>
      </text>
    </comment>
    <comment ref="E34" authorId="0" shapeId="0" xr:uid="{00000000-0006-0000-1200-000006000000}">
      <text>
        <r>
          <rPr>
            <b/>
            <sz val="9"/>
            <color rgb="FF000000"/>
            <rFont val="Tahoma"/>
            <family val="2"/>
          </rPr>
          <t>Hp:</t>
        </r>
        <r>
          <rPr>
            <sz val="9"/>
            <color rgb="FF000000"/>
            <rFont val="Tahoma"/>
            <family val="2"/>
          </rPr>
          <t xml:space="preserve">
</t>
        </r>
        <r>
          <rPr>
            <sz val="9"/>
            <color rgb="FF000000"/>
            <rFont val="Tahoma"/>
            <family val="2"/>
          </rPr>
          <t xml:space="preserve">J34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26" authorId="0" shapeId="0" xr:uid="{00000000-0006-0000-1300-000001000000}">
      <text>
        <r>
          <rPr>
            <b/>
            <sz val="9"/>
            <color indexed="81"/>
            <rFont val="Tahoma"/>
            <family val="2"/>
          </rPr>
          <t>Hp:</t>
        </r>
        <r>
          <rPr>
            <sz val="9"/>
            <color indexed="81"/>
            <rFont val="Tahoma"/>
            <family val="2"/>
          </rPr>
          <t xml:space="preserve">
Use credit tentd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Hp</author>
    <author>tc={D131E809-821F-404F-9B5B-EC7FF6E280BE}</author>
  </authors>
  <commentList>
    <comment ref="E4" authorId="0" shapeId="0" xr:uid="{0C15D0EE-810A-EC49-B05C-F7FB143A153F}">
      <text>
        <r>
          <rPr>
            <b/>
            <sz val="9"/>
            <color rgb="FF000000"/>
            <rFont val="Tahoma"/>
            <family val="2"/>
          </rPr>
          <t>Hp:</t>
        </r>
        <r>
          <rPr>
            <sz val="9"/>
            <color rgb="FF000000"/>
            <rFont val="Tahoma"/>
            <family val="2"/>
          </rPr>
          <t xml:space="preserve">
</t>
        </r>
        <r>
          <rPr>
            <sz val="9"/>
            <color rgb="FF000000"/>
            <rFont val="Tahoma"/>
            <family val="2"/>
          </rPr>
          <t xml:space="preserve">3.5cr national
</t>
        </r>
        <r>
          <rPr>
            <sz val="9"/>
            <color rgb="FF000000"/>
            <rFont val="Tahoma"/>
            <family val="2"/>
          </rPr>
          <t>50L local</t>
        </r>
      </text>
    </comment>
    <comment ref="E5" authorId="0" shapeId="0" xr:uid="{6B0FAB37-16FB-394C-848C-9CDD549EF25E}">
      <text>
        <r>
          <rPr>
            <b/>
            <sz val="9"/>
            <color rgb="FF000000"/>
            <rFont val="Tahoma"/>
            <family val="2"/>
          </rPr>
          <t>Hp:</t>
        </r>
        <r>
          <rPr>
            <sz val="9"/>
            <color rgb="FF000000"/>
            <rFont val="Tahoma"/>
            <family val="2"/>
          </rPr>
          <t xml:space="preserve">
</t>
        </r>
        <r>
          <rPr>
            <sz val="9"/>
            <color rgb="FF000000"/>
            <rFont val="Tahoma"/>
            <family val="2"/>
          </rPr>
          <t>Col I</t>
        </r>
      </text>
    </comment>
    <comment ref="E6" authorId="0" shapeId="0" xr:uid="{90E335D9-160B-B94A-B65B-F2215D5BCDA7}">
      <text>
        <r>
          <rPr>
            <b/>
            <sz val="9"/>
            <color rgb="FF000000"/>
            <rFont val="Tahoma"/>
            <family val="2"/>
          </rPr>
          <t>Hp:</t>
        </r>
        <r>
          <rPr>
            <sz val="9"/>
            <color rgb="FF000000"/>
            <rFont val="Tahoma"/>
            <family val="2"/>
          </rPr>
          <t xml:space="preserve">
</t>
        </r>
        <r>
          <rPr>
            <sz val="9"/>
            <color rgb="FF000000"/>
            <rFont val="Tahoma"/>
            <family val="2"/>
          </rPr>
          <t xml:space="preserve">4L national
</t>
        </r>
        <r>
          <rPr>
            <sz val="9"/>
            <color rgb="FF000000"/>
            <rFont val="Tahoma"/>
            <family val="2"/>
          </rPr>
          <t>1L local</t>
        </r>
      </text>
    </comment>
    <comment ref="D14" authorId="1" shapeId="0" xr:uid="{D131E809-821F-404F-9B5B-EC7FF6E280BE}">
      <text>
        <t>[Threaded comment]
Your version of Excel allows you to read this threaded comment; however, any edits to it will get removed if the file is opened in a newer version of Excel. Learn more: https://go.microsoft.com/fwlink/?linkid=870924
Comment:
    Location avg rent + maint:
HQ 3.5
6 Loc: 7.5L</t>
      </text>
    </comment>
    <comment ref="D21" authorId="0" shapeId="0" xr:uid="{967935ED-0D31-B343-9B44-AC6918213487}">
      <text>
        <r>
          <rPr>
            <b/>
            <sz val="9"/>
            <color rgb="FF000000"/>
            <rFont val="Tahoma"/>
            <family val="2"/>
          </rPr>
          <t>Hp:</t>
        </r>
        <r>
          <rPr>
            <sz val="9"/>
            <color rgb="FF000000"/>
            <rFont val="Tahoma"/>
            <family val="2"/>
          </rPr>
          <t xml:space="preserve">
</t>
        </r>
        <r>
          <rPr>
            <sz val="9"/>
            <color rgb="FF000000"/>
            <rFont val="Tahoma"/>
            <family val="2"/>
          </rPr>
          <t>2L per location - packaging, ribbons etc</t>
        </r>
      </text>
    </comment>
    <comment ref="D34" authorId="0" shapeId="0" xr:uid="{7B175C5A-6006-9345-AA69-1A5F14D4DC20}">
      <text>
        <r>
          <rPr>
            <b/>
            <sz val="9"/>
            <color rgb="FF000000"/>
            <rFont val="Tahoma"/>
            <family val="2"/>
          </rPr>
          <t>Hp:</t>
        </r>
        <r>
          <rPr>
            <sz val="9"/>
            <color rgb="FF000000"/>
            <rFont val="Tahoma"/>
            <family val="2"/>
          </rPr>
          <t xml:space="preserve">
</t>
        </r>
        <r>
          <rPr>
            <sz val="9"/>
            <color rgb="FF000000"/>
            <rFont val="Tahoma"/>
            <family val="2"/>
          </rPr>
          <t xml:space="preserve">1 Rs per persons
</t>
        </r>
        <r>
          <rPr>
            <sz val="9"/>
            <color rgb="FF000000"/>
            <rFont val="Tahoma"/>
            <family val="2"/>
          </rPr>
          <t>1000 customers from restaurant and 1000 Waiu direct customers</t>
        </r>
      </text>
    </comment>
    <comment ref="E35" authorId="0" shapeId="0" xr:uid="{669FACC1-E378-CE4D-826F-9595DBEC7064}">
      <text>
        <r>
          <rPr>
            <b/>
            <sz val="9"/>
            <color rgb="FF000000"/>
            <rFont val="Tahoma"/>
            <family val="2"/>
          </rPr>
          <t>Hp:</t>
        </r>
        <r>
          <rPr>
            <sz val="9"/>
            <color rgb="FF000000"/>
            <rFont val="Tahoma"/>
            <family val="2"/>
          </rPr>
          <t xml:space="preserve">
</t>
        </r>
        <r>
          <rPr>
            <sz val="9"/>
            <color rgb="FF000000"/>
            <rFont val="Tahoma"/>
            <family val="2"/>
          </rPr>
          <t xml:space="preserve">J34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26" authorId="0" shapeId="0" xr:uid="{E9BFB17D-D8F2-254F-B950-C5AE61D86C76}">
      <text>
        <r>
          <rPr>
            <b/>
            <sz val="9"/>
            <color rgb="FF000000"/>
            <rFont val="Tahoma"/>
            <family val="2"/>
          </rPr>
          <t>Hp:</t>
        </r>
        <r>
          <rPr>
            <sz val="9"/>
            <color rgb="FF000000"/>
            <rFont val="Tahoma"/>
            <family val="2"/>
          </rPr>
          <t xml:space="preserve">
</t>
        </r>
        <r>
          <rPr>
            <sz val="9"/>
            <color rgb="FF000000"/>
            <rFont val="Tahoma"/>
            <family val="2"/>
          </rPr>
          <t>Use credit tentd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Hp</author>
    <author>tc={F8E3F821-0CC1-874C-9E55-67372711944A}</author>
  </authors>
  <commentList>
    <comment ref="E5" authorId="0" shapeId="0" xr:uid="{31F99797-62A0-9746-91B7-9084B85BEE9B}">
      <text>
        <r>
          <rPr>
            <b/>
            <sz val="9"/>
            <color rgb="FF000000"/>
            <rFont val="Tahoma"/>
            <family val="2"/>
          </rPr>
          <t>Hp:</t>
        </r>
        <r>
          <rPr>
            <sz val="9"/>
            <color rgb="FF000000"/>
            <rFont val="Tahoma"/>
            <family val="2"/>
          </rPr>
          <t xml:space="preserve">
</t>
        </r>
        <r>
          <rPr>
            <sz val="9"/>
            <color rgb="FF000000"/>
            <rFont val="Tahoma"/>
            <family val="2"/>
          </rPr>
          <t xml:space="preserve">3.5cr national
</t>
        </r>
        <r>
          <rPr>
            <sz val="9"/>
            <color rgb="FF000000"/>
            <rFont val="Tahoma"/>
            <family val="2"/>
          </rPr>
          <t>50L local</t>
        </r>
      </text>
    </comment>
    <comment ref="E6" authorId="0" shapeId="0" xr:uid="{6A72A6F3-D1B3-DA47-BC36-E2BA4DA98E93}">
      <text>
        <r>
          <rPr>
            <b/>
            <sz val="9"/>
            <color rgb="FF000000"/>
            <rFont val="Tahoma"/>
            <family val="2"/>
          </rPr>
          <t>Hp:</t>
        </r>
        <r>
          <rPr>
            <sz val="9"/>
            <color rgb="FF000000"/>
            <rFont val="Tahoma"/>
            <family val="2"/>
          </rPr>
          <t xml:space="preserve">
</t>
        </r>
        <r>
          <rPr>
            <sz val="9"/>
            <color rgb="FF000000"/>
            <rFont val="Tahoma"/>
            <family val="2"/>
          </rPr>
          <t>Col I</t>
        </r>
      </text>
    </comment>
    <comment ref="E7" authorId="0" shapeId="0" xr:uid="{5621CDFB-81AF-FF40-AFE8-FBDD4A4ACB90}">
      <text>
        <r>
          <rPr>
            <b/>
            <sz val="9"/>
            <color rgb="FF000000"/>
            <rFont val="Tahoma"/>
            <family val="2"/>
          </rPr>
          <t>Hp:</t>
        </r>
        <r>
          <rPr>
            <sz val="9"/>
            <color rgb="FF000000"/>
            <rFont val="Tahoma"/>
            <family val="2"/>
          </rPr>
          <t xml:space="preserve">
</t>
        </r>
        <r>
          <rPr>
            <sz val="9"/>
            <color rgb="FF000000"/>
            <rFont val="Tahoma"/>
            <family val="2"/>
          </rPr>
          <t xml:space="preserve">4L national
</t>
        </r>
        <r>
          <rPr>
            <sz val="9"/>
            <color rgb="FF000000"/>
            <rFont val="Tahoma"/>
            <family val="2"/>
          </rPr>
          <t>1L local</t>
        </r>
      </text>
    </comment>
    <comment ref="D15" authorId="1" shapeId="0" xr:uid="{F8E3F821-0CC1-874C-9E55-67372711944A}">
      <text>
        <t>[Threaded comment]
Your version of Excel allows you to read this threaded comment; however, any edits to it will get removed if the file is opened in a newer version of Excel. Learn more: https://go.microsoft.com/fwlink/?linkid=870924
Comment:
    Location avg rent + maint:
HQ 3.5
6 Loc: 7.5L</t>
      </text>
    </comment>
    <comment ref="D22" authorId="0" shapeId="0" xr:uid="{B529B89D-D877-394D-B00B-0BDB631580D0}">
      <text>
        <r>
          <rPr>
            <b/>
            <sz val="9"/>
            <color rgb="FF000000"/>
            <rFont val="Tahoma"/>
            <family val="2"/>
          </rPr>
          <t>Hp:</t>
        </r>
        <r>
          <rPr>
            <sz val="9"/>
            <color rgb="FF000000"/>
            <rFont val="Tahoma"/>
            <family val="2"/>
          </rPr>
          <t xml:space="preserve">
</t>
        </r>
        <r>
          <rPr>
            <sz val="9"/>
            <color rgb="FF000000"/>
            <rFont val="Tahoma"/>
            <family val="2"/>
          </rPr>
          <t>2L per location - packaging, ribbons etc</t>
        </r>
      </text>
    </comment>
    <comment ref="D35" authorId="0" shapeId="0" xr:uid="{AC9FCB08-DEE7-7849-800D-71DEA2AEEFF5}">
      <text>
        <r>
          <rPr>
            <b/>
            <sz val="9"/>
            <color rgb="FF000000"/>
            <rFont val="Tahoma"/>
            <family val="2"/>
          </rPr>
          <t>Hp:</t>
        </r>
        <r>
          <rPr>
            <sz val="9"/>
            <color rgb="FF000000"/>
            <rFont val="Tahoma"/>
            <family val="2"/>
          </rPr>
          <t xml:space="preserve">
</t>
        </r>
        <r>
          <rPr>
            <sz val="9"/>
            <color rgb="FF000000"/>
            <rFont val="Tahoma"/>
            <family val="2"/>
          </rPr>
          <t xml:space="preserve">1 Rs per persons
</t>
        </r>
        <r>
          <rPr>
            <sz val="9"/>
            <color rgb="FF000000"/>
            <rFont val="Tahoma"/>
            <family val="2"/>
          </rPr>
          <t>1000 customers from restaurant and 1000 Waiu direct customers</t>
        </r>
      </text>
    </comment>
    <comment ref="E36" authorId="0" shapeId="0" xr:uid="{7146C7FB-BB45-2740-8D9A-6AA32040AF7D}">
      <text>
        <r>
          <rPr>
            <b/>
            <sz val="9"/>
            <color rgb="FF000000"/>
            <rFont val="Tahoma"/>
            <family val="2"/>
          </rPr>
          <t>Hp:</t>
        </r>
        <r>
          <rPr>
            <sz val="9"/>
            <color rgb="FF000000"/>
            <rFont val="Tahoma"/>
            <family val="2"/>
          </rPr>
          <t xml:space="preserve">
</t>
        </r>
        <r>
          <rPr>
            <sz val="9"/>
            <color rgb="FF000000"/>
            <rFont val="Tahoma"/>
            <family val="2"/>
          </rPr>
          <t xml:space="preserve">J34
</t>
        </r>
      </text>
    </comment>
  </commentList>
</comments>
</file>

<file path=xl/sharedStrings.xml><?xml version="1.0" encoding="utf-8"?>
<sst xmlns="http://schemas.openxmlformats.org/spreadsheetml/2006/main" count="2243" uniqueCount="829">
  <si>
    <t>S. No.</t>
  </si>
  <si>
    <t>Open Query</t>
  </si>
  <si>
    <t>Andaman and Nicobar Islands</t>
  </si>
  <si>
    <t>Andhra Pradesh</t>
  </si>
  <si>
    <t>Arunachal Pradesh</t>
  </si>
  <si>
    <t>Assam</t>
  </si>
  <si>
    <t>Bihar</t>
  </si>
  <si>
    <t>Illegal</t>
  </si>
  <si>
    <t>Total ban on all alcohol since 4 April 2016[11]</t>
  </si>
  <si>
    <t>Chandigarh</t>
  </si>
  <si>
    <t>Chhattisgarh</t>
  </si>
  <si>
    <t>Dadra and Nagar Haveli and Daman and Diu</t>
  </si>
  <si>
    <t>Delhi</t>
  </si>
  <si>
    <t>Unspecified, However minimum legal age to purchase alcohol is 25.[13]</t>
  </si>
  <si>
    <t>Goa</t>
  </si>
  <si>
    <t>Gujarat</t>
  </si>
  <si>
    <r>
      <t>Non-Residents of Gujarat can apply for limited Liquor Permits. </t>
    </r>
    <r>
      <rPr>
        <sz val="11"/>
        <color rgb="FF0B0080"/>
        <rFont val="Arial"/>
        <family val="2"/>
      </rPr>
      <t>Banned since 1960</t>
    </r>
    <r>
      <rPr>
        <sz val="11"/>
        <color rgb="FF202122"/>
        <rFont val="Arial"/>
        <family val="2"/>
      </rPr>
      <t>.</t>
    </r>
    <r>
      <rPr>
        <vertAlign val="superscript"/>
        <sz val="8"/>
        <color rgb="FF0B0080"/>
        <rFont val="Arial"/>
        <family val="2"/>
      </rPr>
      <t>[15]</t>
    </r>
  </si>
  <si>
    <t>Haryana</t>
  </si>
  <si>
    <r>
      <t>The Punjab Excise Act, which also extends to Haryana, prohibits establishments from employing "women in any part of such premises in which such liquor or intoxicating drug is consumed by the public".</t>
    </r>
    <r>
      <rPr>
        <vertAlign val="superscript"/>
        <sz val="8"/>
        <color rgb="FF0B0080"/>
        <rFont val="Arial"/>
        <family val="2"/>
      </rPr>
      <t>[16]</t>
    </r>
    <r>
      <rPr>
        <sz val="11"/>
        <color rgb="FF202122"/>
        <rFont val="Arial"/>
        <family val="2"/>
      </rPr>
      <t> Section 30 of the Punjab Excise Act has been declared unconstitutional by the Supreme Court of India on 12 December 2007, which was responsible for not allowing women to work in such premises.</t>
    </r>
    <r>
      <rPr>
        <vertAlign val="superscript"/>
        <sz val="8"/>
        <color rgb="FF0B0080"/>
        <rFont val="Arial"/>
        <family val="2"/>
      </rPr>
      <t>[17]</t>
    </r>
  </si>
  <si>
    <t>Himachal Pradesh</t>
  </si>
  <si>
    <t>Jammu and Kashmir</t>
  </si>
  <si>
    <t>Jharkhand</t>
  </si>
  <si>
    <t>Karnataka</t>
  </si>
  <si>
    <r>
      <t>Arrack</t>
    </r>
    <r>
      <rPr>
        <sz val="11"/>
        <color rgb="FF202122"/>
        <rFont val="Arial"/>
        <family val="2"/>
      </rPr>
      <t> has been banned in Karnataka since 1 July 2007.</t>
    </r>
    <r>
      <rPr>
        <vertAlign val="superscript"/>
        <sz val="8"/>
        <color rgb="FF0B0080"/>
        <rFont val="Arial"/>
        <family val="2"/>
      </rPr>
      <t>[23][24]</t>
    </r>
    <r>
      <rPr>
        <sz val="11"/>
        <color rgb="FF202122"/>
        <rFont val="Arial"/>
        <family val="2"/>
      </rPr>
      <t> The Karanataka Excise Department, 1967, stipulate that </t>
    </r>
    <r>
      <rPr>
        <i/>
        <sz val="11"/>
        <color rgb="FF202122"/>
        <rFont val="Arial"/>
        <family val="2"/>
      </rPr>
      <t>drinking</t>
    </r>
    <r>
      <rPr>
        <sz val="11"/>
        <color rgb="FF202122"/>
        <rFont val="Arial"/>
        <family val="2"/>
      </rPr>
      <t> age is 21. However, the Karnataka Excise Act, 1965, states 18 as the minimum age to </t>
    </r>
    <r>
      <rPr>
        <i/>
        <sz val="11"/>
        <color rgb="FF202122"/>
        <rFont val="Arial"/>
        <family val="2"/>
      </rPr>
      <t>purchase</t>
    </r>
    <r>
      <rPr>
        <sz val="11"/>
        <color rgb="FF202122"/>
        <rFont val="Arial"/>
        <family val="2"/>
      </rPr>
      <t> alcohol. The law is ambiguous and in practise many bars serve those above age 18 though a few bars refuse service to anyone below 21. </t>
    </r>
    <r>
      <rPr>
        <vertAlign val="superscript"/>
        <sz val="8"/>
        <color rgb="FF0B0080"/>
        <rFont val="Arial"/>
        <family val="2"/>
      </rPr>
      <t>[25][26]</t>
    </r>
  </si>
  <si>
    <t>Kerala</t>
  </si>
  <si>
    <r>
      <t>Kerala government has planned to implement prohibition of hard liquor in 10 years.</t>
    </r>
    <r>
      <rPr>
        <vertAlign val="superscript"/>
        <sz val="8"/>
        <color rgb="FF0B0080"/>
        <rFont val="Arial"/>
        <family val="2"/>
      </rPr>
      <t>[28][3]</t>
    </r>
  </si>
  <si>
    <t>Ladakh</t>
  </si>
  <si>
    <t>Lakshadweep</t>
  </si>
  <si>
    <r>
      <t>Illegal</t>
    </r>
    <r>
      <rPr>
        <vertAlign val="superscript"/>
        <sz val="8"/>
        <color rgb="FF0B0080"/>
        <rFont val="Arial"/>
        <family val="2"/>
      </rPr>
      <t>[10]</t>
    </r>
  </si>
  <si>
    <r>
      <t>Consumption is legal only on the resort island of </t>
    </r>
    <r>
      <rPr>
        <sz val="11"/>
        <color rgb="FF0B0080"/>
        <rFont val="Arial"/>
        <family val="2"/>
      </rPr>
      <t>Bangaram</t>
    </r>
    <r>
      <rPr>
        <sz val="11"/>
        <color rgb="FF202122"/>
        <rFont val="Arial"/>
        <family val="2"/>
      </rPr>
      <t>.</t>
    </r>
    <r>
      <rPr>
        <vertAlign val="superscript"/>
        <sz val="8"/>
        <color rgb="FF0B0080"/>
        <rFont val="Arial"/>
        <family val="2"/>
      </rPr>
      <t>[30]</t>
    </r>
  </si>
  <si>
    <t>Madhya Pradesh</t>
  </si>
  <si>
    <t>Maharashtra</t>
  </si>
  <si>
    <r>
      <t>In Maharashtra, a liquor licence obtained from a Government Civil Hospital is required to drink, although this is largely not enforced. Additionally, state legislature empowers district governments to ban alcohol entirely. As a result, three districts, </t>
    </r>
    <r>
      <rPr>
        <sz val="11"/>
        <color rgb="FF0B0080"/>
        <rFont val="Arial"/>
        <family val="2"/>
      </rPr>
      <t>Wardha</t>
    </r>
    <r>
      <rPr>
        <sz val="11"/>
        <color rgb="FF202122"/>
        <rFont val="Arial"/>
        <family val="2"/>
      </rPr>
      <t>, </t>
    </r>
    <r>
      <rPr>
        <sz val="11"/>
        <color rgb="FF0B0080"/>
        <rFont val="Arial"/>
        <family val="2"/>
      </rPr>
      <t>Gadchiroli</t>
    </r>
    <r>
      <rPr>
        <sz val="11"/>
        <color rgb="FF202122"/>
        <rFont val="Arial"/>
        <family val="2"/>
      </rPr>
      <t> and </t>
    </r>
    <r>
      <rPr>
        <sz val="11"/>
        <color rgb="FF0B0080"/>
        <rFont val="Arial"/>
        <family val="2"/>
      </rPr>
      <t>Chandrapur</t>
    </r>
    <r>
      <rPr>
        <sz val="11"/>
        <color rgb="FF202122"/>
        <rFont val="Arial"/>
        <family val="2"/>
      </rPr>
      <t> have imposed a total ban on the production and sale of alcohol.</t>
    </r>
  </si>
  <si>
    <t>Manipur</t>
  </si>
  <si>
    <r>
      <t>Partial prohibition since 2002, prohibited in the districts of </t>
    </r>
    <r>
      <rPr>
        <sz val="11"/>
        <color rgb="FF0B0080"/>
        <rFont val="Arial"/>
        <family val="2"/>
      </rPr>
      <t>Bishnupur</t>
    </r>
    <r>
      <rPr>
        <sz val="11"/>
        <color rgb="FF202122"/>
        <rFont val="Arial"/>
        <family val="2"/>
      </rPr>
      <t>, </t>
    </r>
    <r>
      <rPr>
        <sz val="11"/>
        <color rgb="FF0B0080"/>
        <rFont val="Arial"/>
        <family val="2"/>
      </rPr>
      <t>Imphal East</t>
    </r>
    <r>
      <rPr>
        <sz val="11"/>
        <color rgb="FF202122"/>
        <rFont val="Arial"/>
        <family val="2"/>
      </rPr>
      <t>, </t>
    </r>
    <r>
      <rPr>
        <sz val="11"/>
        <color rgb="FF0B0080"/>
        <rFont val="Arial"/>
        <family val="2"/>
      </rPr>
      <t>Imphal West</t>
    </r>
    <r>
      <rPr>
        <sz val="11"/>
        <color rgb="FF202122"/>
        <rFont val="Arial"/>
        <family val="2"/>
      </rPr>
      <t> and </t>
    </r>
    <r>
      <rPr>
        <sz val="11"/>
        <color rgb="FF0B0080"/>
        <rFont val="Arial"/>
        <family val="2"/>
      </rPr>
      <t>Thoubal</t>
    </r>
    <r>
      <rPr>
        <vertAlign val="superscript"/>
        <sz val="8"/>
        <color rgb="FF0B0080"/>
        <rFont val="Arial"/>
        <family val="2"/>
      </rPr>
      <t>[32]</t>
    </r>
  </si>
  <si>
    <t>Meghalaya</t>
  </si>
  <si>
    <t>Mizoram</t>
  </si>
  <si>
    <t>Illegal[34]</t>
  </si>
  <si>
    <t>Banned since 2019[35]</t>
  </si>
  <si>
    <t>Nagaland</t>
  </si>
  <si>
    <r>
      <t>Illegal</t>
    </r>
    <r>
      <rPr>
        <vertAlign val="superscript"/>
        <sz val="8"/>
        <color rgb="FF0B0080"/>
        <rFont val="Arial"/>
        <family val="2"/>
      </rPr>
      <t>[2]</t>
    </r>
  </si>
  <si>
    <t>Sale and consumption illegal since 1989.[36]</t>
  </si>
  <si>
    <t>Odisha</t>
  </si>
  <si>
    <t>Puducherry</t>
  </si>
  <si>
    <t>Punjab</t>
  </si>
  <si>
    <r>
      <t>The Punjab Excise Act prohibits establishments from employing "women in any part of such premises in which such liquor or intoxicating drug is consumed by the public".</t>
    </r>
    <r>
      <rPr>
        <vertAlign val="superscript"/>
        <sz val="8"/>
        <color rgb="FF0B0080"/>
        <rFont val="Arial"/>
        <family val="2"/>
      </rPr>
      <t>[16]</t>
    </r>
    <r>
      <rPr>
        <sz val="11"/>
        <color rgb="FF202122"/>
        <rFont val="Arial"/>
        <family val="2"/>
      </rPr>
      <t> Section 30 of the Punjab Excise Act has been declared unconstitutional by the Supreme Court of India on 12 December 2007, which was responsible for not allowing women to work in such premises.</t>
    </r>
    <r>
      <rPr>
        <vertAlign val="superscript"/>
        <sz val="8"/>
        <color rgb="FF0B0080"/>
        <rFont val="Arial"/>
        <family val="2"/>
      </rPr>
      <t>[17]</t>
    </r>
  </si>
  <si>
    <t>Rajasthan</t>
  </si>
  <si>
    <t>Sikkim</t>
  </si>
  <si>
    <t>Tamil Nadu</t>
  </si>
  <si>
    <t>Telangana</t>
  </si>
  <si>
    <t>Tripura</t>
  </si>
  <si>
    <t>Uttar Pradesh</t>
  </si>
  <si>
    <t>Section 22 [41]</t>
  </si>
  <si>
    <t>Uttarakhand</t>
  </si>
  <si>
    <t>West Bengal</t>
  </si>
  <si>
    <t>dd</t>
  </si>
  <si>
    <t>21 (beer) 25 (others)</t>
  </si>
  <si>
    <t>State</t>
  </si>
  <si>
    <t>Legal Drinking Age</t>
  </si>
  <si>
    <t>Comments</t>
  </si>
  <si>
    <t>Products for each age range to be defined</t>
  </si>
  <si>
    <t>What pain areas are we removing</t>
  </si>
  <si>
    <t>What is in it fo FL4</t>
  </si>
  <si>
    <t>What is in it fo FL3</t>
  </si>
  <si>
    <t>Finalize features of the FL3</t>
  </si>
  <si>
    <t>Finalize features of the FL4</t>
  </si>
  <si>
    <t>Geographic scope pf launch &amp; expansion</t>
  </si>
  <si>
    <t>FL3 selection criteria</t>
  </si>
  <si>
    <t>Future need</t>
  </si>
  <si>
    <t>FL3 upgrade criteria &amp; approach</t>
  </si>
  <si>
    <t>Delivery module features</t>
  </si>
  <si>
    <t>Delivery costing &amp; expectations</t>
  </si>
  <si>
    <t>Gaming &amp; probably another alternative?</t>
  </si>
  <si>
    <t>Earning model</t>
  </si>
  <si>
    <t>Point estimation for FL4 (min/max)</t>
  </si>
  <si>
    <t>Point estimation for FL3 (min/max)</t>
  </si>
  <si>
    <t>Finalize privacy control for each service</t>
  </si>
  <si>
    <t>Decision on membership tiers &amp; respective features</t>
  </si>
  <si>
    <t>Value per point decision</t>
  </si>
  <si>
    <t>Need to define signup targets (FL3/FL4)</t>
  </si>
  <si>
    <t>Identify top FL3s for each location per scope</t>
  </si>
  <si>
    <t>Define prospect to win ratio</t>
  </si>
  <si>
    <t>Decision needed on patent  - Go/No-Go</t>
  </si>
  <si>
    <t>Copyright plan</t>
  </si>
  <si>
    <t xml:space="preserve">Value per point decision, bonus pointing, </t>
  </si>
  <si>
    <t>Who to use for branding</t>
  </si>
  <si>
    <t>Goodle hangout concept</t>
  </si>
  <si>
    <t>Future consideration</t>
  </si>
  <si>
    <t>Budgeting</t>
  </si>
  <si>
    <t>Need Capex, Opex numbers</t>
  </si>
  <si>
    <t>How to simulate or do a usability study?</t>
  </si>
  <si>
    <t>Milestone bases timelines or time boxed milestones?</t>
  </si>
  <si>
    <t>Survey?</t>
  </si>
  <si>
    <t>Devil's advocate</t>
  </si>
  <si>
    <t>Why the app wont click? What are the weaknesses in it?</t>
  </si>
  <si>
    <t>How to drive coolness quotient of the app</t>
  </si>
  <si>
    <t>How to let friends bday be flagged</t>
  </si>
  <si>
    <t>Based on phone number or facebook connection?</t>
  </si>
  <si>
    <t>Finer elements</t>
  </si>
  <si>
    <t>Identify products &amp; segregate</t>
  </si>
  <si>
    <t>Look at each data field &amp; decide need to have</t>
  </si>
  <si>
    <t>Should we employ 3rd parties for Privacy &amp; security e.g. Sudesi, HackerOne?</t>
  </si>
  <si>
    <t>Artist registration to be proposed for events</t>
  </si>
  <si>
    <t>parallel need, can rent to others as well</t>
  </si>
  <si>
    <t>Notes</t>
  </si>
  <si>
    <t>Define all offers &amp; discounts on both sharing &amp; offers</t>
  </si>
  <si>
    <t>Keep it generic for now, regardless of age group
Existing features of sharing, offerring, chati, event org is enough for now</t>
  </si>
  <si>
    <t>Bonus for regular users, initial launch offers
define where to do what</t>
  </si>
  <si>
    <t>Event artist &amp; organizer registration</t>
  </si>
  <si>
    <t>3 day turnaround once ready</t>
  </si>
  <si>
    <t>Testing</t>
  </si>
  <si>
    <t>Rahul patil</t>
  </si>
  <si>
    <t>Gaming/chatting</t>
  </si>
  <si>
    <t>Raju patil</t>
  </si>
  <si>
    <t>UPI/Payment</t>
  </si>
  <si>
    <t>Sharing/Offer</t>
  </si>
  <si>
    <t>Another person</t>
  </si>
  <si>
    <t>Delivery module</t>
  </si>
  <si>
    <t>To someone</t>
  </si>
  <si>
    <t xml:space="preserve">Login to FL3, Menu edit, open for delivery, 
Cash on delivery?? Delivery time 40 mins hard SLA
FL4: Usual
FL3 - Punch a time and accept order, cook, start delivery, give tracking, phone discreet calling, feedback, quality &amp; standard agreement, SOP, courier to use minimum services from the app
branding - 
rating - 
association - </t>
  </si>
  <si>
    <t>Office space?</t>
  </si>
  <si>
    <t>Localization</t>
  </si>
  <si>
    <t>Delivery service, offer, event, providing artists, display, accounting service (wallet mgmt, payments by sharing/offer), dashboard, web based data extract,
Menu upload, editable food pricing, switch on/off, customer checkin, token service, yearly licence extension check, automated dry day notification (for admin too) - published on 1st April</t>
  </si>
  <si>
    <t>How to blacklist or stop serving from a suspended FL3</t>
  </si>
  <si>
    <t xml:space="preserve">Alok to fill &amp; share </t>
  </si>
  <si>
    <t>Related to monetization</t>
  </si>
  <si>
    <t>Metros &amp; cosmopolitans,</t>
  </si>
  <si>
    <t>No accredition process</t>
  </si>
  <si>
    <t>Breakdown by profit centers</t>
  </si>
  <si>
    <t>tbc</t>
  </si>
  <si>
    <t>need study</t>
  </si>
  <si>
    <t>30%?</t>
  </si>
  <si>
    <t>Raju Patil, Rahul Patil</t>
  </si>
  <si>
    <t>Information needed to raise it?</t>
  </si>
  <si>
    <t>survey?</t>
  </si>
  <si>
    <t xml:space="preserve">Product note by 15th June, then finalize the company (10 days), app 2 month, </t>
  </si>
  <si>
    <t>90 days launch target starting 13th June: 9 Sep</t>
  </si>
  <si>
    <t>Registration</t>
  </si>
  <si>
    <t>S. no.</t>
  </si>
  <si>
    <t>Activity</t>
  </si>
  <si>
    <t>Dependency</t>
  </si>
  <si>
    <t>Capital ratio decision</t>
  </si>
  <si>
    <t>Description</t>
  </si>
  <si>
    <t>VC aspect</t>
  </si>
  <si>
    <t>Need stats on quantum of business
Reserves needed for 1 year?</t>
  </si>
  <si>
    <t>Display aspect closure</t>
  </si>
  <si>
    <t>Logo, name, theme, vision, mission</t>
  </si>
  <si>
    <t>Formation</t>
  </si>
  <si>
    <t>Costing</t>
  </si>
  <si>
    <t>IT</t>
  </si>
  <si>
    <t>Admin</t>
  </si>
  <si>
    <r>
      <t xml:space="preserve">FL4 Reg:
- Self:    
- Share: 
- Offer:  
</t>
    </r>
    <r>
      <rPr>
        <sz val="11"/>
        <color rgb="FFFF0000"/>
        <rFont val="Calibri"/>
        <family val="2"/>
        <scheme val="minor"/>
      </rPr>
      <t>Point sharing costing?</t>
    </r>
    <r>
      <rPr>
        <sz val="11"/>
        <color theme="1"/>
        <rFont val="Calibri"/>
        <family val="2"/>
        <scheme val="minor"/>
      </rPr>
      <t xml:space="preserve">
FL3 Reg:
- </t>
    </r>
  </si>
  <si>
    <t>Coverage</t>
  </si>
  <si>
    <r>
      <t xml:space="preserve">
FL3: </t>
    </r>
    <r>
      <rPr>
        <sz val="11"/>
        <color rgb="FFFF0000"/>
        <rFont val="Calibri"/>
        <family val="2"/>
        <scheme val="minor"/>
      </rPr>
      <t>Rough count of FL3 by city</t>
    </r>
    <r>
      <rPr>
        <sz val="11"/>
        <color theme="1"/>
        <rFont val="Calibri"/>
        <family val="2"/>
        <scheme val="minor"/>
      </rPr>
      <t xml:space="preserve">
Baseline: Pune - 2200 FL3 (1600 city area)
Restaurants selected for BS: 30% (480-500)
Phase 1 (6 months): 10% = 50 (weekly 3)
P2: 
FL4: 
Phase 1: 
</t>
    </r>
    <r>
      <rPr>
        <sz val="11"/>
        <color rgb="FFFF0000"/>
        <rFont val="Calibri"/>
        <family val="2"/>
        <scheme val="minor"/>
      </rPr>
      <t xml:space="preserve">Delivery?
</t>
    </r>
  </si>
  <si>
    <t>Based on turnover (e.g. 3cr/y in KOP), rating (dineout/zomato)
seating capacity, lounge (y/n), FSSAI rating?, existing FL4 for the FL3 &gt;5k</t>
  </si>
  <si>
    <t>Sale</t>
  </si>
  <si>
    <t>Drink cost</t>
  </si>
  <si>
    <t>Customer count</t>
  </si>
  <si>
    <t>Existing FL3s 15% customer are retained of which we will target 25% i.e. 3.75% of total customers
Of the remaining 85%, we will target 10% i.e. 8.5% of total.
i.e. 12.25% Of their customer can be BS customers</t>
  </si>
  <si>
    <t>Total customer 10000</t>
  </si>
  <si>
    <t>Total sale</t>
  </si>
  <si>
    <t>Our earning 74%</t>
  </si>
  <si>
    <t>Sharing</t>
  </si>
  <si>
    <t>Delivery (10% customers)</t>
  </si>
  <si>
    <t>Offer 5%</t>
  </si>
  <si>
    <t>Average bill</t>
  </si>
  <si>
    <t>Total</t>
  </si>
  <si>
    <t>5% BS earning</t>
  </si>
  <si>
    <t>Total per FL3</t>
  </si>
  <si>
    <t>Pune</t>
  </si>
  <si>
    <t>Earning during firs 6 month is ignored</t>
  </si>
  <si>
    <t>Bangalore</t>
  </si>
  <si>
    <t>Delhi/NCR</t>
  </si>
  <si>
    <t>Chennai</t>
  </si>
  <si>
    <t>10 city</t>
  </si>
  <si>
    <t>Growth 10% FL3 acquisition i.e. 3 per city</t>
  </si>
  <si>
    <t xml:space="preserve">5 per city per month </t>
  </si>
  <si>
    <t>30 FL3 per phase (5 more phases after initial phase)</t>
  </si>
  <si>
    <t>50 FL3</t>
  </si>
  <si>
    <t>50 FL3 in each city</t>
  </si>
  <si>
    <t>150 more after 5 phase</t>
  </si>
  <si>
    <t>200 after 3 years per city</t>
  </si>
  <si>
    <t>Total earning per month after Phase 1 i.e after 6 month
Total customer 1437~ 1400</t>
  </si>
  <si>
    <t>per person/per month</t>
  </si>
  <si>
    <t>Customer in pune - 200*1400 = 2.8L= 5% of population</t>
  </si>
  <si>
    <t>10 city 28L</t>
  </si>
  <si>
    <t>per month</t>
  </si>
  <si>
    <t>Capex</t>
  </si>
  <si>
    <t>App</t>
  </si>
  <si>
    <t>opex</t>
  </si>
  <si>
    <t>Maintenance</t>
  </si>
  <si>
    <t>Aadhaar</t>
  </si>
  <si>
    <t>Customer care</t>
  </si>
  <si>
    <t>App admin</t>
  </si>
  <si>
    <t>1.5</t>
  </si>
  <si>
    <t>Receptionist</t>
  </si>
  <si>
    <t>Accountant</t>
  </si>
  <si>
    <t>Business Development Manager</t>
  </si>
  <si>
    <t>Sales team?</t>
  </si>
  <si>
    <t>Infra</t>
  </si>
  <si>
    <r>
      <t xml:space="preserve">Delivery: 5%
Redemption(Self/Share):
4% - BS
10% - FL4: Cashback points
15% - FL3: 
71% : FL3 expense
Offer (200% cost):
1st 100% : Same as above except no cashback to FL4
So here BS gets extra 10%
2nd 100%:
60% - BS
40% - FL3
Total:
BS: 74%
FL3: 55%
</t>
    </r>
    <r>
      <rPr>
        <b/>
        <u/>
        <sz val="11"/>
        <color theme="1"/>
        <rFont val="Calibri"/>
        <family val="2"/>
        <scheme val="minor"/>
      </rPr>
      <t>Delivery FL3 needs to accept BS as well</t>
    </r>
  </si>
  <si>
    <r>
      <rPr>
        <b/>
        <sz val="11"/>
        <color theme="1"/>
        <rFont val="Calibri"/>
        <family val="2"/>
        <scheme val="minor"/>
      </rPr>
      <t xml:space="preserve">Restaurant </t>
    </r>
    <r>
      <rPr>
        <sz val="11"/>
        <color theme="1"/>
        <rFont val="Calibri"/>
        <family val="2"/>
        <scheme val="minor"/>
      </rPr>
      <t>Material 50%
Tax  7%
Admin  7%
Light  3%
Salary  4%
Total: 71%</t>
    </r>
  </si>
  <si>
    <r>
      <rPr>
        <b/>
        <u/>
        <sz val="11"/>
        <color theme="1"/>
        <rFont val="Calibri"/>
        <family val="2"/>
        <scheme val="minor"/>
      </rPr>
      <t>Restaurant Expenses:</t>
    </r>
    <r>
      <rPr>
        <sz val="11"/>
        <color theme="1"/>
        <rFont val="Calibri"/>
        <family val="2"/>
        <scheme val="minor"/>
      </rPr>
      <t xml:space="preserve">
Inventory 50%
Tax  7%
Admin  7%
Light  3%
Salary  4%
</t>
    </r>
    <r>
      <rPr>
        <b/>
        <sz val="11"/>
        <color rgb="FF0070C0"/>
        <rFont val="Calibri"/>
        <family val="2"/>
        <scheme val="minor"/>
      </rPr>
      <t>Total: 71%</t>
    </r>
    <r>
      <rPr>
        <sz val="11"/>
        <color theme="1"/>
        <rFont val="Calibri"/>
        <family val="2"/>
        <scheme val="minor"/>
      </rPr>
      <t xml:space="preserve">
</t>
    </r>
    <r>
      <rPr>
        <b/>
        <u/>
        <sz val="11"/>
        <color theme="1"/>
        <rFont val="Calibri"/>
        <family val="2"/>
        <scheme val="minor"/>
      </rPr>
      <t>Profit: 29%</t>
    </r>
  </si>
  <si>
    <t>High Level Budgeting</t>
  </si>
  <si>
    <r>
      <t xml:space="preserve">FL3: </t>
    </r>
    <r>
      <rPr>
        <sz val="11"/>
        <color rgb="FFFF0000"/>
        <rFont val="Calibri"/>
        <family val="2"/>
        <scheme val="minor"/>
      </rPr>
      <t>Rough count of FL3 by city</t>
    </r>
    <r>
      <rPr>
        <sz val="11"/>
        <color theme="1"/>
        <rFont val="Calibri"/>
        <family val="2"/>
        <scheme val="minor"/>
      </rPr>
      <t xml:space="preserve">
Baseline: Pune - 2200 FL3 (1600 city area)
Restaurants selected for BS: 30% (480-500)
Phase 1 (6 months): 10% = 50 (weekly 3)
Next phases: 5 new FL3 per month</t>
    </r>
  </si>
  <si>
    <r>
      <rPr>
        <sz val="11"/>
        <color rgb="FFFF0000"/>
        <rFont val="Calibri"/>
        <family val="2"/>
        <scheme val="minor"/>
      </rPr>
      <t>Existing FL4 customer per FL3: 10,000</t>
    </r>
    <r>
      <rPr>
        <sz val="11"/>
        <color theme="1"/>
        <rFont val="Calibri"/>
        <family val="2"/>
        <scheme val="minor"/>
      </rPr>
      <t xml:space="preserve">
15% customers are retained by FL3 on an average
BS will target 25% i.e. 375 customers 
Of the remaining 85%, we will target 10% i.e. 850  total.
Total: 1225 customer per FL3 of 10k base = 12.25%</t>
    </r>
  </si>
  <si>
    <t>Offer FL4 = 5%</t>
  </si>
  <si>
    <t>Sharing FL4 = All</t>
  </si>
  <si>
    <t>BS customers</t>
  </si>
  <si>
    <t>Per sale costs assuming once per month</t>
  </si>
  <si>
    <t>BS based sale cost for each FL3</t>
  </si>
  <si>
    <t>FL3 share 15%</t>
  </si>
  <si>
    <t>FL4 share 10%</t>
  </si>
  <si>
    <t>BS share 4%</t>
  </si>
  <si>
    <t>Our earning 37%</t>
  </si>
  <si>
    <r>
      <rPr>
        <b/>
        <sz val="11"/>
        <color theme="1"/>
        <rFont val="Calibri"/>
        <family val="2"/>
        <scheme val="minor"/>
      </rPr>
      <t>Delivery: 5%</t>
    </r>
    <r>
      <rPr>
        <sz val="11"/>
        <color theme="1"/>
        <rFont val="Calibri"/>
        <family val="2"/>
        <scheme val="minor"/>
      </rPr>
      <t xml:space="preserve">
</t>
    </r>
    <r>
      <rPr>
        <b/>
        <sz val="11"/>
        <color theme="1"/>
        <rFont val="Calibri"/>
        <family val="2"/>
        <scheme val="minor"/>
      </rPr>
      <t xml:space="preserve">
Redemption(Self/Share):</t>
    </r>
    <r>
      <rPr>
        <sz val="11"/>
        <color theme="1"/>
        <rFont val="Calibri"/>
        <family val="2"/>
        <scheme val="minor"/>
      </rPr>
      <t xml:space="preserve">
4% - BS
10% - FL4: Cashback points
15% - FL3: 
71% : FL3 expense
</t>
    </r>
    <r>
      <rPr>
        <b/>
        <sz val="11"/>
        <color theme="1"/>
        <rFont val="Calibri"/>
        <family val="2"/>
        <scheme val="minor"/>
      </rPr>
      <t>Offer (200% cost):</t>
    </r>
    <r>
      <rPr>
        <sz val="11"/>
        <color theme="1"/>
        <rFont val="Calibri"/>
        <family val="2"/>
        <scheme val="minor"/>
      </rPr>
      <t xml:space="preserve">
1st 100% : Same as above, but no cashback to FL4 so BS gets extra 10%
2nd 100%: 60% - BS,  40% - FL3
Total: BS: 74%, FL3: 55% of original value 250
i.e 37% of Total sale value of 500
</t>
    </r>
    <r>
      <rPr>
        <b/>
        <u/>
        <sz val="11"/>
        <color theme="1"/>
        <rFont val="Calibri"/>
        <family val="2"/>
        <scheme val="minor"/>
      </rPr>
      <t xml:space="preserve">Delivery FL3 needs to accept BS as well </t>
    </r>
  </si>
  <si>
    <t>Changed from 750 per bill</t>
  </si>
  <si>
    <t xml:space="preserve">Delivery 10% </t>
  </si>
  <si>
    <t>Per month</t>
  </si>
  <si>
    <t>Acquisition in first 6 months - 50</t>
  </si>
  <si>
    <t>About 100 Rs
per customer, per month</t>
  </si>
  <si>
    <t>Earning during first 6 month is ignored as it might entirely go into maintenance</t>
  </si>
  <si>
    <t>So assumes customer went only to one FL3 in entire month</t>
  </si>
  <si>
    <t>National earning per month</t>
  </si>
  <si>
    <t>5 per city per month 
30 FL3 per phase (5 more phases after initial phase)</t>
  </si>
  <si>
    <t>150 more after all phases</t>
  </si>
  <si>
    <t xml:space="preserve">Therefore total 200 FLA per city after 3 years </t>
  </si>
  <si>
    <t>4 times earlining with one FL3</t>
  </si>
  <si>
    <t>Customers in 10 cities = 28L</t>
  </si>
  <si>
    <t>Opex</t>
  </si>
  <si>
    <t>With existing FL3 customer only</t>
  </si>
  <si>
    <t>Average regular customers - 15%</t>
  </si>
  <si>
    <t>Total customer target per FL3</t>
  </si>
  <si>
    <t>Average per sale spend per month</t>
  </si>
  <si>
    <t>Monthly sale value</t>
  </si>
  <si>
    <t>Total earning per month after 6 months 
Total customer per FL3 = 1225
Total customer in Pune = 1225*50= 61250</t>
  </si>
  <si>
    <t>Customer in pune - 1225*200 = 245000L= 3% of population</t>
  </si>
  <si>
    <t>Revenue Category &amp; Phases</t>
  </si>
  <si>
    <t>Details</t>
  </si>
  <si>
    <t>Average Customers per FL3</t>
  </si>
  <si>
    <t>Assuming 3 years old business</t>
  </si>
  <si>
    <t>Minimum target for FL4 Customers Per FL3</t>
  </si>
  <si>
    <t>Total Earning Per FL3 Per Month</t>
  </si>
  <si>
    <t>Advertising</t>
  </si>
  <si>
    <t>Raw materials</t>
  </si>
  <si>
    <t>License or equivalent fees (such as Corporation yearly registration fees) imposed by a government</t>
  </si>
  <si>
    <t>Real estate expenses, including</t>
  </si>
  <si>
    <t>Office space rent</t>
  </si>
  <si>
    <t>furniture and equipment</t>
  </si>
  <si>
    <t>property taxes and equivalent assessments</t>
  </si>
  <si>
    <t>Operations taxes, such as fees assessed on transportation carriers for use of highways</t>
  </si>
  <si>
    <t>Fuel costs such as power for operations, fuel for production</t>
  </si>
  <si>
    <t>Public Utilities such as telephone service, Internet connectivity, etc.</t>
  </si>
  <si>
    <t>Maintenance of equipment</t>
  </si>
  <si>
    <t>Office supplies and consumables</t>
  </si>
  <si>
    <t>Insurance premium</t>
  </si>
  <si>
    <t>Depreciation of equipment and eventual replacement costs (unless the facility has no moving parts it probably will wear out eventually)</t>
  </si>
  <si>
    <t>Taxes on production or operation (such as subsidence fees imposed on oil wells)</t>
  </si>
  <si>
    <t>Income taxes</t>
  </si>
  <si>
    <t>Vehicle</t>
  </si>
  <si>
    <r>
      <t>Salaries</t>
    </r>
    <r>
      <rPr>
        <sz val="11"/>
        <rFont val="Arial"/>
        <family val="2"/>
      </rPr>
      <t> or Wages of personnel</t>
    </r>
  </si>
  <si>
    <r>
      <t>Rent</t>
    </r>
    <r>
      <rPr>
        <sz val="11"/>
        <rFont val="Arial"/>
        <family val="2"/>
      </rPr>
      <t> or Lease payments</t>
    </r>
  </si>
  <si>
    <r>
      <t>Damage due to uninsured losses, </t>
    </r>
    <r>
      <rPr>
        <sz val="11"/>
        <rFont val="Arial"/>
        <family val="2"/>
      </rPr>
      <t>accident, sabotage, negligence, terrorism and routine wear and tear.</t>
    </r>
  </si>
  <si>
    <t>Payment vendor costs</t>
  </si>
  <si>
    <t>SMS integration - Twilio</t>
  </si>
  <si>
    <t>Email</t>
  </si>
  <si>
    <t>Server</t>
  </si>
  <si>
    <t>Storage</t>
  </si>
  <si>
    <t>Cloud</t>
  </si>
  <si>
    <t>Location based content - CDN</t>
  </si>
  <si>
    <t>Imaging software</t>
  </si>
  <si>
    <t>iOS &amp; Andriod release &amp; patches</t>
  </si>
  <si>
    <t>Chat</t>
  </si>
  <si>
    <t>Dev tools</t>
  </si>
  <si>
    <t>API</t>
  </si>
  <si>
    <t>Legal</t>
  </si>
  <si>
    <t>Sales</t>
  </si>
  <si>
    <t>45% of the features on an app are never used</t>
  </si>
  <si>
    <t>Wifi</t>
  </si>
  <si>
    <t>Per city</t>
  </si>
  <si>
    <t>Customer care - Phone, email</t>
  </si>
  <si>
    <t>Manager</t>
  </si>
  <si>
    <t>Monthly</t>
  </si>
  <si>
    <t>Desktop, laptop</t>
  </si>
  <si>
    <t>Type of cost</t>
  </si>
  <si>
    <t>Count</t>
  </si>
  <si>
    <t>Rate</t>
  </si>
  <si>
    <t>Email, Microsoft suite, other softwares</t>
  </si>
  <si>
    <t>Public Utilities such as telephone service, Internet connectivity, mobile cost</t>
  </si>
  <si>
    <t>Manager / HR</t>
  </si>
  <si>
    <t>S.No.</t>
  </si>
  <si>
    <t>A</t>
  </si>
  <si>
    <t>D</t>
  </si>
  <si>
    <t>App Development</t>
  </si>
  <si>
    <t>License or equivalent fees GST, LLP reg, bank acc, shopact 3 yr, msme reg, PMC lic</t>
  </si>
  <si>
    <t>Office space rent - conf/mtg room, cust cr, reception, manager, BDM/sales, admin, owner</t>
  </si>
  <si>
    <t>Billdesk</t>
  </si>
  <si>
    <t>CSR 2% for turnover above 200CR</t>
  </si>
  <si>
    <t>Fuel costs such as electricity, backup</t>
  </si>
  <si>
    <t>Legal - IP/competition law/exclusivity agreement/advert/privacy/consultancy/business model</t>
  </si>
  <si>
    <t>Legal - consultancy</t>
  </si>
  <si>
    <t>Branding products - Packaging, stickers, flyer</t>
  </si>
  <si>
    <t>E</t>
  </si>
  <si>
    <t>Income tax 30%</t>
  </si>
  <si>
    <t>Business Development Manager - Contract signing</t>
  </si>
  <si>
    <t>F</t>
  </si>
  <si>
    <t>G</t>
  </si>
  <si>
    <t>H</t>
  </si>
  <si>
    <t>I</t>
  </si>
  <si>
    <t>?</t>
  </si>
  <si>
    <t>Per month per fl3</t>
  </si>
  <si>
    <t>FL4 share 8%</t>
  </si>
  <si>
    <t>FL3 share 14%</t>
  </si>
  <si>
    <t>BS share 7%</t>
  </si>
  <si>
    <t>Expenses 1</t>
  </si>
  <si>
    <t>Net Earning</t>
  </si>
  <si>
    <t>Earning - Expense</t>
  </si>
  <si>
    <t>After 6 phases (3 yrs)</t>
  </si>
  <si>
    <t>CAPEX</t>
  </si>
  <si>
    <t>Advertisement/Promotion cross location - 20L per location for 6 months</t>
  </si>
  <si>
    <t>Furnishing, equipment, electricals</t>
  </si>
  <si>
    <t>Recurring Operating Cost</t>
  </si>
  <si>
    <t>Total for 1 location</t>
  </si>
  <si>
    <t>Total for 10 location - Needed on day 1 &amp; every month thereon</t>
  </si>
  <si>
    <t>Dynamic Operating Cost (Volume based)</t>
  </si>
  <si>
    <t>Ph2 80 FL3 in each city</t>
  </si>
  <si>
    <t>Streaming cost</t>
  </si>
  <si>
    <t>CA</t>
  </si>
  <si>
    <t>Branding products - Logo, trademark, copyright, patent</t>
  </si>
  <si>
    <t>Customer care employee- Phone, email</t>
  </si>
  <si>
    <t>Maintenance 20% of development - Yearly</t>
  </si>
  <si>
    <t>1 month target 10 FL3 per location</t>
  </si>
  <si>
    <t>100 FL3 over 10 location</t>
  </si>
  <si>
    <t>N/A</t>
  </si>
  <si>
    <t>1 FL3 Only</t>
  </si>
  <si>
    <t>Earning per month at the end of 5th month</t>
  </si>
  <si>
    <t>Earning per month at the end of 4th month</t>
  </si>
  <si>
    <t>Earning per month at the end of 3rd month</t>
  </si>
  <si>
    <t>Earning per month at the end of 2nd month</t>
  </si>
  <si>
    <t>Earning per month at the end of 1st month</t>
  </si>
  <si>
    <t>Offer FL4 = 7%</t>
  </si>
  <si>
    <t>Module</t>
  </si>
  <si>
    <t>Points Value</t>
  </si>
  <si>
    <t>Transfer cost</t>
  </si>
  <si>
    <t>Purchase</t>
  </si>
  <si>
    <t>10000+</t>
  </si>
  <si>
    <t>Depiction</t>
  </si>
  <si>
    <t>Pint/Glass of wine</t>
  </si>
  <si>
    <t>Drinks for a couple</t>
  </si>
  <si>
    <t>3 wine glasses</t>
  </si>
  <si>
    <t>Wine/Champagne bottle</t>
  </si>
  <si>
    <t>Whiskey bottle</t>
  </si>
  <si>
    <t>Family</t>
  </si>
  <si>
    <t>Transfer</t>
  </si>
  <si>
    <t>Gifting</t>
  </si>
  <si>
    <t>9000+</t>
  </si>
  <si>
    <t>8100+</t>
  </si>
  <si>
    <t>`</t>
  </si>
  <si>
    <t>Offer</t>
  </si>
  <si>
    <t>Offer - Share</t>
  </si>
  <si>
    <t>Cosmos:
Wallet: 1000 
Bill 1000
Paid 900
Cashback Points 20
Other:
Wallet: 1000 
Bill 1000
Paid 900</t>
  </si>
  <si>
    <t>Regular customers</t>
  </si>
  <si>
    <r>
      <t xml:space="preserve">Drink Sharing - 25% of </t>
    </r>
    <r>
      <rPr>
        <sz val="11"/>
        <color rgb="FF00B050"/>
        <rFont val="Calibri"/>
        <family val="2"/>
        <scheme val="minor"/>
      </rPr>
      <t xml:space="preserve">Regular </t>
    </r>
    <r>
      <rPr>
        <sz val="11"/>
        <color theme="1"/>
        <rFont val="Calibri"/>
        <family val="2"/>
        <scheme val="minor"/>
      </rPr>
      <t>Customers</t>
    </r>
  </si>
  <si>
    <r>
      <t xml:space="preserve">Drink Sharing - 10% of </t>
    </r>
    <r>
      <rPr>
        <sz val="11"/>
        <color rgb="FF00B0F0"/>
        <rFont val="Calibri"/>
        <family val="2"/>
        <scheme val="minor"/>
      </rPr>
      <t>Remaining</t>
    </r>
    <r>
      <rPr>
        <sz val="11"/>
        <color theme="1"/>
        <rFont val="Calibri"/>
        <family val="2"/>
        <scheme val="minor"/>
      </rPr>
      <t xml:space="preserve"> Customers</t>
    </r>
  </si>
  <si>
    <t>FreeSpirit Profit</t>
  </si>
  <si>
    <t>Customer Cashback</t>
  </si>
  <si>
    <t>12% cashback for partner bank's customers
10% cashback for all other customers</t>
  </si>
  <si>
    <t>Food &amp; Drink Purchase &amp; Sharing</t>
  </si>
  <si>
    <t>FreeSpirit Discount</t>
  </si>
  <si>
    <t>Drink Offering</t>
  </si>
  <si>
    <t>5% Members</t>
  </si>
  <si>
    <t>Sale value per person per month</t>
  </si>
  <si>
    <t>FreeSpirit Offer Charges</t>
  </si>
  <si>
    <t>Monthly valuation of offers made</t>
  </si>
  <si>
    <t>Offering FL3 Profit</t>
  </si>
  <si>
    <t>For FL3 who provisioned the offer</t>
  </si>
  <si>
    <t>Premium service charges</t>
  </si>
  <si>
    <t>10% members</t>
  </si>
  <si>
    <t>6% cashback for partner bank's customers
5% cashback for all other customers</t>
  </si>
  <si>
    <t>Delivery</t>
  </si>
  <si>
    <t>1 City</t>
  </si>
  <si>
    <t>10 Cities</t>
  </si>
  <si>
    <t>20 FL3 Per Location; 200 FL3 All Location 
20,000 FL4 Per City; 2,00,000 FL4 All Cities</t>
  </si>
  <si>
    <t>30 FL3 Per Location; 300 FL3 All Location 
30,000 FL4 Per City; 3,00,000 FL4 All Cities</t>
  </si>
  <si>
    <t>40 FL3 Per Location; 400 FL3 All Location 
40,000 FL4 Per City; 4,00,000 FL4 All Cities</t>
  </si>
  <si>
    <t>50 FL3 Per Location; 500 FL3 All Location 
50,000 FL4 Per City; 5,00,000 FL4 All Cities</t>
  </si>
  <si>
    <t>FreeSpirit Target</t>
  </si>
  <si>
    <t>5000+</t>
  </si>
  <si>
    <t>After expiry automatically change reduce point balance by 10%</t>
  </si>
  <si>
    <t>Receiver points</t>
  </si>
  <si>
    <t>Receiver validity</t>
  </si>
  <si>
    <t>Customer</t>
  </si>
  <si>
    <t>Purchase value</t>
  </si>
  <si>
    <t>Sale vlue</t>
  </si>
  <si>
    <t>Delivey</t>
  </si>
  <si>
    <t>Share</t>
  </si>
  <si>
    <t>Self</t>
  </si>
  <si>
    <t>EMI - no FL4 dicount
6% share with cosmos. 12% for BS</t>
  </si>
  <si>
    <t>Sudhir
15-Jul</t>
  </si>
  <si>
    <t>No 10% charge on offering a drink</t>
  </si>
  <si>
    <t>Further transfers to follow purchase cycle but without any cashback
Offering FL3 needs to be tracked.</t>
  </si>
  <si>
    <t>Cannot transfer less than 300 Rs
Transfer values to remain same as purchase value, to maintain validity standard.</t>
  </si>
  <si>
    <t>Sender</t>
  </si>
  <si>
    <t>Receiver</t>
  </si>
  <si>
    <t>Ravi
1-Jul</t>
  </si>
  <si>
    <t>Piyush 
5-Jul</t>
  </si>
  <si>
    <t>OFER SERVICE</t>
  </si>
  <si>
    <t>Gifting/Sharing Service</t>
  </si>
  <si>
    <t>Yearly Operational Expenses</t>
  </si>
  <si>
    <t>Yearly</t>
  </si>
  <si>
    <t>Total at end of first year</t>
  </si>
  <si>
    <t>One Time</t>
  </si>
  <si>
    <t>J</t>
  </si>
  <si>
    <t>K</t>
  </si>
  <si>
    <t>Launch in 10 Locations</t>
  </si>
  <si>
    <t>CRM Tool</t>
  </si>
  <si>
    <t>Maintenance of office, equipment, consumables, supplies, printer, fax, headset, stationary</t>
  </si>
  <si>
    <t>Pay Later</t>
  </si>
  <si>
    <t>1% bank customers</t>
  </si>
  <si>
    <t>Bank share</t>
  </si>
  <si>
    <r>
      <rPr>
        <b/>
        <u/>
        <sz val="11"/>
        <color theme="1"/>
        <rFont val="Calibri"/>
        <family val="2"/>
        <scheme val="minor"/>
      </rPr>
      <t>Redemption(Self/Share): Cosmos</t>
    </r>
    <r>
      <rPr>
        <sz val="11"/>
        <color theme="1"/>
        <rFont val="Calibri"/>
        <family val="2"/>
        <scheme val="minor"/>
      </rPr>
      <t xml:space="preserve">
6% - BS
12% - FL4 Cashback
</t>
    </r>
    <r>
      <rPr>
        <b/>
        <u/>
        <sz val="11"/>
        <color theme="1"/>
        <rFont val="Calibri"/>
        <family val="2"/>
        <scheme val="minor"/>
      </rPr>
      <t>Redemption(Self/Share): non-Cosmos</t>
    </r>
    <r>
      <rPr>
        <sz val="11"/>
        <color theme="1"/>
        <rFont val="Calibri"/>
        <family val="2"/>
        <scheme val="minor"/>
      </rPr>
      <t xml:space="preserve">
8% - BS
10% - FL4 Cashback</t>
    </r>
  </si>
  <si>
    <r>
      <rPr>
        <b/>
        <sz val="11"/>
        <color theme="1"/>
        <rFont val="Calibri"/>
        <family val="2"/>
        <scheme val="minor"/>
      </rPr>
      <t xml:space="preserve">Offer (200% cost):
</t>
    </r>
    <r>
      <rPr>
        <sz val="11"/>
        <color theme="1"/>
        <rFont val="Calibri"/>
        <family val="2"/>
        <scheme val="minor"/>
      </rPr>
      <t xml:space="preserve">
1st 100%: 67% - BS, 33% - FL3
2nd 100% : Same as redemption, no FL4 cashback 
i.e. (67+18)/2= 42.5% of Total sale value of 500</t>
    </r>
  </si>
  <si>
    <r>
      <rPr>
        <b/>
        <u/>
        <sz val="11"/>
        <color theme="1"/>
        <rFont val="Calibri"/>
        <family val="2"/>
        <scheme val="minor"/>
      </rPr>
      <t xml:space="preserve">Delivery
</t>
    </r>
    <r>
      <rPr>
        <sz val="11"/>
        <color theme="1"/>
        <rFont val="Calibri"/>
        <family val="2"/>
        <scheme val="minor"/>
      </rPr>
      <t xml:space="preserve">6%  to BS
FL4: 5% (6%for Cosmos)
</t>
    </r>
    <r>
      <rPr>
        <b/>
        <u/>
        <sz val="11"/>
        <color theme="1"/>
        <rFont val="Calibri"/>
        <family val="2"/>
        <scheme val="minor"/>
      </rPr>
      <t>Eat now, Pay later</t>
    </r>
    <r>
      <rPr>
        <sz val="11"/>
        <color theme="1"/>
        <rFont val="Calibri"/>
        <family val="2"/>
        <scheme val="minor"/>
      </rPr>
      <t xml:space="preserve">
12%  to BS
FL4: 6%for Cosmos</t>
    </r>
  </si>
  <si>
    <t>Launch cost - Brand Ambassador etc.</t>
  </si>
  <si>
    <t>Total expenses at end of first year</t>
  </si>
  <si>
    <t>Based on FL3 selection criteria</t>
  </si>
  <si>
    <t>Current market trend</t>
  </si>
  <si>
    <t>Points redemption can happen at any FL3</t>
  </si>
  <si>
    <t>Total sale value ₹25000</t>
  </si>
  <si>
    <t>Conservative Figures - Sale value ₹25 Lacs</t>
  </si>
  <si>
    <t>Total sale value 10Lacs per Location; 1CR 10 Location</t>
  </si>
  <si>
    <t>600 FL3 All Location; 6,00,000 FL4 All Cities</t>
  </si>
  <si>
    <t>1200 FL3 All Location; 12,00,000 FL4 All Cities</t>
  </si>
  <si>
    <t>100 FL3 All Location; 1,00,000 FL4 All Cities</t>
  </si>
  <si>
    <t>2400 FL3 All Location; 24,00,000 FL4 All Cities</t>
  </si>
  <si>
    <r>
      <t xml:space="preserve">Earning per month at 2 years i.e. </t>
    </r>
    <r>
      <rPr>
        <b/>
        <sz val="11"/>
        <color theme="1"/>
        <rFont val="Calibri"/>
        <family val="2"/>
        <scheme val="minor"/>
      </rPr>
      <t>Phase 4</t>
    </r>
  </si>
  <si>
    <r>
      <t xml:space="preserve">Earning per month at 1 year i.e. </t>
    </r>
    <r>
      <rPr>
        <b/>
        <sz val="11"/>
        <color theme="1"/>
        <rFont val="Calibri"/>
        <family val="2"/>
        <scheme val="minor"/>
      </rPr>
      <t>Phase 2</t>
    </r>
  </si>
  <si>
    <r>
      <t xml:space="preserve">Earning per month at 6 months i.e. </t>
    </r>
    <r>
      <rPr>
        <b/>
        <sz val="11"/>
        <color theme="1"/>
        <rFont val="Calibri"/>
        <family val="2"/>
        <scheme val="minor"/>
      </rPr>
      <t>Phase 1</t>
    </r>
  </si>
  <si>
    <t>Earning per month at 3 years i.e. Phase 6</t>
  </si>
  <si>
    <t>3600 FL3 All Location 36,00,000 FL4 All Cities</t>
  </si>
  <si>
    <t>Average Earning - ₹170 per transaction</t>
  </si>
  <si>
    <t>6% cashback for partner bank
5% cashback for all other customers</t>
  </si>
  <si>
    <t>Sale value ₹60000</t>
  </si>
  <si>
    <t>Points</t>
  </si>
  <si>
    <t>Cash</t>
  </si>
  <si>
    <t>bill</t>
  </si>
  <si>
    <t>Paid</t>
  </si>
  <si>
    <t>FL3 bill</t>
  </si>
  <si>
    <t>BS to pay</t>
  </si>
  <si>
    <t>BS to FL4</t>
  </si>
  <si>
    <t>setoff</t>
  </si>
  <si>
    <t>Profit</t>
  </si>
  <si>
    <t>BS balance</t>
  </si>
  <si>
    <t>Liquor</t>
  </si>
  <si>
    <t>Vat 5%</t>
  </si>
  <si>
    <t>No GST</t>
  </si>
  <si>
    <t>Food</t>
  </si>
  <si>
    <t>zero vat</t>
  </si>
  <si>
    <t>18% GST</t>
  </si>
  <si>
    <t>5% GST</t>
  </si>
  <si>
    <t>Food - 5* hotel</t>
  </si>
  <si>
    <t>Launch cost - National Brand Ambassador, Digital Marketing, Tie Ups</t>
  </si>
  <si>
    <t>License or equivalent fees GST, LLP reg, bank acc, shopact 3 yr, msme reg, PMC lic, PPI approval</t>
  </si>
  <si>
    <t>Maintenance 30% of development - Yearly</t>
  </si>
  <si>
    <t>Launch, promotions, advert</t>
  </si>
  <si>
    <t>Desktop, laptop, licensing</t>
  </si>
  <si>
    <t>Infrastructure setup costs</t>
  </si>
  <si>
    <t>ID validation costs (customer signup driven)</t>
  </si>
  <si>
    <t>Payment gateway charges</t>
  </si>
  <si>
    <t>Annual Operational Expenses</t>
  </si>
  <si>
    <t xml:space="preserve">                        Cost Category</t>
  </si>
  <si>
    <t>Simultaneous launch in 10 Locations</t>
  </si>
  <si>
    <t>License or equivalent fees GST, LLP reg, bank acc, shopact 3 yr, msme reg, PMC license</t>
  </si>
  <si>
    <t>Wave 1 Target - 1st month</t>
  </si>
  <si>
    <t>Wave 1 Target - 2nd month</t>
  </si>
  <si>
    <t>Wave 1 Target - 3rd month</t>
  </si>
  <si>
    <t>Wave 1 Target - 4th month</t>
  </si>
  <si>
    <t>Wave 1 Target - 5th month</t>
  </si>
  <si>
    <t>Wave 1 Target - First 6 months</t>
  </si>
  <si>
    <t xml:space="preserve">After 2nd Wave </t>
  </si>
  <si>
    <t xml:space="preserve">After 4th Wave </t>
  </si>
  <si>
    <t xml:space="preserve">After 6th Wave </t>
  </si>
  <si>
    <t>Management cost</t>
  </si>
  <si>
    <t>Legal, Intellectual Property, RBI Approval, Commission, Competition Law</t>
  </si>
  <si>
    <t>Product Branding</t>
  </si>
  <si>
    <t>Escrow account</t>
  </si>
  <si>
    <t>Broadcast service</t>
  </si>
  <si>
    <t>Escrow Account</t>
  </si>
  <si>
    <t>Year 1</t>
  </si>
  <si>
    <t>Year 2</t>
  </si>
  <si>
    <t>Year 3</t>
  </si>
  <si>
    <t>Total Earning Per Restaurant Per Month</t>
  </si>
  <si>
    <t>Food Delivery</t>
  </si>
  <si>
    <t>Eat Now, Pay Later</t>
  </si>
  <si>
    <t>Based on Merchant selection criteria</t>
  </si>
  <si>
    <t>Total sale value 20Lacs per Location; 1CR 10 Location</t>
  </si>
  <si>
    <t>Total merchant sale value 20Lacs per city</t>
  </si>
  <si>
    <t>Total merchant sale value ₹25000</t>
  </si>
  <si>
    <t>Total merchant sale value ₹60000</t>
  </si>
  <si>
    <t>1 Restaurant</t>
  </si>
  <si>
    <t>Average Customers Count</t>
  </si>
  <si>
    <t>F&amp;B Purchase &amp; Sharing</t>
  </si>
  <si>
    <t>600 FL3 All Locations; 6,00,000 FL4 All Cities</t>
  </si>
  <si>
    <t>1200 FL3 All Locations; 12,00,000 FL4 All Cities</t>
  </si>
  <si>
    <t>2400 FL3 All Locations; 24,00,000 FL4 All Cities</t>
  </si>
  <si>
    <t>3600 FL3 All Locations; 36,00,000 FL4 All Cities</t>
  </si>
  <si>
    <t>Conservative Figures - Monthly sale value ₹25L</t>
  </si>
  <si>
    <t>100 FL3 All Locations; 1,00,000 FL4 All Cities</t>
  </si>
  <si>
    <t>20 FL3 Per Locations; 200 FL3 All Location 
20,000 FL4 Per City; 2,00,000 FL4 All Cities</t>
  </si>
  <si>
    <t>30 FL3 Per Locations; 300 FL3 All Locations 
30,000 FL4 Per City; 3,00,000 FL4 All Cities</t>
  </si>
  <si>
    <t>40 FL3 Per Locations; 400 FL3 All Locations 
40,000 FL4 Per City; 4,00,000 FL4 All Cities</t>
  </si>
  <si>
    <t>50 FL3 Per Locations; 500 FL3 All Locations 
50,000 FL4 Per City; 5,00,000 FL4 All Cities</t>
  </si>
  <si>
    <t>Breakdown</t>
  </si>
  <si>
    <t>Action 15 Jan</t>
  </si>
  <si>
    <t>B</t>
  </si>
  <si>
    <t>C</t>
  </si>
  <si>
    <t>OK - Celebrity campaign &amp; media</t>
  </si>
  <si>
    <t>Regional marketing</t>
  </si>
  <si>
    <t>Legal - Competition law/NDA/Exclusivity agreement/Privacy/Consultancy/Commission/Liaisonining</t>
  </si>
  <si>
    <t>Lawyer, documentation, etc</t>
  </si>
  <si>
    <t>Branding &amp; IP  - Logo, Trademark, Copyright, Patent, Merchandise</t>
  </si>
  <si>
    <t>Head Office Infra Costs</t>
  </si>
  <si>
    <t>Board</t>
  </si>
  <si>
    <t>HR</t>
  </si>
  <si>
    <t>Account</t>
  </si>
  <si>
    <t>Legal / Compliance</t>
  </si>
  <si>
    <t>IT Support</t>
  </si>
  <si>
    <t>Customer Care</t>
  </si>
  <si>
    <t>LOB</t>
  </si>
  <si>
    <t>HOD</t>
  </si>
  <si>
    <t>Staff</t>
  </si>
  <si>
    <t>Indore</t>
  </si>
  <si>
    <t>Kolkata</t>
  </si>
  <si>
    <t>Hyderabad</t>
  </si>
  <si>
    <t>Mumbai (MMR)</t>
  </si>
  <si>
    <t>Ahemdabad (Dry state)</t>
  </si>
  <si>
    <t>Kerala - Select city</t>
  </si>
  <si>
    <t>Jaipur</t>
  </si>
  <si>
    <t>7 Cities</t>
  </si>
  <si>
    <t>Admin &amp; Facility</t>
  </si>
  <si>
    <t>Per City</t>
  </si>
  <si>
    <t>Salary</t>
  </si>
  <si>
    <t>Salary Staff</t>
  </si>
  <si>
    <t>7 location</t>
  </si>
  <si>
    <t>Office Structure</t>
  </si>
  <si>
    <t>Utilities such as telephone service, Internet connectivity, mobile, switch etc.</t>
  </si>
  <si>
    <t>Overlays - RBI, Licenses etc.</t>
  </si>
  <si>
    <t>Accounts</t>
  </si>
  <si>
    <t>Sales Office</t>
  </si>
  <si>
    <t>Regional Sales</t>
  </si>
  <si>
    <t>Legal &amp; Compliance</t>
  </si>
  <si>
    <t>Desktop/Laptop, keyboard, monitor, headset</t>
  </si>
  <si>
    <t>Email, Microsoft suite, Antivirus, Other softwares</t>
  </si>
  <si>
    <t>Central Office Furnishing, Equipment, Electricals, Printers, Access Control, Power Backup, Canteen</t>
  </si>
  <si>
    <t>Office space rent &amp; property maintenance</t>
  </si>
  <si>
    <t>CRM Tool - If needed in addition to our own dashboard</t>
  </si>
  <si>
    <t>Branding products - Packaging, stickers, flyer - Per Merchant</t>
  </si>
  <si>
    <t>Recurring Operating Cost - Head Office &amp; 7 Locations</t>
  </si>
  <si>
    <t>External Costs - Client Meetings, Visits, Training, Meals &amp; Gifts</t>
  </si>
  <si>
    <t>Regional Co-Working Office Costs - Rent/Maintenance</t>
  </si>
  <si>
    <t>Total for 1 Month</t>
  </si>
  <si>
    <t>Total for the Year</t>
  </si>
  <si>
    <t>Aadhaar - One time cost for all customers</t>
  </si>
  <si>
    <t>Transactions per month per FL3</t>
  </si>
  <si>
    <t>Month</t>
  </si>
  <si>
    <t>FL3 Count</t>
  </si>
  <si>
    <t>Starting FL3 count</t>
  </si>
  <si>
    <t>10 FL3 added per month in each location</t>
  </si>
  <si>
    <t>And so on…</t>
  </si>
  <si>
    <t>Total national FL3 count at end of year 1</t>
  </si>
  <si>
    <t>Total count of transactions at end of year 1 - Only Resto customer</t>
  </si>
  <si>
    <t>Total count of transactions at end of year 1 - Resto &amp; Waiu customers</t>
  </si>
  <si>
    <t>Billdesk costs at end of year 1</t>
  </si>
  <si>
    <t>Total customers signed up</t>
  </si>
  <si>
    <t>Board - Average 3.5L per month</t>
  </si>
  <si>
    <t>Streaming Setup - One time</t>
  </si>
  <si>
    <t>Broadcast</t>
  </si>
  <si>
    <t>20k Per Merchant Per Month</t>
  </si>
  <si>
    <t>10% of partners</t>
  </si>
  <si>
    <t>Use credit card trend from Amex, dhurandar</t>
  </si>
  <si>
    <t>done</t>
  </si>
  <si>
    <t xml:space="preserve"> </t>
  </si>
  <si>
    <t>Office space</t>
  </si>
  <si>
    <t>https://www.99acres.com/ready-to-move-office-space-for-rent-lease-in-baner-pune-1600-sq-ft-spid-M54558790</t>
  </si>
  <si>
    <t>Renovation - 20L</t>
  </si>
  <si>
    <t>2L per month - HQ</t>
  </si>
  <si>
    <t>total year 1 = 56L</t>
  </si>
  <si>
    <t>local offices x 7 below</t>
  </si>
  <si>
    <t>Rent - 50k pm</t>
  </si>
  <si>
    <t>Office &amp; Adminstration (HQ + 7)</t>
  </si>
  <si>
    <t>Total for 7 location - Needed on Day 1 &amp; every month thereon</t>
  </si>
  <si>
    <t>Renovation - 5L</t>
  </si>
  <si>
    <t>1000 pay (Rs1500) and 100 delivery (Rs 600)</t>
  </si>
  <si>
    <t>1 resto</t>
  </si>
  <si>
    <t>10 resto per month</t>
  </si>
  <si>
    <t>7 location M1</t>
  </si>
  <si>
    <t>Scala - 5L</t>
  </si>
  <si>
    <t>25L</t>
  </si>
  <si>
    <t>average artist costs</t>
  </si>
  <si>
    <t>Average studio cost</t>
  </si>
  <si>
    <t>Total daily</t>
  </si>
  <si>
    <t>yearly</t>
  </si>
  <si>
    <t>Management</t>
  </si>
  <si>
    <t>Legal/compliance</t>
  </si>
  <si>
    <t>VC partner</t>
  </si>
  <si>
    <t>Founders</t>
  </si>
  <si>
    <t>35L</t>
  </si>
  <si>
    <t>50L</t>
  </si>
  <si>
    <t>75L</t>
  </si>
  <si>
    <t>100L</t>
  </si>
  <si>
    <t>Month 1, loc 1, resto 1 - 1.75%</t>
  </si>
  <si>
    <t>HOD Rate</t>
  </si>
  <si>
    <t>Staff Rate</t>
  </si>
  <si>
    <t>Total HQ</t>
  </si>
  <si>
    <t>Grand total</t>
  </si>
  <si>
    <t>HQ</t>
  </si>
  <si>
    <t>Local</t>
  </si>
  <si>
    <t>Total per month 7 locations</t>
  </si>
  <si>
    <t>Total per month all offices</t>
  </si>
  <si>
    <t>Average salary</t>
  </si>
  <si>
    <t>Average per month per location</t>
  </si>
  <si>
    <t>What are the extra expense of an org apart from salary e.g. cess etc?</t>
  </si>
  <si>
    <t>Supplies + maint- 1.5L pm</t>
  </si>
  <si>
    <t>Supplies + maint - 75k PM</t>
  </si>
  <si>
    <t>Employment expenses (with 10% contingency)</t>
  </si>
  <si>
    <t>FreeSpirit Revenue</t>
  </si>
  <si>
    <t>Payment Gateway Charges</t>
  </si>
  <si>
    <t>Capital Expenses (CAPEX)</t>
  </si>
  <si>
    <t>Recurring Office Operating Cost (Static Opex)</t>
  </si>
  <si>
    <t>Dynamic Operating Cost (Volume Driven) - Dynamic Opex</t>
  </si>
  <si>
    <t>Infra, Branding products - Logo, trademark, copyright, patent</t>
  </si>
  <si>
    <t>Waiu Direct Customers (20%)</t>
  </si>
  <si>
    <t>Total sale value ₹24000</t>
  </si>
  <si>
    <t>Sale value ₹30000</t>
  </si>
  <si>
    <t>10% of Waiu customers will choose delivery</t>
  </si>
  <si>
    <t>0.11% bank customers</t>
  </si>
  <si>
    <t xml:space="preserve">Sale value per ticket per month </t>
  </si>
  <si>
    <t>Total sale value 20Lacs per Location; 1.4Cr 7 Location</t>
  </si>
  <si>
    <t>Department</t>
  </si>
  <si>
    <t>Accounting</t>
  </si>
  <si>
    <t>Legal/Compliance</t>
  </si>
  <si>
    <t>Sales &amp; Strategy</t>
  </si>
  <si>
    <t>Customer Support</t>
  </si>
  <si>
    <t>Local Sales</t>
  </si>
  <si>
    <t>Monthly Compensation (Total)</t>
  </si>
  <si>
    <t>Total - 7 Location / PM</t>
  </si>
  <si>
    <t>Total - 1 Location / PM</t>
  </si>
  <si>
    <t>Conservative Figures - Sale value ₹18 Lacs</t>
  </si>
  <si>
    <t>??</t>
  </si>
  <si>
    <t>TBD</t>
  </si>
  <si>
    <t>Total for 1 location per month</t>
  </si>
  <si>
    <t>Legal, Intellectual Property, RBI Approval, Commission, Competition Law &amp; overlays</t>
  </si>
  <si>
    <t>Customer Acquisition costs</t>
  </si>
  <si>
    <t>Phase 2 service</t>
  </si>
  <si>
    <t>For restaurants who provisioned the offer</t>
  </si>
  <si>
    <t>Points redemption can happen at any restaurant</t>
  </si>
  <si>
    <t>Average sale value ₹30000</t>
  </si>
  <si>
    <t>Offer Service Revenue</t>
  </si>
  <si>
    <t>F&amp;B Service Revenue</t>
  </si>
  <si>
    <t>Delivery Service Revenue</t>
  </si>
  <si>
    <t>70 FL3 All Location; 70,000 FL4 All Cities</t>
  </si>
  <si>
    <t>20 FL3 Per Location; 140 FL3 All Location 
20,000 FL4 Per City; 1,40,000 FL4 All Cities</t>
  </si>
  <si>
    <t>30 FL3 Per Location; 210 FL3 All Location 
30,000 FL4 Per City; 2,10,000 FL4 All Cities</t>
  </si>
  <si>
    <t>40 FL3 Per Location; 280 FL3 All Location 
40,000 FL4 Per City; 2,80,000 FL4 All Cities</t>
  </si>
  <si>
    <t>50 FL3 Per Location; 350 FL3 All Location 
50,000 FL4 Per City; 3,50,000 FL4 All Cities</t>
  </si>
  <si>
    <t>420 FL3 All Location; 4,20,000 FL4 All Cities</t>
  </si>
  <si>
    <t>840 FL3 All Location; 8,40,000 FL4 All Cities</t>
  </si>
  <si>
    <t>1,680 FL3 All Location; 16,80,000 FL4 All Cities</t>
  </si>
  <si>
    <t>3,360 FL3 All Location 33,60,000 FL4 All Cities</t>
  </si>
  <si>
    <t>S.NO.</t>
  </si>
  <si>
    <t>Launch Clique</t>
  </si>
  <si>
    <t>Feature</t>
  </si>
  <si>
    <t>Scope</t>
  </si>
  <si>
    <t>Only based on 6m bank stmt, Cibil, aadhar auth, Algorithm (like afterpay)</t>
  </si>
  <si>
    <t>Create consumer pool</t>
  </si>
  <si>
    <t>Why microlending in phase 2</t>
  </si>
  <si>
    <t>POC / Beta for WAIU launch</t>
  </si>
  <si>
    <t>Understand market impact &amp; coverage</t>
  </si>
  <si>
    <t>Promote merchant acquisition &amp; non-peak hour optimization</t>
  </si>
  <si>
    <t>Avoid opening all cards at once</t>
  </si>
  <si>
    <t>Limit fraud/delinquency to a controllable factor</t>
  </si>
  <si>
    <t>Have proven platform for future microlendlending business</t>
  </si>
  <si>
    <t>MFI share 8% for initial moratorium or 1 year, then 5% ??</t>
  </si>
  <si>
    <t>Launch WAIU</t>
  </si>
  <si>
    <t>ENPL - 10 to 30k, MFI approved</t>
  </si>
  <si>
    <t>WAIU Phase 2</t>
  </si>
  <si>
    <t>Clique Phase 2</t>
  </si>
  <si>
    <t>Timeline</t>
  </si>
  <si>
    <t>After PPI approval in 6 months</t>
  </si>
  <si>
    <t>6 months after WAIU P1</t>
  </si>
  <si>
    <t>Pre-launch</t>
  </si>
  <si>
    <t>Development</t>
  </si>
  <si>
    <t>6 months</t>
  </si>
  <si>
    <t>4 months</t>
  </si>
  <si>
    <t>merchant pilot &amp; acquisition (Testing) &amp; PPI</t>
  </si>
  <si>
    <t>After Pre-launch</t>
  </si>
  <si>
    <t>WAIU Phase 3</t>
  </si>
  <si>
    <t>- Microlending (Consumer &amp; Merchant)
- Delivery?</t>
  </si>
  <si>
    <t>- Event management:
   1. Corporate tie-ups with MNCs, Sponsored events - cosmetic, liquor, consumer durables
   2. Artist management, CSR</t>
  </si>
  <si>
    <t>Funding needs</t>
  </si>
  <si>
    <t>Tech solution &amp; initiate PPI as well</t>
  </si>
  <si>
    <t>Electronic</t>
  </si>
  <si>
    <t>office</t>
  </si>
  <si>
    <t>Broadcast budgeting</t>
  </si>
  <si>
    <t>Artist</t>
  </si>
  <si>
    <t>Studio</t>
  </si>
  <si>
    <t>Crew &amp; Instrument</t>
  </si>
  <si>
    <t>Scala</t>
  </si>
  <si>
    <t>Merchant</t>
  </si>
  <si>
    <t>AV system</t>
  </si>
  <si>
    <t>Merchant Count</t>
  </si>
  <si>
    <t>40k per merchant - Borne by merchant</t>
  </si>
  <si>
    <t>6cr</t>
  </si>
  <si>
    <t>arijit</t>
  </si>
  <si>
    <t>1L per event</t>
  </si>
  <si>
    <t>3.5Cr</t>
  </si>
  <si>
    <t>Network &amp; CDN</t>
  </si>
  <si>
    <t>50CR</t>
  </si>
  <si>
    <t>later</t>
  </si>
  <si>
    <t>Later</t>
  </si>
  <si>
    <r>
      <t xml:space="preserve">Likely 6 months after Clique
- Sharing/Self
- Offer
- Gaming
</t>
    </r>
    <r>
      <rPr>
        <sz val="11"/>
        <color rgb="FFFF0000"/>
        <rFont val="Calibri (Body)"/>
      </rPr>
      <t>- Broadcast (move to later phase with bigger investor???)</t>
    </r>
    <r>
      <rPr>
        <sz val="11"/>
        <color theme="1"/>
        <rFont val="Calibri"/>
        <family val="2"/>
        <scheme val="minor"/>
      </rPr>
      <t xml:space="preserve">
- Governance/Staff Training (Language/Cuisine/Etiquettes)</t>
    </r>
  </si>
  <si>
    <t>Phase</t>
  </si>
  <si>
    <t>Timeline
(at months)</t>
  </si>
  <si>
    <t>Total Funding</t>
  </si>
  <si>
    <t>- Clique development 
- Initiate WAIU PPI process</t>
  </si>
  <si>
    <t>- Campaigining &amp; acquisition
- Infrastructure 
- Full infrastructure costs
- Full Op-Ex
- Escrow</t>
  </si>
  <si>
    <t>- Partial infrastructure costs
- Partial Op-Ex
- Clique full service
- POC expenses
- PPI audit &amp; overlays
- TPP costs - APIs, Servicing
- Contingency</t>
  </si>
  <si>
    <r>
      <t xml:space="preserve">- Provisioning costs
- </t>
    </r>
    <r>
      <rPr>
        <sz val="11"/>
        <color rgb="FFFF0000"/>
        <rFont val="Calibri (Body)"/>
      </rPr>
      <t>Y2 costing to start from here</t>
    </r>
  </si>
  <si>
    <t>- Integration
- Marketing &amp; promotions
- Customer support &amp; technical development</t>
  </si>
  <si>
    <r>
      <t xml:space="preserve">- Clique POC
</t>
    </r>
    <r>
      <rPr>
        <b/>
        <sz val="11"/>
        <color theme="1"/>
        <rFont val="Calibri"/>
        <family val="2"/>
        <scheme val="minor"/>
      </rPr>
      <t>Initiate:</t>
    </r>
    <r>
      <rPr>
        <sz val="11"/>
        <color theme="1"/>
        <rFont val="Calibri"/>
        <family val="2"/>
        <scheme val="minor"/>
      </rPr>
      <t xml:space="preserve">
- Merchant acquisition
- WAIU MVP development
</t>
    </r>
    <r>
      <rPr>
        <b/>
        <sz val="11"/>
        <color theme="1"/>
        <rFont val="Calibri"/>
        <family val="2"/>
        <scheme val="minor"/>
      </rPr>
      <t>Continue:</t>
    </r>
    <r>
      <rPr>
        <sz val="11"/>
        <color theme="1"/>
        <rFont val="Calibri"/>
        <family val="2"/>
        <scheme val="minor"/>
      </rPr>
      <t xml:space="preserve">
- PPI development/procurement</t>
    </r>
  </si>
  <si>
    <r>
      <t xml:space="preserve">- Launch Clique
</t>
    </r>
    <r>
      <rPr>
        <b/>
        <sz val="11"/>
        <color theme="1"/>
        <rFont val="Calibri"/>
        <family val="2"/>
        <scheme val="minor"/>
      </rPr>
      <t>Initiate:</t>
    </r>
    <r>
      <rPr>
        <sz val="11"/>
        <color theme="1"/>
        <rFont val="Calibri"/>
        <family val="2"/>
        <scheme val="minor"/>
      </rPr>
      <t xml:space="preserve">
- Complete PPI procurement
- WAIU MVP POC &amp; Launch planning
</t>
    </r>
    <r>
      <rPr>
        <b/>
        <sz val="11"/>
        <color theme="1"/>
        <rFont val="Calibri"/>
        <family val="2"/>
        <scheme val="minor"/>
      </rPr>
      <t>Continue:</t>
    </r>
    <r>
      <rPr>
        <sz val="11"/>
        <color theme="1"/>
        <rFont val="Calibri"/>
        <family val="2"/>
        <scheme val="minor"/>
      </rPr>
      <t xml:space="preserve">
- WAIU complete development
- WAIU Complete POC</t>
    </r>
  </si>
  <si>
    <r>
      <t xml:space="preserve">- Microlending (Consumer &amp; Merchant)
- Restaurant logistics
</t>
    </r>
    <r>
      <rPr>
        <b/>
        <sz val="11"/>
        <color theme="1"/>
        <rFont val="Calibri"/>
        <family val="2"/>
        <scheme val="minor"/>
      </rPr>
      <t>Initiate:</t>
    </r>
    <r>
      <rPr>
        <sz val="11"/>
        <color theme="1"/>
        <rFont val="Calibri"/>
        <family val="2"/>
        <scheme val="minor"/>
      </rPr>
      <t xml:space="preserve">
WAIU Phase 2 </t>
    </r>
  </si>
  <si>
    <t>- MFI integration &amp; Banking setup
- Technical development &amp; TPP costs</t>
  </si>
  <si>
    <t>Clique Launch</t>
  </si>
  <si>
    <t xml:space="preserve">WAIU Launch </t>
  </si>
  <si>
    <t>Rent - 50k pm = 3L PM</t>
  </si>
  <si>
    <t>Supplies + maint - 75k PM = 4.5L</t>
  </si>
  <si>
    <t>Launch in 7 Locations</t>
  </si>
  <si>
    <r>
      <t xml:space="preserve">- Sharing/Self Purchase
- Offer
- Gaming
- Governance/Staff Training (Language/Cuisine/Etiquettes)
</t>
    </r>
    <r>
      <rPr>
        <b/>
        <sz val="11"/>
        <color theme="1"/>
        <rFont val="Calibri"/>
        <family val="2"/>
        <scheme val="minor"/>
      </rPr>
      <t>Initiate:</t>
    </r>
    <r>
      <rPr>
        <sz val="11"/>
        <color theme="1"/>
        <rFont val="Calibri"/>
        <family val="2"/>
        <scheme val="minor"/>
      </rPr>
      <t xml:space="preserve">
- Microlending development</t>
    </r>
  </si>
  <si>
    <t>- Broadcast
- Event management
- Corporate tie-ups, Sponsored events
- Artist management, CSR</t>
  </si>
  <si>
    <t>- Partial infrastructure costs across locations
- Acquisition &amp; marketing expenses
- POC expenses
- PPI &amp; other overlays
- Board setup
- Partial Op-Ex</t>
  </si>
  <si>
    <t>Clique Initiation</t>
  </si>
  <si>
    <t>Capex for launch in 7 Locations</t>
  </si>
  <si>
    <t>Recurring Op-Ex at end of first 3 years</t>
  </si>
  <si>
    <t>Dynamiv Op_ex at end of each year</t>
  </si>
  <si>
    <t>Wave 1 Target - 1st month
Earning per month at the end of 1st month</t>
  </si>
  <si>
    <t>Wave 1 Target - 2nd month
Earning per month at the end of 2nd month</t>
  </si>
  <si>
    <t>Wave 1 Target - 3rd month
Earning per month at the end of 3rd month</t>
  </si>
  <si>
    <t>Wave 1 Target - 4th month
Earning per month at the end of 4th month</t>
  </si>
  <si>
    <t>Wave 1 Target - 5th month
Earning per month at the end of 5th month</t>
  </si>
  <si>
    <t>Wave 1 Target - First 6 months
Earning per month at 6 months i.e. Phase 1</t>
  </si>
  <si>
    <t>After 2nd Wave 
Earning per month at 1 year i.e. Phase 2</t>
  </si>
  <si>
    <t>After 4th Wave 
Earning per month at 2 years i.e. Phase 4</t>
  </si>
  <si>
    <t>After 6th Wave 
Earning per month at 3 years i.e. Phase 6</t>
  </si>
  <si>
    <t>Month 1</t>
  </si>
  <si>
    <t>Month 2</t>
  </si>
  <si>
    <t>Month 3</t>
  </si>
  <si>
    <t>Month 4</t>
  </si>
  <si>
    <t>Month 5</t>
  </si>
  <si>
    <t>Month 6</t>
  </si>
  <si>
    <t>70 Restaurants; 70,000 consumers</t>
  </si>
  <si>
    <t>140 Restaurants; 140,000 consumers</t>
  </si>
  <si>
    <t>210 Restaurants; 210,000 consumers</t>
  </si>
  <si>
    <t>280 Restaurants; 280,000 consumers</t>
  </si>
  <si>
    <t>350 Restaurants; 350,000 consumers</t>
  </si>
  <si>
    <t>420 Restaurants; 420,000 consumers</t>
  </si>
  <si>
    <t>840 Restaurants; 840,000 consumers</t>
  </si>
  <si>
    <t>1680 Restaurants; 1,680,000 consumers</t>
  </si>
  <si>
    <t>3,360 Restaurants 33,60,000 Consumers</t>
  </si>
  <si>
    <t>Revenue Model</t>
  </si>
  <si>
    <t>Investments &amp; Expenditures</t>
  </si>
  <si>
    <t>- Clique Base development 
- Initiate WAIU PPI process</t>
  </si>
  <si>
    <t>Clique</t>
  </si>
  <si>
    <t>Call center?</t>
  </si>
  <si>
    <t>BOD/ MGMT Cost</t>
  </si>
  <si>
    <t>ID validation costs (customer signup driven) - Pancard customers</t>
  </si>
  <si>
    <t>no pan no clique</t>
  </si>
  <si>
    <t xml:space="preserve">rahul, suhas, katre, chatur, alok, rajesh, </t>
  </si>
  <si>
    <t>WAIU / PPI</t>
  </si>
  <si>
    <t>Per lender integration cost</t>
  </si>
  <si>
    <t>app, travel etc</t>
  </si>
  <si>
    <t>Contingency</t>
  </si>
  <si>
    <t>Merchant due diligency e.g. AML, TF</t>
  </si>
  <si>
    <t>Add clique revenue to financials</t>
  </si>
  <si>
    <t>Staff lending</t>
  </si>
  <si>
    <t>Consumer lending in phase 2</t>
  </si>
  <si>
    <t>BOD / Management Cost</t>
  </si>
  <si>
    <t>Total at end of year</t>
  </si>
  <si>
    <t>Capital &amp; Operational Expenses (CAPEX)</t>
  </si>
  <si>
    <t>Average wallet credit</t>
  </si>
  <si>
    <t>Total customers per city per cycle</t>
  </si>
  <si>
    <t>Assumed total interest for lender</t>
  </si>
  <si>
    <t>Average transaction value</t>
  </si>
  <si>
    <t>Funds disbursed</t>
  </si>
  <si>
    <t>NBFC return per transaction</t>
  </si>
  <si>
    <t>Average delay pool</t>
  </si>
  <si>
    <t>Delay fees per day (Rs)</t>
  </si>
  <si>
    <t>Average delay period in days</t>
  </si>
  <si>
    <t xml:space="preserve">Delay charges </t>
  </si>
  <si>
    <t>Annual Delay Charges</t>
  </si>
  <si>
    <t>Clique Share (Weighted Mean)</t>
  </si>
  <si>
    <t>Clique Earning Per Cycle</t>
  </si>
  <si>
    <t>Clique Annual Earning</t>
  </si>
  <si>
    <t>Credit book per cycle</t>
  </si>
  <si>
    <t>Annual Credit Book</t>
  </si>
  <si>
    <t>Annual returns to lender</t>
  </si>
  <si>
    <t>Total Annual Lender's Earnings</t>
  </si>
  <si>
    <t>``</t>
  </si>
  <si>
    <t>1 pager for me and RD</t>
  </si>
  <si>
    <t>board &amp; partner slide</t>
  </si>
  <si>
    <t>Merchant pitch P&amp;L sheet</t>
  </si>
  <si>
    <t>Add staff lending figures</t>
  </si>
  <si>
    <t>Clique 
Pre- Launch</t>
  </si>
  <si>
    <t>Acquisitions</t>
  </si>
  <si>
    <t xml:space="preserve">Clique Launch </t>
  </si>
  <si>
    <t>Clique Operations</t>
  </si>
  <si>
    <t>- Clique Full Service Launch</t>
  </si>
  <si>
    <t>- Clique development 
- Lender Integration</t>
  </si>
  <si>
    <r>
      <t xml:space="preserve">- Microlending (Merchant Staff)
</t>
    </r>
    <r>
      <rPr>
        <b/>
        <sz val="11"/>
        <color theme="1"/>
        <rFont val="Calibri"/>
        <family val="2"/>
        <scheme val="minor"/>
      </rPr>
      <t>Continue:</t>
    </r>
    <r>
      <rPr>
        <sz val="11"/>
        <color theme="1"/>
        <rFont val="Calibri"/>
        <family val="2"/>
        <scheme val="minor"/>
      </rPr>
      <t xml:space="preserve">
Clique Operations</t>
    </r>
  </si>
  <si>
    <r>
      <t xml:space="preserve">- Pre-Launch Events
</t>
    </r>
    <r>
      <rPr>
        <b/>
        <sz val="11"/>
        <color theme="1"/>
        <rFont val="Calibri"/>
        <family val="2"/>
        <scheme val="minor"/>
      </rPr>
      <t>Continue:</t>
    </r>
    <r>
      <rPr>
        <sz val="11"/>
        <color theme="1"/>
        <rFont val="Calibri"/>
        <family val="2"/>
        <scheme val="minor"/>
      </rPr>
      <t xml:space="preserve">
- Acquisitions</t>
    </r>
  </si>
  <si>
    <t>- Clique Operations &amp; expansion</t>
  </si>
  <si>
    <t>- Partial infrastructure costs
- Partial Op-Ex, Audit &amp; overlays
- TPP costs - APIs, Servicing</t>
  </si>
  <si>
    <t>5,6</t>
  </si>
  <si>
    <r>
      <t xml:space="preserve">- Clique POC
- Core Team Setup
</t>
    </r>
    <r>
      <rPr>
        <b/>
        <sz val="11"/>
        <color theme="1"/>
        <rFont val="Calibri"/>
        <family val="2"/>
        <scheme val="minor"/>
      </rPr>
      <t>Initiate:</t>
    </r>
    <r>
      <rPr>
        <sz val="11"/>
        <color theme="1"/>
        <rFont val="Calibri"/>
        <family val="2"/>
        <scheme val="minor"/>
      </rPr>
      <t xml:space="preserve">
- Merchant acquisition
- Customer Acquisition</t>
    </r>
  </si>
  <si>
    <t>- Campaigining - TVC, Advetorial, 360* Media
- Full infrastructure costs
- Y1 Full Op-Ex &amp; BOD</t>
  </si>
  <si>
    <t xml:space="preserve">- Service Provisioning costs
- Digital Customer Acquisition
</t>
  </si>
  <si>
    <t>- Multi Lender Integration
- NPCI Onboarding (Nth Reward)
- Marketing &amp; promotions
- Customer support &amp; technical development</t>
  </si>
  <si>
    <t>Platform Development / Maintenance</t>
  </si>
  <si>
    <t>- Partial infrastructure costs across locations
- Acquisition Events &amp; marketing expenses
- POC expenses
- Infra Setup (Office, Resourcing)
- PPI &amp; other overlays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</si>
</sst>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Rp&quot;* #,##0_-;\-&quot;Rp&quot;* #,##0_-;_-&quot;Rp&quot;* &quot;-&quot;_-;_-@_-"/>
    <numFmt numFmtId="165" formatCode="[$₹-439]#,##0"/>
    <numFmt numFmtId="166" formatCode="[&gt;=10000000]&quot;₹ &quot;##\,##\,##\,##0;[&gt;=100000]&quot;₹ &quot;\ ##\,##\,##0;&quot;₹ &quot;##,##0"/>
    <numFmt numFmtId="167" formatCode="[&gt;=10000000]&quot;₹ &quot;##\,##\,##\,##0;[&gt;=100000]&quot;₹ &quot;\ ##\,##\,##0;&quot;  &quot;##,##0"/>
    <numFmt numFmtId="168" formatCode="#,##0;[Red]#,##0"/>
  </numFmts>
  <fonts count="35" x14ac:knownFonts="1">
    <font>
      <sz val="11"/>
      <color theme="1"/>
      <name val="Calibri"/>
      <family val="2"/>
      <scheme val="minor"/>
    </font>
    <font>
      <sz val="12"/>
      <color theme="1"/>
      <name val="Calibri"/>
      <family val="2"/>
      <scheme val="minor"/>
    </font>
    <font>
      <b/>
      <sz val="11"/>
      <color theme="1"/>
      <name val="Calibri"/>
      <family val="2"/>
      <scheme val="minor"/>
    </font>
    <font>
      <sz val="11"/>
      <color rgb="FF202122"/>
      <name val="Arial"/>
      <family val="2"/>
    </font>
    <font>
      <sz val="11"/>
      <color rgb="FF0B0080"/>
      <name val="Arial"/>
      <family val="2"/>
    </font>
    <font>
      <vertAlign val="superscript"/>
      <sz val="8"/>
      <color rgb="FF0B0080"/>
      <name val="Arial"/>
      <family val="2"/>
    </font>
    <font>
      <i/>
      <sz val="11"/>
      <color rgb="FF202122"/>
      <name val="Arial"/>
      <family val="2"/>
    </font>
    <font>
      <sz val="11"/>
      <color rgb="FFFF0000"/>
      <name val="Calibri"/>
      <family val="2"/>
      <scheme val="minor"/>
    </font>
    <font>
      <b/>
      <u/>
      <sz val="11"/>
      <color theme="1"/>
      <name val="Calibri"/>
      <family val="2"/>
      <scheme val="minor"/>
    </font>
    <font>
      <b/>
      <sz val="11"/>
      <color rgb="FF0070C0"/>
      <name val="Calibri"/>
      <family val="2"/>
      <scheme val="minor"/>
    </font>
    <font>
      <b/>
      <sz val="11"/>
      <color rgb="FF7030A0"/>
      <name val="Calibri"/>
      <family val="2"/>
      <scheme val="minor"/>
    </font>
    <font>
      <b/>
      <sz val="12"/>
      <color theme="1"/>
      <name val="Calibri"/>
      <family val="2"/>
      <scheme val="minor"/>
    </font>
    <font>
      <sz val="11"/>
      <name val="Calibri"/>
      <family val="2"/>
      <scheme val="minor"/>
    </font>
    <font>
      <sz val="11"/>
      <name val="Arial"/>
      <family val="2"/>
    </font>
    <font>
      <b/>
      <sz val="11"/>
      <name val="Calibri"/>
      <family val="2"/>
      <scheme val="minor"/>
    </font>
    <font>
      <b/>
      <sz val="11"/>
      <color rgb="FFFF0000"/>
      <name val="Calibri"/>
      <family val="2"/>
      <scheme val="minor"/>
    </font>
    <font>
      <sz val="11"/>
      <color rgb="FF00B050"/>
      <name val="Calibri"/>
      <family val="2"/>
      <scheme val="minor"/>
    </font>
    <font>
      <sz val="11"/>
      <color rgb="FF00B0F0"/>
      <name val="Calibri"/>
      <family val="2"/>
      <scheme val="minor"/>
    </font>
    <font>
      <b/>
      <sz val="11"/>
      <color rgb="FF00B050"/>
      <name val="Calibri"/>
      <family val="2"/>
      <scheme val="minor"/>
    </font>
    <font>
      <u/>
      <sz val="11"/>
      <color theme="1"/>
      <name val="Calibri"/>
      <family val="2"/>
      <scheme val="minor"/>
    </font>
    <font>
      <b/>
      <sz val="14"/>
      <color theme="1"/>
      <name val="Calibri"/>
      <family val="2"/>
      <scheme val="minor"/>
    </font>
    <font>
      <sz val="14"/>
      <color theme="1"/>
      <name val="Calibri"/>
      <family val="2"/>
      <scheme val="minor"/>
    </font>
    <font>
      <sz val="12"/>
      <color theme="1"/>
      <name val="Calibri"/>
      <family val="2"/>
      <scheme val="minor"/>
    </font>
    <font>
      <u/>
      <sz val="11"/>
      <color theme="10"/>
      <name val="Calibri"/>
      <family val="2"/>
      <scheme val="minor"/>
    </font>
    <font>
      <sz val="9"/>
      <color indexed="81"/>
      <name val="Tahoma"/>
      <family val="2"/>
    </font>
    <font>
      <b/>
      <sz val="9"/>
      <color indexed="81"/>
      <name val="Tahoma"/>
      <family val="2"/>
    </font>
    <font>
      <sz val="11"/>
      <color rgb="FF7030A0"/>
      <name val="Calibri"/>
      <family val="2"/>
      <scheme val="minor"/>
    </font>
    <font>
      <b/>
      <sz val="9"/>
      <color rgb="FF000000"/>
      <name val="Tahoma"/>
      <family val="2"/>
    </font>
    <font>
      <sz val="9"/>
      <color rgb="FF000000"/>
      <name val="Tahoma"/>
      <family val="2"/>
    </font>
    <font>
      <sz val="11"/>
      <color theme="1"/>
      <name val="Calibri"/>
      <family val="2"/>
      <scheme val="minor"/>
    </font>
    <font>
      <sz val="11"/>
      <color rgb="FFFF0000"/>
      <name val="Calibri (Body)"/>
    </font>
    <font>
      <sz val="11"/>
      <color rgb="FF000000"/>
      <name val="Calibri"/>
      <family val="2"/>
      <scheme val="minor"/>
    </font>
    <font>
      <b/>
      <sz val="11"/>
      <color rgb="FF000000"/>
      <name val="Calibri"/>
      <family val="2"/>
      <scheme val="minor"/>
    </font>
    <font>
      <b/>
      <sz val="16"/>
      <color theme="1"/>
      <name val="Calibri"/>
      <family val="2"/>
      <scheme val="minor"/>
    </font>
    <font>
      <b/>
      <sz val="18"/>
      <color theme="1"/>
      <name val="Calibri"/>
      <family val="2"/>
      <scheme val="minor"/>
    </font>
  </fonts>
  <fills count="24">
    <fill>
      <patternFill patternType="none"/>
    </fill>
    <fill>
      <patternFill patternType="gray125"/>
    </fill>
    <fill>
      <patternFill patternType="solid">
        <fgColor theme="4" tint="0.59999389629810485"/>
        <bgColor indexed="64"/>
      </patternFill>
    </fill>
    <fill>
      <patternFill patternType="solid">
        <fgColor theme="0" tint="-0.34998626667073579"/>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249977111117893"/>
        <bgColor indexed="64"/>
      </patternFill>
    </fill>
    <fill>
      <patternFill patternType="solid">
        <fgColor rgb="FF1FE01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00B0F0"/>
        <bgColor rgb="FF000000"/>
      </patternFill>
    </fill>
    <fill>
      <patternFill patternType="solid">
        <fgColor rgb="FF00B050"/>
        <bgColor indexed="64"/>
      </patternFill>
    </fill>
    <fill>
      <patternFill patternType="solid">
        <fgColor theme="9" tint="0.39997558519241921"/>
        <bgColor indexed="64"/>
      </patternFill>
    </fill>
    <fill>
      <patternFill patternType="solid">
        <fgColor theme="2" tint="-0.249977111117893"/>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23" fillId="0" borderId="0" applyNumberFormat="0" applyFill="0" applyBorder="0" applyAlignment="0" applyProtection="0"/>
    <xf numFmtId="9" fontId="29" fillId="0" borderId="0" applyFont="0" applyFill="0" applyBorder="0" applyAlignment="0" applyProtection="0"/>
  </cellStyleXfs>
  <cellXfs count="463">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vertical="top" wrapText="1"/>
    </xf>
    <xf numFmtId="0" fontId="2" fillId="2" borderId="1" xfId="0" applyFont="1" applyFill="1" applyBorder="1"/>
    <xf numFmtId="0" fontId="2" fillId="2" borderId="1" xfId="0" applyFont="1" applyFill="1" applyBorder="1" applyAlignment="1">
      <alignment horizontal="left"/>
    </xf>
    <xf numFmtId="0" fontId="2" fillId="2" borderId="1" xfId="0" applyFont="1" applyFill="1" applyBorder="1" applyAlignment="1">
      <alignment wrapText="1"/>
    </xf>
    <xf numFmtId="0" fontId="0" fillId="3" borderId="1" xfId="0" applyFill="1" applyBorder="1"/>
    <xf numFmtId="0" fontId="0" fillId="3" borderId="1" xfId="0" applyFill="1" applyBorder="1" applyAlignment="1">
      <alignment wrapText="1"/>
    </xf>
    <xf numFmtId="0" fontId="0" fillId="0" borderId="2" xfId="0" applyFill="1" applyBorder="1"/>
    <xf numFmtId="0" fontId="0" fillId="0" borderId="1" xfId="0" applyFill="1" applyBorder="1"/>
    <xf numFmtId="0" fontId="0" fillId="0" borderId="1" xfId="0" applyFill="1" applyBorder="1" applyAlignment="1">
      <alignment wrapText="1"/>
    </xf>
    <xf numFmtId="0" fontId="0" fillId="0" borderId="2" xfId="0" applyFill="1" applyBorder="1" applyAlignment="1">
      <alignment wrapText="1"/>
    </xf>
    <xf numFmtId="0" fontId="7" fillId="0" borderId="1" xfId="0" applyFont="1" applyBorder="1" applyAlignment="1">
      <alignment wrapText="1"/>
    </xf>
    <xf numFmtId="16" fontId="0" fillId="0" borderId="0" xfId="0" applyNumberFormat="1"/>
    <xf numFmtId="9" fontId="0" fillId="0" borderId="0" xfId="0" applyNumberFormat="1"/>
    <xf numFmtId="0" fontId="0" fillId="0" borderId="0" xfId="0" applyAlignment="1">
      <alignment vertical="top" wrapText="1"/>
    </xf>
    <xf numFmtId="0" fontId="2" fillId="4" borderId="1" xfId="0" applyFont="1" applyFill="1" applyBorder="1"/>
    <xf numFmtId="0" fontId="2" fillId="4" borderId="1" xfId="0" applyFont="1" applyFill="1" applyBorder="1" applyAlignment="1">
      <alignment wrapText="1"/>
    </xf>
    <xf numFmtId="164" fontId="0" fillId="0" borderId="0" xfId="0" applyNumberFormat="1"/>
    <xf numFmtId="164" fontId="0" fillId="0" borderId="0" xfId="0" applyNumberFormat="1" applyAlignment="1">
      <alignment wrapText="1"/>
    </xf>
    <xf numFmtId="9" fontId="0" fillId="0" borderId="0" xfId="0" applyNumberFormat="1" applyAlignment="1">
      <alignment horizontal="right" wrapText="1"/>
    </xf>
    <xf numFmtId="0" fontId="0" fillId="0" borderId="0" xfId="0" applyAlignment="1"/>
    <xf numFmtId="0" fontId="0" fillId="0" borderId="0" xfId="0" applyAlignment="1">
      <alignment horizontal="left" vertical="top" wrapText="1"/>
    </xf>
    <xf numFmtId="166" fontId="0" fillId="0" borderId="0" xfId="0" applyNumberFormat="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xf>
    <xf numFmtId="9" fontId="0" fillId="0" borderId="0" xfId="0" applyNumberFormat="1" applyAlignment="1">
      <alignment horizontal="left" vertical="top" wrapText="1"/>
    </xf>
    <xf numFmtId="164" fontId="0" fillId="0" borderId="0" xfId="0" applyNumberFormat="1" applyAlignment="1">
      <alignment horizontal="left" vertical="top" wrapText="1"/>
    </xf>
    <xf numFmtId="165" fontId="0" fillId="0" borderId="0" xfId="0" applyNumberFormat="1" applyAlignment="1">
      <alignment horizontal="left" vertical="top" wrapText="1"/>
    </xf>
    <xf numFmtId="0" fontId="0" fillId="4" borderId="0" xfId="0" applyFill="1" applyAlignment="1">
      <alignment vertical="top" wrapText="1"/>
    </xf>
    <xf numFmtId="164" fontId="0" fillId="0" borderId="0" xfId="0" applyNumberFormat="1" applyAlignment="1">
      <alignment horizontal="left" vertical="top"/>
    </xf>
    <xf numFmtId="166" fontId="0" fillId="5" borderId="0" xfId="0" applyNumberFormat="1" applyFill="1" applyAlignment="1">
      <alignment horizontal="left" vertical="top" wrapText="1"/>
    </xf>
    <xf numFmtId="0" fontId="2" fillId="5" borderId="0" xfId="0" applyFont="1" applyFill="1" applyAlignment="1">
      <alignment horizontal="left" vertical="top" wrapText="1"/>
    </xf>
    <xf numFmtId="166" fontId="0" fillId="4" borderId="0" xfId="0" applyNumberFormat="1" applyFill="1" applyAlignment="1">
      <alignment horizontal="left" vertical="top" wrapText="1"/>
    </xf>
    <xf numFmtId="0" fontId="0" fillId="0" borderId="0" xfId="0" applyAlignment="1">
      <alignment horizontal="left" vertical="center"/>
    </xf>
    <xf numFmtId="166" fontId="0" fillId="0" borderId="0" xfId="0" applyNumberFormat="1" applyAlignment="1">
      <alignment horizontal="center" vertical="center"/>
    </xf>
    <xf numFmtId="0" fontId="0" fillId="0" borderId="0" xfId="0" applyAlignment="1">
      <alignment horizontal="center"/>
    </xf>
    <xf numFmtId="0" fontId="12" fillId="0" borderId="0" xfId="0" applyFont="1"/>
    <xf numFmtId="0" fontId="0" fillId="0" borderId="1" xfId="0" applyBorder="1" applyAlignment="1">
      <alignment horizontal="center"/>
    </xf>
    <xf numFmtId="166" fontId="0" fillId="0" borderId="1" xfId="0" applyNumberFormat="1" applyBorder="1" applyAlignment="1">
      <alignment horizontal="left" vertical="top" wrapText="1"/>
    </xf>
    <xf numFmtId="0" fontId="12" fillId="0" borderId="1" xfId="0" applyFont="1" applyBorder="1"/>
    <xf numFmtId="0" fontId="0" fillId="0" borderId="1" xfId="0" applyBorder="1" applyAlignment="1">
      <alignment horizontal="left" vertical="top" wrapText="1"/>
    </xf>
    <xf numFmtId="0" fontId="0" fillId="0" borderId="1" xfId="0" applyBorder="1" applyAlignment="1">
      <alignment horizontal="center" vertical="top" wrapText="1"/>
    </xf>
    <xf numFmtId="166" fontId="0" fillId="0" borderId="1" xfId="0" applyNumberFormat="1" applyBorder="1" applyAlignment="1">
      <alignment horizontal="center" vertical="top" wrapText="1"/>
    </xf>
    <xf numFmtId="0" fontId="2" fillId="4" borderId="5" xfId="0" applyFont="1" applyFill="1" applyBorder="1" applyAlignment="1">
      <alignment horizontal="center"/>
    </xf>
    <xf numFmtId="0" fontId="2" fillId="4" borderId="6" xfId="0" applyFont="1" applyFill="1" applyBorder="1" applyAlignment="1">
      <alignment horizontal="center"/>
    </xf>
    <xf numFmtId="166" fontId="0" fillId="0" borderId="0" xfId="0" applyNumberFormat="1" applyAlignment="1">
      <alignment horizontal="left" vertical="top"/>
    </xf>
    <xf numFmtId="0" fontId="0" fillId="0" borderId="1" xfId="0" applyFill="1" applyBorder="1" applyAlignment="1">
      <alignment horizontal="left" vertical="top" wrapText="1"/>
    </xf>
    <xf numFmtId="166" fontId="0" fillId="0" borderId="1" xfId="0" applyNumberFormat="1" applyFill="1" applyBorder="1" applyAlignment="1">
      <alignment horizontal="left" vertical="top" wrapText="1"/>
    </xf>
    <xf numFmtId="0" fontId="7" fillId="0" borderId="1" xfId="0" applyFont="1" applyBorder="1"/>
    <xf numFmtId="166" fontId="0" fillId="6" borderId="0" xfId="0" applyNumberFormat="1" applyFill="1" applyAlignment="1">
      <alignment horizontal="left" vertical="top" wrapText="1"/>
    </xf>
    <xf numFmtId="0" fontId="0" fillId="0" borderId="8" xfId="0" applyBorder="1" applyAlignment="1">
      <alignment horizontal="center"/>
    </xf>
    <xf numFmtId="0" fontId="0" fillId="0" borderId="2" xfId="0" applyBorder="1" applyAlignment="1">
      <alignment horizontal="center"/>
    </xf>
    <xf numFmtId="166" fontId="0" fillId="0" borderId="2" xfId="0" applyNumberFormat="1" applyBorder="1" applyAlignment="1">
      <alignment horizontal="left" vertical="top" wrapText="1"/>
    </xf>
    <xf numFmtId="0" fontId="14" fillId="0" borderId="2" xfId="0" applyFont="1" applyBorder="1"/>
    <xf numFmtId="0" fontId="10" fillId="0" borderId="1" xfId="0" applyFont="1" applyBorder="1" applyAlignment="1">
      <alignment horizontal="left" vertical="top" wrapText="1"/>
    </xf>
    <xf numFmtId="166" fontId="15" fillId="0" borderId="1" xfId="0" applyNumberFormat="1" applyFont="1" applyBorder="1" applyAlignment="1">
      <alignment horizontal="left" vertical="top" wrapText="1"/>
    </xf>
    <xf numFmtId="166" fontId="0" fillId="0" borderId="0" xfId="0" applyNumberFormat="1"/>
    <xf numFmtId="9" fontId="0" fillId="0" borderId="1" xfId="0" applyNumberFormat="1" applyBorder="1" applyAlignment="1">
      <alignment horizontal="center"/>
    </xf>
    <xf numFmtId="0" fontId="19" fillId="0" borderId="0" xfId="0" applyFont="1" applyAlignment="1">
      <alignment horizontal="left" vertical="top"/>
    </xf>
    <xf numFmtId="0" fontId="0" fillId="9" borderId="0" xfId="0" applyFill="1" applyAlignment="1">
      <alignment horizontal="left" vertical="top"/>
    </xf>
    <xf numFmtId="0" fontId="2" fillId="5" borderId="5" xfId="0" applyFont="1" applyFill="1" applyBorder="1" applyAlignment="1">
      <alignment horizontal="center"/>
    </xf>
    <xf numFmtId="0" fontId="2" fillId="5" borderId="6" xfId="0" applyFont="1" applyFill="1" applyBorder="1" applyAlignment="1">
      <alignment horizontal="center"/>
    </xf>
    <xf numFmtId="0" fontId="2" fillId="5" borderId="6" xfId="0" applyFont="1" applyFill="1" applyBorder="1" applyAlignment="1">
      <alignment horizontal="center" wrapText="1"/>
    </xf>
    <xf numFmtId="0" fontId="2" fillId="5" borderId="7" xfId="0" applyFont="1" applyFill="1" applyBorder="1" applyAlignment="1">
      <alignment horizontal="center"/>
    </xf>
    <xf numFmtId="0" fontId="0" fillId="8" borderId="1" xfId="0" applyFill="1" applyBorder="1" applyAlignment="1">
      <alignment horizontal="center"/>
    </xf>
    <xf numFmtId="9" fontId="0" fillId="8" borderId="1" xfId="0" applyNumberFormat="1" applyFill="1" applyBorder="1" applyAlignment="1">
      <alignment horizontal="center"/>
    </xf>
    <xf numFmtId="0" fontId="16" fillId="8" borderId="1" xfId="0" applyFont="1" applyFill="1" applyBorder="1" applyAlignment="1">
      <alignment horizontal="center"/>
    </xf>
    <xf numFmtId="0" fontId="0" fillId="8" borderId="1" xfId="0" applyFill="1" applyBorder="1"/>
    <xf numFmtId="0" fontId="0" fillId="8" borderId="17" xfId="0" applyFill="1" applyBorder="1" applyAlignment="1">
      <alignment horizontal="center"/>
    </xf>
    <xf numFmtId="9" fontId="0" fillId="8" borderId="17" xfId="0" applyNumberFormat="1" applyFill="1" applyBorder="1" applyAlignment="1">
      <alignment horizontal="center"/>
    </xf>
    <xf numFmtId="0" fontId="16" fillId="8" borderId="17" xfId="0" applyFont="1" applyFill="1" applyBorder="1" applyAlignment="1">
      <alignment horizontal="center"/>
    </xf>
    <xf numFmtId="0" fontId="0" fillId="8" borderId="17" xfId="0" applyFill="1" applyBorder="1"/>
    <xf numFmtId="0" fontId="0" fillId="8" borderId="4" xfId="0" applyFill="1" applyBorder="1" applyAlignment="1">
      <alignment horizontal="center"/>
    </xf>
    <xf numFmtId="0" fontId="0" fillId="8" borderId="4" xfId="0" applyFill="1" applyBorder="1"/>
    <xf numFmtId="0" fontId="0" fillId="10" borderId="14" xfId="0" applyFill="1" applyBorder="1" applyAlignment="1">
      <alignment horizontal="center"/>
    </xf>
    <xf numFmtId="9" fontId="0" fillId="10" borderId="14" xfId="0" applyNumberFormat="1" applyFill="1" applyBorder="1" applyAlignment="1">
      <alignment horizontal="center"/>
    </xf>
    <xf numFmtId="0" fontId="16" fillId="10" borderId="14" xfId="0" applyFont="1" applyFill="1" applyBorder="1" applyAlignment="1">
      <alignment horizontal="center"/>
    </xf>
    <xf numFmtId="0" fontId="0" fillId="10" borderId="14" xfId="0" applyFill="1" applyBorder="1"/>
    <xf numFmtId="0" fontId="0" fillId="10" borderId="1" xfId="0" applyFill="1" applyBorder="1" applyAlignment="1">
      <alignment horizontal="center"/>
    </xf>
    <xf numFmtId="9" fontId="0" fillId="10" borderId="1" xfId="0" applyNumberFormat="1" applyFill="1" applyBorder="1" applyAlignment="1">
      <alignment horizontal="center"/>
    </xf>
    <xf numFmtId="0" fontId="16" fillId="10" borderId="1" xfId="0" applyFont="1" applyFill="1" applyBorder="1" applyAlignment="1">
      <alignment horizontal="center"/>
    </xf>
    <xf numFmtId="0" fontId="0" fillId="10" borderId="1" xfId="0" applyFill="1" applyBorder="1"/>
    <xf numFmtId="166" fontId="0" fillId="0" borderId="1" xfId="0" applyNumberFormat="1" applyFont="1" applyBorder="1" applyAlignment="1">
      <alignment horizontal="left" vertical="top" wrapText="1"/>
    </xf>
    <xf numFmtId="0" fontId="21" fillId="5" borderId="1" xfId="0" applyFont="1" applyFill="1" applyBorder="1" applyAlignment="1">
      <alignment horizontal="center"/>
    </xf>
    <xf numFmtId="166" fontId="21" fillId="5" borderId="1" xfId="0" applyNumberFormat="1" applyFont="1" applyFill="1" applyBorder="1" applyAlignment="1"/>
    <xf numFmtId="0" fontId="21" fillId="11" borderId="1" xfId="0" applyFont="1" applyFill="1" applyBorder="1" applyAlignment="1">
      <alignment horizontal="center"/>
    </xf>
    <xf numFmtId="166" fontId="21" fillId="11" borderId="1" xfId="0" applyNumberFormat="1" applyFont="1" applyFill="1" applyBorder="1" applyAlignment="1"/>
    <xf numFmtId="166" fontId="0" fillId="10" borderId="1" xfId="0" applyNumberFormat="1" applyFill="1" applyBorder="1" applyAlignment="1">
      <alignment horizontal="left" vertical="top" wrapText="1"/>
    </xf>
    <xf numFmtId="166" fontId="15" fillId="10" borderId="1" xfId="0" applyNumberFormat="1" applyFont="1" applyFill="1" applyBorder="1" applyAlignment="1">
      <alignment horizontal="left" vertical="top" wrapText="1"/>
    </xf>
    <xf numFmtId="0" fontId="0" fillId="10" borderId="14" xfId="0" applyFill="1" applyBorder="1" applyAlignment="1">
      <alignment horizontal="left" vertical="center"/>
    </xf>
    <xf numFmtId="167" fontId="0" fillId="10" borderId="14" xfId="0" applyNumberFormat="1" applyFill="1" applyBorder="1" applyAlignment="1">
      <alignment horizontal="center" vertical="center" wrapText="1"/>
    </xf>
    <xf numFmtId="167" fontId="0" fillId="10" borderId="9" xfId="0" applyNumberFormat="1" applyFill="1" applyBorder="1" applyAlignment="1">
      <alignment horizontal="center" vertical="center" wrapText="1"/>
    </xf>
    <xf numFmtId="0" fontId="0" fillId="10" borderId="1" xfId="0" applyFill="1" applyBorder="1" applyAlignment="1">
      <alignment horizontal="left" vertical="center"/>
    </xf>
    <xf numFmtId="167" fontId="0" fillId="10" borderId="1" xfId="0" applyNumberFormat="1" applyFill="1" applyBorder="1" applyAlignment="1">
      <alignment horizontal="center" vertical="center" wrapText="1"/>
    </xf>
    <xf numFmtId="167" fontId="0" fillId="10" borderId="10" xfId="0" applyNumberFormat="1" applyFill="1" applyBorder="1" applyAlignment="1">
      <alignment horizontal="center" vertical="center" wrapText="1"/>
    </xf>
    <xf numFmtId="0" fontId="0" fillId="10" borderId="9" xfId="0" applyFill="1" applyBorder="1" applyAlignment="1">
      <alignment horizontal="left" vertical="center"/>
    </xf>
    <xf numFmtId="166" fontId="0" fillId="10" borderId="1" xfId="0" applyNumberFormat="1" applyFill="1" applyBorder="1" applyAlignment="1">
      <alignment horizontal="center" vertical="center" wrapText="1"/>
    </xf>
    <xf numFmtId="0" fontId="0" fillId="10" borderId="10" xfId="0" applyFill="1" applyBorder="1" applyAlignment="1">
      <alignment horizontal="left" vertical="center"/>
    </xf>
    <xf numFmtId="0" fontId="0" fillId="10" borderId="15" xfId="0" applyFill="1" applyBorder="1" applyAlignment="1">
      <alignment vertical="center"/>
    </xf>
    <xf numFmtId="9" fontId="0" fillId="10" borderId="1" xfId="0" applyNumberFormat="1" applyFill="1" applyBorder="1" applyAlignment="1">
      <alignment horizontal="left" vertical="center"/>
    </xf>
    <xf numFmtId="167" fontId="2" fillId="10" borderId="14" xfId="0" applyNumberFormat="1" applyFont="1" applyFill="1" applyBorder="1" applyAlignment="1">
      <alignment horizontal="center" vertical="center" wrapText="1"/>
    </xf>
    <xf numFmtId="0" fontId="0" fillId="10" borderId="17" xfId="0" applyFill="1" applyBorder="1" applyAlignment="1">
      <alignment horizontal="left" vertical="center"/>
    </xf>
    <xf numFmtId="0" fontId="0" fillId="10" borderId="14" xfId="0" applyFill="1" applyBorder="1" applyAlignment="1">
      <alignment horizontal="center" vertical="center"/>
    </xf>
    <xf numFmtId="0" fontId="0" fillId="10" borderId="4" xfId="0" applyFill="1" applyBorder="1" applyAlignment="1">
      <alignment horizontal="left" vertical="center"/>
    </xf>
    <xf numFmtId="0" fontId="0" fillId="10" borderId="4" xfId="0" applyFill="1" applyBorder="1" applyAlignment="1">
      <alignment horizontal="left" vertical="center" wrapText="1"/>
    </xf>
    <xf numFmtId="166" fontId="0" fillId="10" borderId="4" xfId="0" applyNumberFormat="1" applyFill="1" applyBorder="1" applyAlignment="1">
      <alignment horizontal="center" vertical="center"/>
    </xf>
    <xf numFmtId="0" fontId="0" fillId="10" borderId="1" xfId="0" applyFill="1" applyBorder="1" applyAlignment="1">
      <alignment horizontal="left" vertical="center" wrapText="1"/>
    </xf>
    <xf numFmtId="166" fontId="0" fillId="10" borderId="1" xfId="0" applyNumberFormat="1" applyFill="1" applyBorder="1" applyAlignment="1">
      <alignment horizontal="center" vertical="center"/>
    </xf>
    <xf numFmtId="0" fontId="10" fillId="11" borderId="5" xfId="0" applyFont="1" applyFill="1" applyBorder="1" applyAlignment="1">
      <alignment horizontal="center" vertical="center"/>
    </xf>
    <xf numFmtId="0" fontId="10" fillId="11" borderId="6" xfId="0" applyFont="1" applyFill="1" applyBorder="1" applyAlignment="1">
      <alignment horizontal="center" vertical="center"/>
    </xf>
    <xf numFmtId="0" fontId="10" fillId="11" borderId="6" xfId="0" applyFont="1" applyFill="1" applyBorder="1" applyAlignment="1">
      <alignment horizontal="center" vertical="center" wrapText="1"/>
    </xf>
    <xf numFmtId="0" fontId="10" fillId="11" borderId="7" xfId="0" applyFont="1" applyFill="1" applyBorder="1" applyAlignment="1">
      <alignment horizontal="center" vertical="center"/>
    </xf>
    <xf numFmtId="0" fontId="2" fillId="13" borderId="1" xfId="0" applyFont="1" applyFill="1" applyBorder="1" applyAlignment="1">
      <alignment horizontal="left" vertical="center" wrapText="1"/>
    </xf>
    <xf numFmtId="166" fontId="2" fillId="13" borderId="1" xfId="0" applyNumberFormat="1" applyFont="1" applyFill="1" applyBorder="1" applyAlignment="1">
      <alignment horizontal="center" vertical="center"/>
    </xf>
    <xf numFmtId="0" fontId="2" fillId="13" borderId="4" xfId="0" applyFont="1" applyFill="1" applyBorder="1" applyAlignment="1">
      <alignment horizontal="left" vertical="center" wrapText="1"/>
    </xf>
    <xf numFmtId="0" fontId="0" fillId="14" borderId="14" xfId="0" applyFill="1" applyBorder="1" applyAlignment="1">
      <alignment horizontal="left" vertical="center"/>
    </xf>
    <xf numFmtId="0" fontId="0" fillId="14" borderId="9" xfId="0" applyFill="1" applyBorder="1" applyAlignment="1">
      <alignment horizontal="left" vertical="center"/>
    </xf>
    <xf numFmtId="0" fontId="0" fillId="14" borderId="1" xfId="0" applyFill="1" applyBorder="1" applyAlignment="1">
      <alignment horizontal="left" vertical="center"/>
    </xf>
    <xf numFmtId="166" fontId="0" fillId="14" borderId="1" xfId="0" applyNumberFormat="1" applyFill="1" applyBorder="1" applyAlignment="1">
      <alignment horizontal="center" vertical="center" wrapText="1"/>
    </xf>
    <xf numFmtId="0" fontId="0" fillId="14" borderId="10" xfId="0" applyFill="1" applyBorder="1" applyAlignment="1">
      <alignment horizontal="left" vertical="center"/>
    </xf>
    <xf numFmtId="0" fontId="0" fillId="14" borderId="15" xfId="0" applyFill="1" applyBorder="1" applyAlignment="1">
      <alignment vertical="center"/>
    </xf>
    <xf numFmtId="9" fontId="0" fillId="14" borderId="1" xfId="0" applyNumberFormat="1" applyFill="1" applyBorder="1" applyAlignment="1">
      <alignment horizontal="left" vertical="center"/>
    </xf>
    <xf numFmtId="0" fontId="0" fillId="14" borderId="19" xfId="0" applyFill="1" applyBorder="1" applyAlignment="1">
      <alignment vertical="center"/>
    </xf>
    <xf numFmtId="9" fontId="0" fillId="14" borderId="3" xfId="0" applyNumberFormat="1" applyFill="1" applyBorder="1" applyAlignment="1">
      <alignment horizontal="left" vertical="center"/>
    </xf>
    <xf numFmtId="166" fontId="16" fillId="14" borderId="3" xfId="0" applyNumberFormat="1" applyFont="1" applyFill="1" applyBorder="1" applyAlignment="1">
      <alignment horizontal="center" vertical="center" wrapText="1"/>
    </xf>
    <xf numFmtId="0" fontId="0" fillId="14" borderId="3" xfId="0" applyFill="1" applyBorder="1" applyAlignment="1">
      <alignment horizontal="left" vertical="center"/>
    </xf>
    <xf numFmtId="167" fontId="0" fillId="14" borderId="14" xfId="0" applyNumberFormat="1" applyFill="1" applyBorder="1" applyAlignment="1">
      <alignment horizontal="center" vertical="center" wrapText="1"/>
    </xf>
    <xf numFmtId="0" fontId="0" fillId="14" borderId="16" xfId="0" applyFill="1" applyBorder="1" applyAlignment="1">
      <alignment vertical="center"/>
    </xf>
    <xf numFmtId="9" fontId="0" fillId="14" borderId="17" xfId="0" applyNumberFormat="1" applyFill="1" applyBorder="1" applyAlignment="1">
      <alignment horizontal="left" vertical="center"/>
    </xf>
    <xf numFmtId="166" fontId="18" fillId="14" borderId="17" xfId="0" applyNumberFormat="1" applyFont="1" applyFill="1" applyBorder="1" applyAlignment="1">
      <alignment horizontal="center" vertical="center" wrapText="1"/>
    </xf>
    <xf numFmtId="0" fontId="0" fillId="14" borderId="17" xfId="0" applyFill="1" applyBorder="1" applyAlignment="1">
      <alignment horizontal="left" vertical="center"/>
    </xf>
    <xf numFmtId="0" fontId="0" fillId="14" borderId="4" xfId="0" applyFill="1" applyBorder="1" applyAlignment="1">
      <alignment horizontal="left" vertical="center"/>
    </xf>
    <xf numFmtId="167" fontId="11" fillId="14" borderId="4" xfId="0" applyNumberFormat="1" applyFont="1" applyFill="1" applyBorder="1" applyAlignment="1">
      <alignment horizontal="center" vertical="center" wrapText="1"/>
    </xf>
    <xf numFmtId="0" fontId="0" fillId="14" borderId="22" xfId="0" applyFill="1" applyBorder="1" applyAlignment="1">
      <alignment horizontal="left" vertical="center"/>
    </xf>
    <xf numFmtId="167" fontId="0" fillId="10" borderId="17" xfId="0" applyNumberFormat="1" applyFill="1" applyBorder="1" applyAlignment="1">
      <alignment horizontal="center" vertical="center" wrapText="1"/>
    </xf>
    <xf numFmtId="167" fontId="0" fillId="10" borderId="11" xfId="0" applyNumberFormat="1" applyFill="1" applyBorder="1" applyAlignment="1">
      <alignment horizontal="center" vertical="center" wrapText="1"/>
    </xf>
    <xf numFmtId="0" fontId="0" fillId="10" borderId="10" xfId="0" applyFont="1" applyFill="1" applyBorder="1" applyAlignment="1">
      <alignment horizontal="left" vertical="center" wrapText="1"/>
    </xf>
    <xf numFmtId="0" fontId="0" fillId="10" borderId="15" xfId="0" applyFill="1" applyBorder="1" applyAlignment="1">
      <alignment horizontal="center" vertical="center"/>
    </xf>
    <xf numFmtId="0" fontId="0" fillId="10" borderId="13" xfId="0" applyFill="1" applyBorder="1" applyAlignment="1">
      <alignment horizontal="center" vertical="center"/>
    </xf>
    <xf numFmtId="0" fontId="10" fillId="11" borderId="33" xfId="0" applyFont="1" applyFill="1" applyBorder="1" applyAlignment="1">
      <alignment horizontal="center" vertical="center" wrapText="1"/>
    </xf>
    <xf numFmtId="0" fontId="10" fillId="11" borderId="0" xfId="0" applyFont="1" applyFill="1" applyBorder="1" applyAlignment="1">
      <alignment horizontal="center" vertical="center" wrapText="1"/>
    </xf>
    <xf numFmtId="167" fontId="0" fillId="10" borderId="0" xfId="0" applyNumberFormat="1" applyFill="1" applyBorder="1" applyAlignment="1">
      <alignment horizontal="center" vertical="center" wrapText="1"/>
    </xf>
    <xf numFmtId="0" fontId="0" fillId="10" borderId="34" xfId="0" applyFill="1" applyBorder="1" applyAlignment="1">
      <alignment horizontal="left" vertical="center"/>
    </xf>
    <xf numFmtId="0" fontId="0" fillId="10" borderId="32" xfId="0" applyFill="1" applyBorder="1" applyAlignment="1">
      <alignment horizontal="left" vertical="center"/>
    </xf>
    <xf numFmtId="0" fontId="0" fillId="10" borderId="23" xfId="0" applyFill="1" applyBorder="1" applyAlignment="1">
      <alignment vertical="center"/>
    </xf>
    <xf numFmtId="0" fontId="0" fillId="10" borderId="16" xfId="0" applyFill="1" applyBorder="1" applyAlignment="1">
      <alignment vertical="center"/>
    </xf>
    <xf numFmtId="9" fontId="0" fillId="10" borderId="17" xfId="0" applyNumberFormat="1" applyFill="1" applyBorder="1" applyAlignment="1">
      <alignment horizontal="left" vertical="center"/>
    </xf>
    <xf numFmtId="166" fontId="16" fillId="10" borderId="17" xfId="0" applyNumberFormat="1" applyFont="1" applyFill="1" applyBorder="1" applyAlignment="1">
      <alignment horizontal="center" vertical="center" wrapText="1"/>
    </xf>
    <xf numFmtId="0" fontId="0" fillId="10" borderId="11" xfId="0" applyFill="1" applyBorder="1" applyAlignment="1">
      <alignment horizontal="left" vertical="center"/>
    </xf>
    <xf numFmtId="166" fontId="0" fillId="11" borderId="39" xfId="0" applyNumberFormat="1" applyFill="1" applyBorder="1" applyAlignment="1">
      <alignment horizontal="center" vertical="center"/>
    </xf>
    <xf numFmtId="0" fontId="2" fillId="11" borderId="18" xfId="0" applyFont="1" applyFill="1" applyBorder="1" applyAlignment="1">
      <alignment horizontal="left" vertical="center"/>
    </xf>
    <xf numFmtId="166" fontId="18" fillId="10" borderId="17" xfId="0" applyNumberFormat="1" applyFont="1" applyFill="1" applyBorder="1" applyAlignment="1">
      <alignment horizontal="center" vertical="center" wrapText="1"/>
    </xf>
    <xf numFmtId="166" fontId="0" fillId="14" borderId="1" xfId="0" applyNumberFormat="1" applyFill="1" applyBorder="1" applyAlignment="1">
      <alignment horizontal="left" vertical="center"/>
    </xf>
    <xf numFmtId="166" fontId="15" fillId="0" borderId="1" xfId="0" applyNumberFormat="1" applyFont="1" applyBorder="1" applyAlignment="1">
      <alignment horizontal="center" vertical="top" wrapText="1"/>
    </xf>
    <xf numFmtId="166" fontId="0" fillId="10" borderId="1" xfId="0" applyNumberFormat="1" applyFill="1" applyBorder="1" applyAlignment="1">
      <alignment horizontal="center" vertical="top" wrapText="1"/>
    </xf>
    <xf numFmtId="166" fontId="15" fillId="10" borderId="1" xfId="0" applyNumberFormat="1" applyFont="1" applyFill="1" applyBorder="1" applyAlignment="1">
      <alignment horizontal="center" vertical="top" wrapText="1"/>
    </xf>
    <xf numFmtId="166" fontId="0" fillId="0" borderId="1" xfId="0" applyNumberFormat="1" applyFont="1" applyBorder="1" applyAlignment="1">
      <alignment horizontal="center" vertical="top" wrapText="1"/>
    </xf>
    <xf numFmtId="166" fontId="22" fillId="15" borderId="1" xfId="0" applyNumberFormat="1" applyFont="1" applyFill="1" applyBorder="1" applyAlignment="1">
      <alignment horizontal="center"/>
    </xf>
    <xf numFmtId="0" fontId="20" fillId="4" borderId="5" xfId="0" applyFont="1" applyFill="1" applyBorder="1" applyAlignment="1">
      <alignment horizontal="center"/>
    </xf>
    <xf numFmtId="0" fontId="20" fillId="4" borderId="6" xfId="0" applyFont="1" applyFill="1" applyBorder="1" applyAlignment="1">
      <alignment horizontal="center"/>
    </xf>
    <xf numFmtId="166" fontId="2" fillId="0" borderId="1" xfId="0" applyNumberFormat="1" applyFont="1" applyBorder="1" applyAlignment="1">
      <alignment horizontal="center" vertical="top" wrapText="1"/>
    </xf>
    <xf numFmtId="9" fontId="0" fillId="10" borderId="30" xfId="0" applyNumberFormat="1" applyFill="1" applyBorder="1" applyAlignment="1">
      <alignment horizontal="center"/>
    </xf>
    <xf numFmtId="0" fontId="16" fillId="10" borderId="32" xfId="0" applyFont="1" applyFill="1" applyBorder="1" applyAlignment="1">
      <alignment horizontal="center"/>
    </xf>
    <xf numFmtId="0" fontId="16" fillId="10" borderId="40" xfId="0" applyFont="1" applyFill="1" applyBorder="1" applyAlignment="1">
      <alignment horizontal="center"/>
    </xf>
    <xf numFmtId="0" fontId="16" fillId="10" borderId="4" xfId="0" applyFont="1" applyFill="1" applyBorder="1" applyAlignment="1">
      <alignment horizontal="center"/>
    </xf>
    <xf numFmtId="0" fontId="0" fillId="10" borderId="32" xfId="0" applyFill="1" applyBorder="1"/>
    <xf numFmtId="0" fontId="16" fillId="10" borderId="41" xfId="0" applyFont="1" applyFill="1" applyBorder="1" applyAlignment="1">
      <alignment horizontal="center"/>
    </xf>
    <xf numFmtId="9" fontId="0" fillId="10" borderId="40" xfId="0" applyNumberFormat="1" applyFill="1" applyBorder="1" applyAlignment="1">
      <alignment horizontal="center"/>
    </xf>
    <xf numFmtId="0" fontId="0" fillId="10" borderId="15" xfId="0" applyFill="1" applyBorder="1" applyAlignment="1">
      <alignment horizontal="center" vertical="center"/>
    </xf>
    <xf numFmtId="0" fontId="0" fillId="10" borderId="10" xfId="0" applyFont="1" applyFill="1" applyBorder="1" applyAlignment="1">
      <alignment horizontal="left" vertical="center" wrapText="1"/>
    </xf>
    <xf numFmtId="167" fontId="0" fillId="10" borderId="9" xfId="0" applyNumberFormat="1" applyFill="1" applyBorder="1" applyAlignment="1">
      <alignment horizontal="left" vertical="center" wrapText="1"/>
    </xf>
    <xf numFmtId="167" fontId="0" fillId="10" borderId="10" xfId="0" applyNumberFormat="1" applyFill="1" applyBorder="1" applyAlignment="1">
      <alignment horizontal="left" vertical="center" wrapText="1"/>
    </xf>
    <xf numFmtId="0" fontId="10" fillId="11" borderId="43" xfId="0" applyFont="1" applyFill="1" applyBorder="1" applyAlignment="1">
      <alignment horizontal="center" vertical="center"/>
    </xf>
    <xf numFmtId="0" fontId="10" fillId="11" borderId="40" xfId="0" applyFont="1" applyFill="1" applyBorder="1" applyAlignment="1">
      <alignment horizontal="center" vertical="center"/>
    </xf>
    <xf numFmtId="0" fontId="10" fillId="11" borderId="40" xfId="0" applyFont="1" applyFill="1" applyBorder="1" applyAlignment="1">
      <alignment horizontal="center" vertical="center" wrapText="1"/>
    </xf>
    <xf numFmtId="0" fontId="10" fillId="11" borderId="20" xfId="0" applyFont="1" applyFill="1" applyBorder="1" applyAlignment="1">
      <alignment horizontal="center" vertical="center"/>
    </xf>
    <xf numFmtId="0" fontId="0" fillId="10" borderId="3" xfId="0" applyFill="1" applyBorder="1" applyAlignment="1">
      <alignment horizontal="left" vertical="center"/>
    </xf>
    <xf numFmtId="167" fontId="0" fillId="10" borderId="3" xfId="0" applyNumberFormat="1" applyFill="1" applyBorder="1" applyAlignment="1">
      <alignment horizontal="center" vertical="center" wrapText="1"/>
    </xf>
    <xf numFmtId="167" fontId="0" fillId="10" borderId="12" xfId="0" applyNumberFormat="1" applyFill="1" applyBorder="1" applyAlignment="1">
      <alignment horizontal="center" vertical="center" wrapText="1"/>
    </xf>
    <xf numFmtId="9" fontId="0" fillId="16" borderId="1" xfId="0" applyNumberFormat="1" applyFill="1" applyBorder="1" applyAlignment="1">
      <alignment horizontal="left" vertical="center"/>
    </xf>
    <xf numFmtId="166" fontId="18" fillId="16" borderId="1" xfId="0" applyNumberFormat="1" applyFont="1" applyFill="1" applyBorder="1" applyAlignment="1">
      <alignment horizontal="center" vertical="center" wrapText="1"/>
    </xf>
    <xf numFmtId="0" fontId="2" fillId="16" borderId="13" xfId="0" applyFont="1" applyFill="1" applyBorder="1" applyAlignment="1">
      <alignment vertical="center"/>
    </xf>
    <xf numFmtId="9" fontId="0" fillId="16" borderId="14" xfId="0" applyNumberFormat="1" applyFill="1" applyBorder="1" applyAlignment="1">
      <alignment horizontal="left" vertical="center"/>
    </xf>
    <xf numFmtId="166" fontId="18" fillId="16" borderId="14" xfId="0" applyNumberFormat="1" applyFont="1" applyFill="1" applyBorder="1" applyAlignment="1">
      <alignment horizontal="center" vertical="center" wrapText="1"/>
    </xf>
    <xf numFmtId="0" fontId="0" fillId="16" borderId="9" xfId="0" applyFont="1" applyFill="1" applyBorder="1" applyAlignment="1">
      <alignment horizontal="left" vertical="center"/>
    </xf>
    <xf numFmtId="0" fontId="2" fillId="16" borderId="15" xfId="0" applyFont="1" applyFill="1" applyBorder="1" applyAlignment="1">
      <alignment vertical="center"/>
    </xf>
    <xf numFmtId="0" fontId="0" fillId="16" borderId="10" xfId="0" applyFont="1" applyFill="1" applyBorder="1" applyAlignment="1">
      <alignment horizontal="left" vertical="center"/>
    </xf>
    <xf numFmtId="0" fontId="2" fillId="16" borderId="16" xfId="0" applyFont="1" applyFill="1" applyBorder="1" applyAlignment="1">
      <alignment vertical="center"/>
    </xf>
    <xf numFmtId="9" fontId="0" fillId="16" borderId="17" xfId="0" applyNumberFormat="1" applyFill="1" applyBorder="1" applyAlignment="1">
      <alignment horizontal="left" vertical="center"/>
    </xf>
    <xf numFmtId="166" fontId="18" fillId="16" borderId="17" xfId="0" applyNumberFormat="1" applyFont="1" applyFill="1" applyBorder="1" applyAlignment="1">
      <alignment horizontal="center" vertical="center" wrapText="1"/>
    </xf>
    <xf numFmtId="0" fontId="0" fillId="16" borderId="11" xfId="0" applyFont="1" applyFill="1" applyBorder="1" applyAlignment="1">
      <alignment horizontal="left" vertical="center"/>
    </xf>
    <xf numFmtId="0" fontId="0" fillId="0" borderId="0" xfId="0" applyFill="1" applyBorder="1" applyAlignment="1"/>
    <xf numFmtId="0" fontId="0" fillId="10" borderId="15" xfId="0" applyFill="1" applyBorder="1" applyAlignment="1">
      <alignment horizontal="center" vertical="center"/>
    </xf>
    <xf numFmtId="0" fontId="0" fillId="10" borderId="10" xfId="0" applyFont="1" applyFill="1" applyBorder="1" applyAlignment="1">
      <alignment horizontal="left" vertical="center" wrapText="1"/>
    </xf>
    <xf numFmtId="0" fontId="0" fillId="10" borderId="15" xfId="0" applyFill="1" applyBorder="1" applyAlignment="1">
      <alignment horizontal="center" vertical="center"/>
    </xf>
    <xf numFmtId="0" fontId="0" fillId="10" borderId="10" xfId="0" applyFont="1" applyFill="1" applyBorder="1" applyAlignment="1">
      <alignment horizontal="left" vertical="center" wrapText="1"/>
    </xf>
    <xf numFmtId="0" fontId="7" fillId="0" borderId="0" xfId="0" applyFont="1"/>
    <xf numFmtId="0" fontId="7" fillId="10" borderId="9" xfId="0" applyFont="1" applyFill="1" applyBorder="1" applyAlignment="1">
      <alignment horizontal="left" vertical="center"/>
    </xf>
    <xf numFmtId="166" fontId="7" fillId="10" borderId="1" xfId="0" applyNumberFormat="1" applyFont="1" applyFill="1" applyBorder="1" applyAlignment="1">
      <alignment horizontal="center" vertical="center" wrapText="1"/>
    </xf>
    <xf numFmtId="0" fontId="7" fillId="10" borderId="14" xfId="0" applyFont="1" applyFill="1" applyBorder="1" applyAlignment="1">
      <alignment horizontal="left" vertical="center"/>
    </xf>
    <xf numFmtId="167" fontId="7" fillId="10" borderId="1" xfId="0" applyNumberFormat="1" applyFont="1" applyFill="1" applyBorder="1" applyAlignment="1">
      <alignment horizontal="center" vertical="center" wrapText="1"/>
    </xf>
    <xf numFmtId="0" fontId="7" fillId="10" borderId="1" xfId="0" applyFont="1" applyFill="1" applyBorder="1" applyAlignment="1">
      <alignment horizontal="left" vertical="center"/>
    </xf>
    <xf numFmtId="166" fontId="0" fillId="6" borderId="1" xfId="0" applyNumberFormat="1" applyFill="1" applyBorder="1" applyAlignment="1">
      <alignment horizontal="center" vertical="center" wrapText="1"/>
    </xf>
    <xf numFmtId="0" fontId="23" fillId="0" borderId="0" xfId="1" applyAlignment="1"/>
    <xf numFmtId="166" fontId="0" fillId="17" borderId="1" xfId="0" applyNumberFormat="1" applyFill="1" applyBorder="1" applyAlignment="1">
      <alignment horizontal="center" vertical="top" wrapText="1"/>
    </xf>
    <xf numFmtId="0" fontId="0" fillId="17" borderId="0" xfId="0" applyFill="1"/>
    <xf numFmtId="0" fontId="26" fillId="0" borderId="0" xfId="0" applyFont="1"/>
    <xf numFmtId="166" fontId="26" fillId="0" borderId="1" xfId="0" applyNumberFormat="1" applyFont="1" applyBorder="1" applyAlignment="1">
      <alignment horizontal="left" vertical="top" wrapText="1"/>
    </xf>
    <xf numFmtId="166" fontId="26" fillId="0" borderId="1" xfId="0" applyNumberFormat="1" applyFont="1" applyBorder="1" applyAlignment="1">
      <alignment horizontal="center" vertical="top" wrapText="1"/>
    </xf>
    <xf numFmtId="0" fontId="20" fillId="3" borderId="33" xfId="0" applyFont="1" applyFill="1" applyBorder="1" applyAlignment="1">
      <alignment horizontal="center"/>
    </xf>
    <xf numFmtId="0" fontId="0" fillId="3" borderId="0" xfId="0" applyFill="1"/>
    <xf numFmtId="0" fontId="10" fillId="11" borderId="13" xfId="0" applyFont="1" applyFill="1" applyBorder="1" applyAlignment="1">
      <alignment horizontal="center" vertical="center"/>
    </xf>
    <xf numFmtId="0" fontId="10" fillId="11" borderId="14" xfId="0" applyFont="1" applyFill="1" applyBorder="1" applyAlignment="1">
      <alignment horizontal="center" vertical="center"/>
    </xf>
    <xf numFmtId="0" fontId="10" fillId="11" borderId="14" xfId="0" applyFont="1" applyFill="1" applyBorder="1" applyAlignment="1">
      <alignment horizontal="center" vertical="center" wrapText="1"/>
    </xf>
    <xf numFmtId="0" fontId="10" fillId="11" borderId="9" xfId="0" applyFont="1" applyFill="1" applyBorder="1" applyAlignment="1">
      <alignment horizontal="center" vertical="center"/>
    </xf>
    <xf numFmtId="0" fontId="0" fillId="10" borderId="19" xfId="0" applyFill="1" applyBorder="1" applyAlignment="1">
      <alignment vertical="center"/>
    </xf>
    <xf numFmtId="9" fontId="0" fillId="10" borderId="3" xfId="0" applyNumberFormat="1" applyFill="1" applyBorder="1" applyAlignment="1">
      <alignment horizontal="left" vertical="center"/>
    </xf>
    <xf numFmtId="166" fontId="18" fillId="10" borderId="3" xfId="0" applyNumberFormat="1" applyFont="1" applyFill="1" applyBorder="1" applyAlignment="1">
      <alignment horizontal="center" vertical="center" wrapText="1"/>
    </xf>
    <xf numFmtId="166" fontId="0" fillId="10" borderId="3" xfId="0" applyNumberFormat="1" applyFill="1" applyBorder="1" applyAlignment="1">
      <alignment horizontal="center" vertical="center" wrapText="1"/>
    </xf>
    <xf numFmtId="0" fontId="0" fillId="10" borderId="17" xfId="0" applyFill="1" applyBorder="1" applyAlignment="1">
      <alignment vertical="center"/>
    </xf>
    <xf numFmtId="166" fontId="0" fillId="10" borderId="17" xfId="0" applyNumberFormat="1" applyFill="1" applyBorder="1" applyAlignment="1">
      <alignment horizontal="center" vertical="center" wrapText="1"/>
    </xf>
    <xf numFmtId="0" fontId="2" fillId="15" borderId="13" xfId="0" applyFont="1" applyFill="1" applyBorder="1" applyAlignment="1">
      <alignment horizontal="center" vertical="top"/>
    </xf>
    <xf numFmtId="0" fontId="2" fillId="15" borderId="14" xfId="0" applyFont="1" applyFill="1" applyBorder="1" applyAlignment="1">
      <alignment horizontal="center" vertical="top"/>
    </xf>
    <xf numFmtId="0" fontId="2" fillId="15" borderId="9" xfId="0" applyFont="1" applyFill="1" applyBorder="1" applyAlignment="1">
      <alignment horizontal="center" vertical="top"/>
    </xf>
    <xf numFmtId="0" fontId="0" fillId="0" borderId="15" xfId="0" applyBorder="1" applyAlignment="1">
      <alignment vertical="top"/>
    </xf>
    <xf numFmtId="0" fontId="0" fillId="0" borderId="1" xfId="0" applyBorder="1" applyAlignment="1">
      <alignment horizontal="center" vertical="top"/>
    </xf>
    <xf numFmtId="166" fontId="0" fillId="10" borderId="10" xfId="0" applyNumberFormat="1" applyFill="1" applyBorder="1" applyAlignment="1">
      <alignment horizontal="center" vertical="top" wrapText="1"/>
    </xf>
    <xf numFmtId="0" fontId="0" fillId="0" borderId="16" xfId="0" applyBorder="1" applyAlignment="1">
      <alignment vertical="top"/>
    </xf>
    <xf numFmtId="166" fontId="0" fillId="10" borderId="11" xfId="0" applyNumberFormat="1" applyFill="1" applyBorder="1" applyAlignment="1">
      <alignment horizontal="center" vertical="top" wrapText="1"/>
    </xf>
    <xf numFmtId="0" fontId="20" fillId="4" borderId="8" xfId="0" applyFont="1" applyFill="1" applyBorder="1" applyAlignment="1">
      <alignment horizontal="center"/>
    </xf>
    <xf numFmtId="166" fontId="0" fillId="0" borderId="32" xfId="0" applyNumberFormat="1" applyBorder="1" applyAlignment="1">
      <alignment horizontal="right" vertical="top" wrapText="1"/>
    </xf>
    <xf numFmtId="0" fontId="20" fillId="4" borderId="7" xfId="0" applyFont="1" applyFill="1" applyBorder="1" applyAlignment="1">
      <alignment horizontal="center"/>
    </xf>
    <xf numFmtId="0" fontId="0" fillId="0" borderId="15" xfId="0" applyBorder="1" applyAlignment="1">
      <alignment horizontal="center"/>
    </xf>
    <xf numFmtId="166" fontId="0" fillId="0" borderId="10" xfId="0" applyNumberFormat="1" applyBorder="1" applyAlignment="1">
      <alignment horizontal="center" vertical="top" wrapText="1"/>
    </xf>
    <xf numFmtId="0" fontId="0" fillId="0" borderId="46" xfId="0" applyBorder="1" applyAlignment="1">
      <alignment horizontal="center"/>
    </xf>
    <xf numFmtId="166" fontId="15" fillId="0" borderId="10" xfId="0" applyNumberFormat="1" applyFont="1" applyBorder="1" applyAlignment="1">
      <alignment horizontal="center" vertical="top" wrapText="1"/>
    </xf>
    <xf numFmtId="166" fontId="2" fillId="0" borderId="10" xfId="0" applyNumberFormat="1" applyFont="1" applyBorder="1" applyAlignment="1">
      <alignment horizontal="center" vertical="top" wrapText="1"/>
    </xf>
    <xf numFmtId="166" fontId="15" fillId="10" borderId="10" xfId="0" applyNumberFormat="1" applyFont="1" applyFill="1" applyBorder="1" applyAlignment="1">
      <alignment horizontal="center" vertical="top" wrapText="1"/>
    </xf>
    <xf numFmtId="0" fontId="22" fillId="15" borderId="15" xfId="0" applyFont="1" applyFill="1" applyBorder="1" applyAlignment="1">
      <alignment horizontal="center"/>
    </xf>
    <xf numFmtId="166" fontId="22" fillId="15" borderId="10" xfId="0" applyNumberFormat="1" applyFont="1" applyFill="1" applyBorder="1" applyAlignment="1">
      <alignment horizontal="center"/>
    </xf>
    <xf numFmtId="0" fontId="22" fillId="4" borderId="16" xfId="0" applyFont="1" applyFill="1" applyBorder="1" applyAlignment="1">
      <alignment horizontal="center"/>
    </xf>
    <xf numFmtId="166" fontId="11" fillId="4" borderId="17" xfId="0" applyNumberFormat="1" applyFont="1" applyFill="1" applyBorder="1" applyAlignment="1">
      <alignment horizontal="center"/>
    </xf>
    <xf numFmtId="166" fontId="11" fillId="4" borderId="11" xfId="0" applyNumberFormat="1" applyFont="1" applyFill="1" applyBorder="1" applyAlignment="1">
      <alignment horizontal="center"/>
    </xf>
    <xf numFmtId="0" fontId="0" fillId="10" borderId="15" xfId="0" applyFill="1" applyBorder="1" applyAlignment="1">
      <alignment horizontal="center" vertical="center"/>
    </xf>
    <xf numFmtId="0" fontId="0" fillId="10" borderId="10" xfId="0" applyFont="1" applyFill="1" applyBorder="1" applyAlignment="1">
      <alignment horizontal="left" vertical="center" wrapText="1"/>
    </xf>
    <xf numFmtId="0" fontId="0" fillId="0" borderId="0" xfId="0" applyAlignment="1">
      <alignment horizontal="center"/>
    </xf>
    <xf numFmtId="0" fontId="0" fillId="0" borderId="15" xfId="0" applyBorder="1" applyAlignment="1">
      <alignment horizontal="center" vertical="center"/>
    </xf>
    <xf numFmtId="0" fontId="0" fillId="0" borderId="0" xfId="0" applyAlignment="1">
      <alignment horizontal="center"/>
    </xf>
    <xf numFmtId="166" fontId="0" fillId="0" borderId="1" xfId="0" applyNumberFormat="1" applyFill="1" applyBorder="1" applyAlignment="1">
      <alignment horizontal="center" vertical="top" wrapText="1"/>
    </xf>
    <xf numFmtId="166" fontId="0" fillId="10" borderId="1" xfId="0" applyNumberFormat="1" applyFont="1" applyFill="1" applyBorder="1" applyAlignment="1">
      <alignment horizontal="center" vertical="center" wrapText="1"/>
    </xf>
    <xf numFmtId="0" fontId="0" fillId="0" borderId="0" xfId="0" applyAlignment="1">
      <alignment horizontal="center"/>
    </xf>
    <xf numFmtId="0" fontId="0" fillId="6" borderId="0" xfId="0" applyFill="1"/>
    <xf numFmtId="0" fontId="0" fillId="0" borderId="0" xfId="0" quotePrefix="1" applyAlignment="1">
      <alignment wrapText="1"/>
    </xf>
    <xf numFmtId="0" fontId="0" fillId="0" borderId="1" xfId="0" quotePrefix="1" applyBorder="1" applyAlignment="1">
      <alignment horizontal="left" vertical="top" wrapText="1"/>
    </xf>
    <xf numFmtId="0" fontId="0" fillId="0" borderId="0" xfId="0" applyAlignment="1">
      <alignment horizontal="center" wrapText="1"/>
    </xf>
    <xf numFmtId="0" fontId="0" fillId="4" borderId="1" xfId="0" applyFill="1" applyBorder="1" applyAlignment="1">
      <alignment horizontal="center" vertical="center" wrapText="1"/>
    </xf>
    <xf numFmtId="9" fontId="0" fillId="0" borderId="1" xfId="0" applyNumberFormat="1" applyBorder="1" applyAlignment="1">
      <alignment horizontal="center" vertical="top" wrapText="1"/>
    </xf>
    <xf numFmtId="9" fontId="0" fillId="0" borderId="1" xfId="2" applyFont="1" applyBorder="1" applyAlignment="1">
      <alignment horizontal="center" vertical="top" wrapText="1"/>
    </xf>
    <xf numFmtId="0" fontId="0" fillId="0" borderId="1" xfId="0" quotePrefix="1" applyFont="1" applyBorder="1" applyAlignment="1">
      <alignment horizontal="left" vertical="top" wrapText="1"/>
    </xf>
    <xf numFmtId="0" fontId="0" fillId="18" borderId="1" xfId="0" applyFill="1" applyBorder="1" applyAlignment="1">
      <alignment horizontal="left" vertical="top" wrapText="1"/>
    </xf>
    <xf numFmtId="0" fontId="0" fillId="18" borderId="1" xfId="0" quotePrefix="1" applyFill="1" applyBorder="1" applyAlignment="1">
      <alignment horizontal="left" vertical="top" wrapText="1"/>
    </xf>
    <xf numFmtId="0" fontId="0" fillId="18" borderId="1" xfId="0" applyFill="1" applyBorder="1" applyAlignment="1">
      <alignment horizontal="center" vertical="top" wrapText="1"/>
    </xf>
    <xf numFmtId="9" fontId="0" fillId="18" borderId="1" xfId="0" applyNumberFormat="1" applyFill="1" applyBorder="1" applyAlignment="1">
      <alignment horizontal="center" vertical="top" wrapText="1"/>
    </xf>
    <xf numFmtId="0" fontId="0" fillId="18" borderId="1" xfId="0" quotePrefix="1" applyFill="1" applyBorder="1" applyAlignment="1">
      <alignment horizontal="center" vertical="top" wrapText="1"/>
    </xf>
    <xf numFmtId="0" fontId="0" fillId="4" borderId="1" xfId="0" applyFont="1" applyFill="1" applyBorder="1" applyAlignment="1">
      <alignment horizontal="center" vertical="center" wrapText="1"/>
    </xf>
    <xf numFmtId="168" fontId="0" fillId="0" borderId="1" xfId="0" applyNumberFormat="1" applyFont="1" applyBorder="1" applyAlignment="1">
      <alignment horizontal="center" vertical="top" wrapText="1"/>
    </xf>
    <xf numFmtId="168" fontId="0" fillId="18" borderId="1" xfId="0" applyNumberFormat="1" applyFont="1" applyFill="1" applyBorder="1" applyAlignment="1">
      <alignment horizontal="center" vertical="top" wrapText="1"/>
    </xf>
    <xf numFmtId="0" fontId="0" fillId="0" borderId="0" xfId="0" applyFont="1" applyAlignment="1">
      <alignment horizontal="center" wrapText="1"/>
    </xf>
    <xf numFmtId="0" fontId="22" fillId="4" borderId="19" xfId="0" applyFont="1" applyFill="1" applyBorder="1" applyAlignment="1">
      <alignment horizontal="center"/>
    </xf>
    <xf numFmtId="166" fontId="11" fillId="4" borderId="3" xfId="0" applyNumberFormat="1" applyFont="1" applyFill="1" applyBorder="1" applyAlignment="1">
      <alignment horizontal="center"/>
    </xf>
    <xf numFmtId="166" fontId="11" fillId="4" borderId="12" xfId="0" applyNumberFormat="1" applyFont="1" applyFill="1" applyBorder="1" applyAlignment="1">
      <alignment horizontal="center"/>
    </xf>
    <xf numFmtId="0" fontId="31" fillId="19" borderId="1" xfId="0" applyFont="1" applyFill="1" applyBorder="1" applyAlignment="1">
      <alignment horizontal="left" vertical="center" wrapText="1"/>
    </xf>
    <xf numFmtId="166" fontId="31" fillId="19" borderId="1" xfId="0" applyNumberFormat="1" applyFont="1" applyFill="1" applyBorder="1" applyAlignment="1">
      <alignment horizontal="center" vertical="center"/>
    </xf>
    <xf numFmtId="166" fontId="31" fillId="19" borderId="1" xfId="0" applyNumberFormat="1" applyFont="1" applyFill="1" applyBorder="1" applyAlignment="1">
      <alignment horizontal="center" vertical="center" wrapText="1"/>
    </xf>
    <xf numFmtId="0" fontId="31" fillId="19" borderId="14" xfId="0" applyFont="1" applyFill="1" applyBorder="1" applyAlignment="1">
      <alignment horizontal="left" vertical="center" wrapText="1"/>
    </xf>
    <xf numFmtId="166" fontId="31" fillId="19" borderId="14" xfId="0" applyNumberFormat="1" applyFont="1" applyFill="1" applyBorder="1" applyAlignment="1">
      <alignment horizontal="center" vertical="center"/>
    </xf>
    <xf numFmtId="0" fontId="31" fillId="19" borderId="9" xfId="0" applyFont="1" applyFill="1" applyBorder="1" applyAlignment="1">
      <alignment horizontal="left" vertical="center" wrapText="1"/>
    </xf>
    <xf numFmtId="0" fontId="31" fillId="19" borderId="10" xfId="0" applyFont="1" applyFill="1" applyBorder="1" applyAlignment="1">
      <alignment horizontal="left" vertical="center" wrapText="1"/>
    </xf>
    <xf numFmtId="0" fontId="0" fillId="0" borderId="13" xfId="0" applyBorder="1" applyAlignment="1">
      <alignment horizontal="center" vertical="center"/>
    </xf>
    <xf numFmtId="0" fontId="0" fillId="5" borderId="16" xfId="0" applyFill="1" applyBorder="1" applyAlignment="1">
      <alignment horizontal="center" vertical="center"/>
    </xf>
    <xf numFmtId="0" fontId="32" fillId="20" borderId="17" xfId="0" applyFont="1" applyFill="1" applyBorder="1" applyAlignment="1">
      <alignment horizontal="left" vertical="center" wrapText="1"/>
    </xf>
    <xf numFmtId="166" fontId="32" fillId="20" borderId="17" xfId="0" applyNumberFormat="1" applyFont="1" applyFill="1" applyBorder="1" applyAlignment="1">
      <alignment horizontal="center" vertical="center"/>
    </xf>
    <xf numFmtId="0" fontId="32" fillId="20" borderId="11" xfId="0" applyFont="1" applyFill="1" applyBorder="1" applyAlignment="1">
      <alignment horizontal="left" vertical="center" wrapText="1"/>
    </xf>
    <xf numFmtId="0" fontId="0" fillId="0" borderId="0" xfId="0" applyAlignment="1">
      <alignment horizontal="center"/>
    </xf>
    <xf numFmtId="0" fontId="0" fillId="0" borderId="0" xfId="0" applyAlignment="1">
      <alignment horizontal="center"/>
    </xf>
    <xf numFmtId="0" fontId="12" fillId="0" borderId="2" xfId="0" applyFont="1" applyFill="1" applyBorder="1"/>
    <xf numFmtId="0" fontId="12" fillId="0" borderId="0" xfId="0" applyFont="1" applyFill="1" applyBorder="1"/>
    <xf numFmtId="168" fontId="0" fillId="0" borderId="1" xfId="0" applyNumberFormat="1" applyBorder="1" applyAlignment="1">
      <alignment horizontal="center"/>
    </xf>
    <xf numFmtId="1" fontId="0" fillId="0" borderId="1" xfId="0" applyNumberFormat="1" applyBorder="1" applyAlignment="1">
      <alignment horizontal="center"/>
    </xf>
    <xf numFmtId="0" fontId="0" fillId="4" borderId="1" xfId="0" applyFill="1" applyBorder="1"/>
    <xf numFmtId="168" fontId="0" fillId="4" borderId="1" xfId="0" applyNumberFormat="1" applyFill="1" applyBorder="1" applyAlignment="1">
      <alignment horizontal="center"/>
    </xf>
    <xf numFmtId="168" fontId="0" fillId="10" borderId="1" xfId="0" applyNumberFormat="1" applyFill="1" applyBorder="1" applyAlignment="1">
      <alignment horizontal="center"/>
    </xf>
    <xf numFmtId="0" fontId="0" fillId="5" borderId="1" xfId="0" applyFill="1" applyBorder="1"/>
    <xf numFmtId="168" fontId="0" fillId="5" borderId="1" xfId="0" applyNumberFormat="1" applyFill="1" applyBorder="1" applyAlignment="1">
      <alignment horizontal="center"/>
    </xf>
    <xf numFmtId="0" fontId="0" fillId="0" borderId="43" xfId="0" applyBorder="1" applyAlignment="1">
      <alignment horizontal="center"/>
    </xf>
    <xf numFmtId="0" fontId="2" fillId="0" borderId="40" xfId="0" applyFont="1" applyBorder="1" applyAlignment="1"/>
    <xf numFmtId="166" fontId="2" fillId="0" borderId="40" xfId="0" applyNumberFormat="1" applyFont="1" applyBorder="1" applyAlignment="1">
      <alignment horizontal="center"/>
    </xf>
    <xf numFmtId="166" fontId="2" fillId="0" borderId="20" xfId="0" applyNumberFormat="1" applyFont="1" applyBorder="1" applyAlignment="1">
      <alignment horizontal="center"/>
    </xf>
    <xf numFmtId="0" fontId="20" fillId="3" borderId="5" xfId="0" applyFont="1" applyFill="1" applyBorder="1" applyAlignment="1">
      <alignment horizontal="center"/>
    </xf>
    <xf numFmtId="0" fontId="20" fillId="3" borderId="6" xfId="0" applyFont="1" applyFill="1" applyBorder="1" applyAlignment="1">
      <alignment horizontal="center"/>
    </xf>
    <xf numFmtId="0" fontId="0" fillId="17" borderId="1" xfId="0" applyFill="1" applyBorder="1"/>
    <xf numFmtId="168" fontId="0" fillId="17" borderId="1" xfId="0" applyNumberFormat="1" applyFill="1" applyBorder="1" applyAlignment="1">
      <alignment horizontal="center"/>
    </xf>
    <xf numFmtId="0" fontId="20" fillId="3" borderId="7" xfId="0" applyFont="1" applyFill="1" applyBorder="1" applyAlignment="1">
      <alignment horizontal="center"/>
    </xf>
    <xf numFmtId="0" fontId="0" fillId="0" borderId="15" xfId="0" applyFill="1" applyBorder="1" applyAlignment="1">
      <alignment horizontal="center"/>
    </xf>
    <xf numFmtId="0" fontId="0" fillId="0" borderId="10" xfId="0" applyBorder="1" applyAlignment="1">
      <alignment horizontal="center"/>
    </xf>
    <xf numFmtId="168" fontId="0" fillId="0" borderId="10" xfId="0" applyNumberFormat="1" applyBorder="1" applyAlignment="1">
      <alignment horizontal="center"/>
    </xf>
    <xf numFmtId="9" fontId="0" fillId="0" borderId="10" xfId="0" applyNumberFormat="1" applyBorder="1" applyAlignment="1">
      <alignment horizontal="center"/>
    </xf>
    <xf numFmtId="1" fontId="0" fillId="0" borderId="10" xfId="0" applyNumberFormat="1" applyBorder="1" applyAlignment="1">
      <alignment horizontal="center"/>
    </xf>
    <xf numFmtId="168" fontId="0" fillId="17" borderId="10" xfId="0" applyNumberFormat="1" applyFill="1" applyBorder="1" applyAlignment="1">
      <alignment horizontal="center"/>
    </xf>
    <xf numFmtId="168" fontId="0" fillId="10" borderId="10" xfId="0" applyNumberFormat="1" applyFill="1" applyBorder="1" applyAlignment="1">
      <alignment horizontal="center"/>
    </xf>
    <xf numFmtId="168" fontId="0" fillId="5" borderId="10" xfId="0" applyNumberFormat="1" applyFill="1" applyBorder="1" applyAlignment="1">
      <alignment horizontal="center"/>
    </xf>
    <xf numFmtId="168" fontId="0" fillId="4" borderId="10" xfId="0" applyNumberFormat="1" applyFill="1" applyBorder="1" applyAlignment="1">
      <alignment horizontal="center"/>
    </xf>
    <xf numFmtId="0" fontId="0" fillId="0" borderId="16" xfId="0" applyBorder="1" applyAlignment="1">
      <alignment horizontal="center"/>
    </xf>
    <xf numFmtId="0" fontId="0" fillId="21" borderId="17" xfId="0" applyFill="1" applyBorder="1"/>
    <xf numFmtId="168" fontId="0" fillId="21" borderId="17" xfId="0" applyNumberFormat="1" applyFill="1" applyBorder="1" applyAlignment="1">
      <alignment horizontal="center"/>
    </xf>
    <xf numFmtId="168" fontId="0" fillId="21" borderId="11" xfId="0" applyNumberFormat="1" applyFill="1" applyBorder="1" applyAlignment="1">
      <alignment horizontal="center"/>
    </xf>
    <xf numFmtId="0" fontId="11" fillId="15" borderId="6" xfId="0" applyFont="1" applyFill="1" applyBorder="1" applyAlignment="1">
      <alignment horizontal="center"/>
    </xf>
    <xf numFmtId="0" fontId="11" fillId="15" borderId="7" xfId="0" applyFont="1" applyFill="1" applyBorder="1" applyAlignment="1">
      <alignment horizontal="center"/>
    </xf>
    <xf numFmtId="0" fontId="1" fillId="15" borderId="5" xfId="0" applyFont="1" applyFill="1" applyBorder="1" applyAlignment="1">
      <alignment horizontal="center"/>
    </xf>
    <xf numFmtId="0" fontId="0" fillId="10" borderId="1" xfId="0" applyFill="1" applyBorder="1" applyAlignment="1">
      <alignment horizontal="center" vertical="top" wrapText="1"/>
    </xf>
    <xf numFmtId="0" fontId="0" fillId="10" borderId="1" xfId="0" applyFill="1" applyBorder="1" applyAlignment="1">
      <alignment horizontal="left" vertical="top" wrapText="1"/>
    </xf>
    <xf numFmtId="0" fontId="0" fillId="10" borderId="1" xfId="0" quotePrefix="1" applyFill="1" applyBorder="1" applyAlignment="1">
      <alignment horizontal="left" vertical="top" wrapText="1"/>
    </xf>
    <xf numFmtId="168" fontId="0" fillId="10" borderId="1" xfId="0" applyNumberFormat="1" applyFont="1" applyFill="1" applyBorder="1" applyAlignment="1">
      <alignment horizontal="center" vertical="top" wrapText="1"/>
    </xf>
    <xf numFmtId="9" fontId="0" fillId="10" borderId="1" xfId="0" applyNumberFormat="1" applyFill="1" applyBorder="1" applyAlignment="1">
      <alignment horizontal="center" vertical="top" wrapText="1"/>
    </xf>
    <xf numFmtId="0" fontId="0" fillId="22" borderId="1" xfId="0" applyFill="1" applyBorder="1" applyAlignment="1">
      <alignment horizontal="center" vertical="top" wrapText="1"/>
    </xf>
    <xf numFmtId="0" fontId="0" fillId="22" borderId="1" xfId="0" applyFill="1" applyBorder="1" applyAlignment="1">
      <alignment horizontal="left" vertical="top" wrapText="1"/>
    </xf>
    <xf numFmtId="0" fontId="0" fillId="22" borderId="1" xfId="0" quotePrefix="1" applyFill="1" applyBorder="1" applyAlignment="1">
      <alignment horizontal="left" vertical="top" wrapText="1"/>
    </xf>
    <xf numFmtId="168" fontId="0" fillId="22" borderId="1" xfId="0" applyNumberFormat="1" applyFont="1" applyFill="1" applyBorder="1" applyAlignment="1">
      <alignment horizontal="center" vertical="top" wrapText="1"/>
    </xf>
    <xf numFmtId="9" fontId="0" fillId="22" borderId="1" xfId="0" applyNumberFormat="1" applyFill="1" applyBorder="1" applyAlignment="1">
      <alignment horizontal="center" vertical="top" wrapText="1"/>
    </xf>
    <xf numFmtId="9" fontId="0" fillId="22" borderId="1" xfId="2" applyFont="1" applyFill="1" applyBorder="1" applyAlignment="1">
      <alignment horizontal="center" vertical="top" wrapText="1"/>
    </xf>
    <xf numFmtId="0" fontId="2" fillId="23" borderId="1" xfId="0" applyFont="1" applyFill="1" applyBorder="1" applyAlignment="1">
      <alignment horizontal="center" vertical="center" wrapText="1"/>
    </xf>
    <xf numFmtId="0" fontId="16" fillId="10" borderId="1" xfId="0" applyFont="1" applyFill="1" applyBorder="1" applyAlignment="1">
      <alignment horizontal="left" vertical="center"/>
    </xf>
    <xf numFmtId="167" fontId="16" fillId="10" borderId="1" xfId="0" applyNumberFormat="1" applyFont="1" applyFill="1" applyBorder="1" applyAlignment="1">
      <alignment horizontal="center" vertical="center" wrapText="1"/>
    </xf>
    <xf numFmtId="166" fontId="18" fillId="0" borderId="1" xfId="0" applyNumberFormat="1" applyFont="1" applyBorder="1" applyAlignment="1">
      <alignment horizontal="center" vertical="top" wrapText="1"/>
    </xf>
    <xf numFmtId="166" fontId="18" fillId="0" borderId="10" xfId="0" applyNumberFormat="1" applyFont="1" applyBorder="1" applyAlignment="1">
      <alignment horizontal="center" vertical="top" wrapText="1"/>
    </xf>
    <xf numFmtId="166" fontId="18" fillId="10" borderId="1" xfId="0" applyNumberFormat="1" applyFont="1" applyFill="1" applyBorder="1" applyAlignment="1">
      <alignment horizontal="center" vertical="top" wrapText="1"/>
    </xf>
    <xf numFmtId="166" fontId="18" fillId="10" borderId="10" xfId="0" applyNumberFormat="1" applyFont="1" applyFill="1" applyBorder="1" applyAlignment="1">
      <alignment horizontal="center" vertical="top" wrapText="1"/>
    </xf>
    <xf numFmtId="0" fontId="0" fillId="0" borderId="23" xfId="0" applyBorder="1" applyAlignment="1">
      <alignment horizontal="center"/>
    </xf>
    <xf numFmtId="0" fontId="0" fillId="0" borderId="4" xfId="0" applyBorder="1" applyAlignment="1">
      <alignment horizontal="left" vertical="top" wrapText="1"/>
    </xf>
    <xf numFmtId="166" fontId="0" fillId="0" borderId="4" xfId="0" applyNumberFormat="1" applyBorder="1" applyAlignment="1">
      <alignment horizontal="center" vertical="top" wrapText="1"/>
    </xf>
    <xf numFmtId="166" fontId="0" fillId="0" borderId="22" xfId="0" applyNumberFormat="1" applyBorder="1" applyAlignment="1">
      <alignment horizontal="center" vertical="top" wrapText="1"/>
    </xf>
    <xf numFmtId="166" fontId="0" fillId="0" borderId="0" xfId="0" applyNumberFormat="1" applyFill="1" applyBorder="1" applyAlignment="1">
      <alignment horizontal="center" vertical="top" wrapText="1"/>
    </xf>
    <xf numFmtId="0" fontId="0" fillId="0" borderId="0" xfId="0" applyAlignment="1">
      <alignment horizontal="center"/>
    </xf>
    <xf numFmtId="0" fontId="0" fillId="10" borderId="15" xfId="0" applyFill="1" applyBorder="1" applyAlignment="1">
      <alignment horizontal="center" vertical="center"/>
    </xf>
    <xf numFmtId="0" fontId="0" fillId="10" borderId="16" xfId="0" applyFill="1" applyBorder="1" applyAlignment="1">
      <alignment horizontal="center" vertical="center"/>
    </xf>
    <xf numFmtId="0" fontId="0" fillId="11" borderId="38" xfId="0" applyFill="1" applyBorder="1" applyAlignment="1">
      <alignment horizontal="center" vertical="center"/>
    </xf>
    <xf numFmtId="0" fontId="0" fillId="11" borderId="39" xfId="0" applyFill="1" applyBorder="1" applyAlignment="1">
      <alignment horizontal="center" vertical="center"/>
    </xf>
    <xf numFmtId="0" fontId="0" fillId="14" borderId="10" xfId="0" applyFont="1" applyFill="1" applyBorder="1" applyAlignment="1">
      <alignment horizontal="left" vertical="center" wrapText="1"/>
    </xf>
    <xf numFmtId="0" fontId="0" fillId="14" borderId="12" xfId="0" applyFont="1" applyFill="1" applyBorder="1" applyAlignment="1">
      <alignment horizontal="left" vertical="center"/>
    </xf>
    <xf numFmtId="0" fontId="2" fillId="14" borderId="23" xfId="0" applyFont="1" applyFill="1" applyBorder="1" applyAlignment="1">
      <alignment horizontal="center" vertical="center" wrapText="1"/>
    </xf>
    <xf numFmtId="0" fontId="2" fillId="14" borderId="15" xfId="0" applyFont="1" applyFill="1" applyBorder="1" applyAlignment="1">
      <alignment horizontal="center" vertical="center" wrapText="1"/>
    </xf>
    <xf numFmtId="0" fontId="0" fillId="14" borderId="11" xfId="0" applyFont="1" applyFill="1" applyBorder="1" applyAlignment="1">
      <alignment horizontal="left" vertical="center"/>
    </xf>
    <xf numFmtId="0" fontId="2" fillId="10" borderId="35" xfId="0" applyFont="1" applyFill="1" applyBorder="1" applyAlignment="1">
      <alignment horizontal="center" vertical="center" wrapText="1"/>
    </xf>
    <xf numFmtId="0" fontId="2" fillId="10" borderId="36" xfId="0" applyFont="1" applyFill="1" applyBorder="1" applyAlignment="1">
      <alignment horizontal="center" vertical="center" wrapText="1"/>
    </xf>
    <xf numFmtId="0" fontId="2" fillId="10" borderId="37"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15" xfId="0" applyFont="1" applyFill="1" applyBorder="1" applyAlignment="1">
      <alignment horizontal="center" vertical="center" wrapText="1"/>
    </xf>
    <xf numFmtId="0" fontId="0" fillId="10" borderId="10" xfId="0" applyFont="1" applyFill="1" applyBorder="1" applyAlignment="1">
      <alignment horizontal="left" vertical="center" wrapText="1"/>
    </xf>
    <xf numFmtId="0" fontId="0" fillId="10" borderId="11" xfId="0" applyFont="1" applyFill="1" applyBorder="1" applyAlignment="1">
      <alignment horizontal="left" vertical="center"/>
    </xf>
    <xf numFmtId="0" fontId="2" fillId="12" borderId="1" xfId="0" applyFont="1" applyFill="1" applyBorder="1" applyAlignment="1">
      <alignment horizontal="center"/>
    </xf>
    <xf numFmtId="0" fontId="20" fillId="5" borderId="30" xfId="0" applyFont="1" applyFill="1" applyBorder="1" applyAlignment="1">
      <alignment horizontal="center"/>
    </xf>
    <xf numFmtId="0" fontId="20" fillId="5" borderId="31" xfId="0" applyFont="1" applyFill="1" applyBorder="1" applyAlignment="1">
      <alignment horizontal="center"/>
    </xf>
    <xf numFmtId="0" fontId="20" fillId="11" borderId="30" xfId="0" applyFont="1" applyFill="1" applyBorder="1" applyAlignment="1">
      <alignment horizontal="center"/>
    </xf>
    <xf numFmtId="0" fontId="20" fillId="11" borderId="31" xfId="0" applyFont="1" applyFill="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20" fillId="7" borderId="24" xfId="0" applyFont="1" applyFill="1" applyBorder="1" applyAlignment="1">
      <alignment horizontal="center" vertical="center"/>
    </xf>
    <xf numFmtId="0" fontId="20" fillId="7" borderId="25" xfId="0" applyFont="1" applyFill="1" applyBorder="1" applyAlignment="1">
      <alignment horizontal="center" vertical="center"/>
    </xf>
    <xf numFmtId="0" fontId="20" fillId="7" borderId="26" xfId="0" applyFont="1" applyFill="1" applyBorder="1" applyAlignment="1">
      <alignment horizontal="center" vertical="center"/>
    </xf>
    <xf numFmtId="0" fontId="20" fillId="7" borderId="27" xfId="0" applyFont="1" applyFill="1" applyBorder="1" applyAlignment="1">
      <alignment horizontal="center" vertical="center"/>
    </xf>
    <xf numFmtId="0" fontId="20" fillId="7" borderId="28" xfId="0" applyFont="1" applyFill="1" applyBorder="1" applyAlignment="1">
      <alignment horizontal="center" vertical="center"/>
    </xf>
    <xf numFmtId="0" fontId="20" fillId="7" borderId="29" xfId="0" applyFont="1" applyFill="1" applyBorder="1" applyAlignment="1">
      <alignment horizontal="center" vertical="center"/>
    </xf>
    <xf numFmtId="0" fontId="0" fillId="10" borderId="13" xfId="0" applyFill="1" applyBorder="1" applyAlignment="1">
      <alignment horizontal="center" vertical="center" wrapText="1"/>
    </xf>
    <xf numFmtId="0" fontId="0" fillId="10" borderId="20" xfId="0" applyFill="1" applyBorder="1" applyAlignment="1">
      <alignment horizontal="center" vertical="center"/>
    </xf>
    <xf numFmtId="0" fontId="0" fillId="10" borderId="21" xfId="0" applyFill="1" applyBorder="1" applyAlignment="1">
      <alignment horizontal="center" vertical="center"/>
    </xf>
    <xf numFmtId="0" fontId="0" fillId="10" borderId="22" xfId="0" applyFill="1" applyBorder="1" applyAlignment="1">
      <alignment horizontal="center" vertical="center"/>
    </xf>
    <xf numFmtId="0" fontId="0" fillId="8" borderId="15" xfId="0" applyFill="1" applyBorder="1" applyAlignment="1">
      <alignment horizontal="center" vertical="center" wrapText="1"/>
    </xf>
    <xf numFmtId="0" fontId="0" fillId="8" borderId="15" xfId="0" applyFill="1" applyBorder="1" applyAlignment="1">
      <alignment horizontal="center" vertical="center"/>
    </xf>
    <xf numFmtId="0" fontId="0" fillId="8" borderId="16" xfId="0" applyFill="1" applyBorder="1" applyAlignment="1">
      <alignment horizontal="center" vertical="center"/>
    </xf>
    <xf numFmtId="0" fontId="7" fillId="8" borderId="12" xfId="0" applyFont="1" applyFill="1" applyBorder="1" applyAlignment="1">
      <alignment horizontal="center" vertical="center" wrapText="1"/>
    </xf>
    <xf numFmtId="0" fontId="7" fillId="8" borderId="21" xfId="0" applyFont="1" applyFill="1" applyBorder="1" applyAlignment="1">
      <alignment horizontal="center" vertical="center"/>
    </xf>
    <xf numFmtId="0" fontId="7" fillId="8" borderId="18" xfId="0" applyFont="1" applyFill="1" applyBorder="1" applyAlignment="1">
      <alignment horizontal="center" vertical="center"/>
    </xf>
    <xf numFmtId="0" fontId="0" fillId="8" borderId="23" xfId="0" applyFill="1" applyBorder="1" applyAlignment="1">
      <alignment horizontal="center" vertical="center" wrapText="1"/>
    </xf>
    <xf numFmtId="0" fontId="7" fillId="8" borderId="22" xfId="0" applyFont="1" applyFill="1" applyBorder="1" applyAlignment="1">
      <alignment horizontal="center" vertical="top" wrapText="1"/>
    </xf>
    <xf numFmtId="0" fontId="7" fillId="8" borderId="10" xfId="0" applyFont="1" applyFill="1" applyBorder="1" applyAlignment="1">
      <alignment horizontal="center" vertical="top" wrapText="1"/>
    </xf>
    <xf numFmtId="0" fontId="0" fillId="0" borderId="15" xfId="0" applyBorder="1" applyAlignment="1">
      <alignment horizontal="center" vertical="center" wrapText="1"/>
    </xf>
    <xf numFmtId="0" fontId="0" fillId="0" borderId="15" xfId="0" applyBorder="1" applyAlignment="1">
      <alignment horizontal="center" vertical="center"/>
    </xf>
    <xf numFmtId="0" fontId="7" fillId="0" borderId="10" xfId="0" applyFont="1" applyBorder="1" applyAlignment="1">
      <alignment horizontal="center" vertical="top" wrapText="1"/>
    </xf>
    <xf numFmtId="0" fontId="7" fillId="0" borderId="10" xfId="0" applyFont="1" applyBorder="1" applyAlignment="1">
      <alignment horizontal="center" vertical="top"/>
    </xf>
    <xf numFmtId="0" fontId="0" fillId="8" borderId="12" xfId="0" applyFill="1" applyBorder="1" applyAlignment="1">
      <alignment horizontal="center"/>
    </xf>
    <xf numFmtId="0" fontId="0" fillId="8" borderId="21" xfId="0" applyFill="1" applyBorder="1" applyAlignment="1">
      <alignment horizontal="center"/>
    </xf>
    <xf numFmtId="0" fontId="0" fillId="8" borderId="18" xfId="0" applyFill="1" applyBorder="1" applyAlignment="1">
      <alignment horizontal="center"/>
    </xf>
    <xf numFmtId="0" fontId="0" fillId="10" borderId="19" xfId="0" applyFill="1" applyBorder="1" applyAlignment="1">
      <alignment horizontal="center" vertical="center"/>
    </xf>
    <xf numFmtId="0" fontId="0" fillId="0" borderId="0" xfId="0" applyAlignment="1">
      <alignment horizontal="center"/>
    </xf>
    <xf numFmtId="0" fontId="0" fillId="3" borderId="48" xfId="0" applyFill="1" applyBorder="1" applyAlignment="1">
      <alignment horizontal="center" vertical="top"/>
    </xf>
    <xf numFmtId="0" fontId="0" fillId="3" borderId="49" xfId="0" applyFill="1" applyBorder="1" applyAlignment="1">
      <alignment horizontal="center" vertical="top"/>
    </xf>
    <xf numFmtId="0" fontId="0" fillId="3" borderId="50" xfId="0" applyFill="1" applyBorder="1" applyAlignment="1">
      <alignment horizontal="center" vertical="top"/>
    </xf>
    <xf numFmtId="0" fontId="0" fillId="3" borderId="30" xfId="0" applyFill="1" applyBorder="1" applyAlignment="1">
      <alignment horizontal="center" vertical="top"/>
    </xf>
    <xf numFmtId="0" fontId="0" fillId="3" borderId="32" xfId="0" applyFill="1" applyBorder="1" applyAlignment="1">
      <alignment horizontal="center" vertical="top"/>
    </xf>
    <xf numFmtId="0" fontId="0" fillId="11" borderId="44" xfId="0" applyFill="1" applyBorder="1" applyAlignment="1">
      <alignment horizontal="center" vertical="center"/>
    </xf>
    <xf numFmtId="0" fontId="0" fillId="11" borderId="45" xfId="0" applyFill="1" applyBorder="1" applyAlignment="1">
      <alignment horizontal="center" vertic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32" xfId="0" applyFont="1" applyBorder="1" applyAlignment="1">
      <alignment horizontal="center"/>
    </xf>
    <xf numFmtId="0" fontId="2" fillId="15" borderId="53" xfId="0" applyFont="1" applyFill="1" applyBorder="1" applyAlignment="1">
      <alignment horizontal="center"/>
    </xf>
    <xf numFmtId="0" fontId="2" fillId="15" borderId="31" xfId="0" applyFont="1" applyFill="1" applyBorder="1" applyAlignment="1">
      <alignment horizontal="center"/>
    </xf>
    <xf numFmtId="0" fontId="2" fillId="15" borderId="54" xfId="0" applyFont="1" applyFill="1" applyBorder="1" applyAlignment="1">
      <alignment horizontal="center"/>
    </xf>
    <xf numFmtId="0" fontId="11" fillId="15" borderId="30" xfId="0" applyFont="1" applyFill="1" applyBorder="1" applyAlignment="1">
      <alignment horizontal="center"/>
    </xf>
    <xf numFmtId="0" fontId="11" fillId="15" borderId="31" xfId="0" applyFont="1" applyFill="1" applyBorder="1" applyAlignment="1">
      <alignment horizontal="center"/>
    </xf>
    <xf numFmtId="0" fontId="11" fillId="4" borderId="48" xfId="0" applyFont="1" applyFill="1" applyBorder="1" applyAlignment="1">
      <alignment horizontal="center"/>
    </xf>
    <xf numFmtId="0" fontId="11" fillId="4" borderId="49" xfId="0" applyFont="1" applyFill="1" applyBorder="1" applyAlignment="1">
      <alignment horizontal="center"/>
    </xf>
    <xf numFmtId="0" fontId="2" fillId="0" borderId="30" xfId="0" applyFont="1" applyBorder="1" applyAlignment="1">
      <alignment horizontal="left"/>
    </xf>
    <xf numFmtId="0" fontId="2" fillId="0" borderId="31" xfId="0" applyFont="1" applyBorder="1" applyAlignment="1">
      <alignment horizontal="left"/>
    </xf>
    <xf numFmtId="0" fontId="2" fillId="0" borderId="32" xfId="0" applyFont="1" applyBorder="1" applyAlignment="1">
      <alignment horizontal="left"/>
    </xf>
    <xf numFmtId="0" fontId="0" fillId="0" borderId="30" xfId="0" applyBorder="1" applyAlignment="1">
      <alignment horizontal="left"/>
    </xf>
    <xf numFmtId="0" fontId="0" fillId="0" borderId="31" xfId="0" applyBorder="1" applyAlignment="1">
      <alignment horizontal="left"/>
    </xf>
    <xf numFmtId="0" fontId="0" fillId="0" borderId="32" xfId="0" applyBorder="1" applyAlignment="1">
      <alignment horizontal="left"/>
    </xf>
    <xf numFmtId="0" fontId="20" fillId="3" borderId="33" xfId="0" applyFont="1" applyFill="1" applyBorder="1" applyAlignment="1">
      <alignment horizontal="center" wrapText="1"/>
    </xf>
    <xf numFmtId="0" fontId="20" fillId="3" borderId="0" xfId="0" applyFont="1" applyFill="1" applyBorder="1" applyAlignment="1">
      <alignment horizontal="center" wrapText="1"/>
    </xf>
    <xf numFmtId="0" fontId="2" fillId="15" borderId="51" xfId="0" applyFont="1" applyFill="1" applyBorder="1" applyAlignment="1">
      <alignment horizontal="center"/>
    </xf>
    <xf numFmtId="0" fontId="2" fillId="15" borderId="42" xfId="0" applyFont="1" applyFill="1" applyBorder="1" applyAlignment="1">
      <alignment horizontal="center"/>
    </xf>
    <xf numFmtId="0" fontId="2" fillId="15" borderId="52" xfId="0" applyFont="1" applyFill="1" applyBorder="1" applyAlignment="1">
      <alignment horizontal="center"/>
    </xf>
    <xf numFmtId="0" fontId="0" fillId="10" borderId="12" xfId="0" applyFont="1" applyFill="1" applyBorder="1" applyAlignment="1">
      <alignment horizontal="left" vertical="center"/>
    </xf>
    <xf numFmtId="0" fontId="2" fillId="10" borderId="16" xfId="0" applyFont="1" applyFill="1" applyBorder="1" applyAlignment="1">
      <alignment horizontal="center" vertical="center" wrapText="1"/>
    </xf>
    <xf numFmtId="0" fontId="0" fillId="11" borderId="27" xfId="0" applyFill="1" applyBorder="1" applyAlignment="1">
      <alignment horizontal="center" vertical="center"/>
    </xf>
    <xf numFmtId="0" fontId="0" fillId="11" borderId="47" xfId="0" applyFill="1" applyBorder="1" applyAlignment="1">
      <alignment horizontal="center" vertical="center"/>
    </xf>
    <xf numFmtId="0" fontId="0" fillId="10" borderId="46" xfId="0" applyFill="1" applyBorder="1" applyAlignment="1">
      <alignment horizontal="center" vertical="center"/>
    </xf>
    <xf numFmtId="0" fontId="0" fillId="10" borderId="38" xfId="0" applyFill="1" applyBorder="1" applyAlignment="1">
      <alignment horizontal="center" vertical="center"/>
    </xf>
    <xf numFmtId="0" fontId="2" fillId="10" borderId="43" xfId="0" applyFont="1" applyFill="1" applyBorder="1" applyAlignment="1">
      <alignment horizontal="center" vertical="center" wrapText="1"/>
    </xf>
    <xf numFmtId="0" fontId="2" fillId="10" borderId="38" xfId="0" applyFont="1" applyFill="1" applyBorder="1" applyAlignment="1">
      <alignment horizontal="center" vertical="center" wrapText="1"/>
    </xf>
    <xf numFmtId="167" fontId="0" fillId="10" borderId="55" xfId="0" applyNumberFormat="1" applyFill="1" applyBorder="1" applyAlignment="1">
      <alignment horizontal="center" vertical="center" wrapText="1"/>
    </xf>
    <xf numFmtId="167" fontId="0" fillId="10" borderId="56" xfId="0" applyNumberFormat="1" applyFill="1" applyBorder="1" applyAlignment="1">
      <alignment horizontal="center" vertical="center" wrapText="1"/>
    </xf>
    <xf numFmtId="167" fontId="0" fillId="10" borderId="33" xfId="0" applyNumberFormat="1" applyFill="1" applyBorder="1" applyAlignment="1">
      <alignment horizontal="center" vertical="center" wrapText="1"/>
    </xf>
    <xf numFmtId="167" fontId="0" fillId="10" borderId="8" xfId="0" applyNumberFormat="1" applyFill="1" applyBorder="1" applyAlignment="1">
      <alignment horizontal="center" vertical="center" wrapText="1"/>
    </xf>
    <xf numFmtId="167" fontId="0" fillId="10" borderId="57" xfId="0" applyNumberFormat="1" applyFill="1" applyBorder="1" applyAlignment="1">
      <alignment horizontal="center" vertical="center" wrapText="1"/>
    </xf>
    <xf numFmtId="167" fontId="0" fillId="10" borderId="47" xfId="0" applyNumberFormat="1" applyFill="1" applyBorder="1" applyAlignment="1">
      <alignment horizontal="center" vertical="center" wrapText="1"/>
    </xf>
    <xf numFmtId="0" fontId="0" fillId="14" borderId="58" xfId="0" applyFill="1" applyBorder="1" applyAlignment="1">
      <alignment horizontal="center" vertical="center"/>
    </xf>
    <xf numFmtId="0" fontId="0" fillId="14" borderId="59" xfId="0" applyFill="1" applyBorder="1" applyAlignment="1">
      <alignment horizontal="center" vertical="center"/>
    </xf>
    <xf numFmtId="0" fontId="0" fillId="14" borderId="33" xfId="0" applyFill="1" applyBorder="1" applyAlignment="1">
      <alignment horizontal="center" vertical="center"/>
    </xf>
    <xf numFmtId="0" fontId="0" fillId="14" borderId="8" xfId="0" applyFill="1" applyBorder="1" applyAlignment="1">
      <alignment horizontal="center" vertical="center"/>
    </xf>
    <xf numFmtId="0" fontId="0" fillId="14" borderId="57" xfId="0" applyFill="1" applyBorder="1" applyAlignment="1">
      <alignment horizontal="center" vertical="center"/>
    </xf>
    <xf numFmtId="0" fontId="0" fillId="14" borderId="47" xfId="0" applyFill="1" applyBorder="1" applyAlignment="1">
      <alignment horizontal="center" vertical="center"/>
    </xf>
    <xf numFmtId="0" fontId="0" fillId="10" borderId="48" xfId="0" applyFill="1" applyBorder="1" applyAlignment="1">
      <alignment horizontal="center" vertical="center"/>
    </xf>
    <xf numFmtId="0" fontId="0" fillId="10" borderId="50" xfId="0" applyFill="1" applyBorder="1" applyAlignment="1">
      <alignment horizontal="center" vertical="center"/>
    </xf>
    <xf numFmtId="0" fontId="33" fillId="4" borderId="28" xfId="0" applyFont="1" applyFill="1" applyBorder="1" applyAlignment="1">
      <alignment horizontal="center"/>
    </xf>
    <xf numFmtId="0" fontId="11" fillId="4" borderId="55" xfId="0" applyFont="1" applyFill="1" applyBorder="1" applyAlignment="1">
      <alignment horizontal="center"/>
    </xf>
    <xf numFmtId="0" fontId="11" fillId="4" borderId="60" xfId="0" applyFont="1" applyFill="1" applyBorder="1" applyAlignment="1">
      <alignment horizontal="center"/>
    </xf>
    <xf numFmtId="0" fontId="34" fillId="5" borderId="43" xfId="0" applyFont="1" applyFill="1" applyBorder="1" applyAlignment="1">
      <alignment horizontal="center"/>
    </xf>
    <xf numFmtId="0" fontId="34" fillId="5" borderId="40" xfId="0" applyFont="1" applyFill="1" applyBorder="1" applyAlignment="1">
      <alignment horizontal="center"/>
    </xf>
    <xf numFmtId="0" fontId="34" fillId="5" borderId="20" xfId="0" applyFont="1" applyFill="1" applyBorder="1" applyAlignment="1">
      <alignment horizontal="center"/>
    </xf>
    <xf numFmtId="0" fontId="2" fillId="15" borderId="44" xfId="0" applyFont="1" applyFill="1" applyBorder="1" applyAlignment="1">
      <alignment horizontal="center"/>
    </xf>
    <xf numFmtId="0" fontId="2" fillId="15" borderId="61" xfId="0" applyFont="1" applyFill="1" applyBorder="1" applyAlignment="1">
      <alignment horizontal="center"/>
    </xf>
    <xf numFmtId="0" fontId="2" fillId="15" borderId="62" xfId="0" applyFont="1" applyFill="1" applyBorder="1" applyAlignment="1">
      <alignment horizontal="center"/>
    </xf>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1FE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Alok Sambuddha" id="{81F2DFB0-D42B-B149-8935-A5254DEEBE5E}" userId="S::alok.sambuddha1@aexp.com::d88f7542-2bc4-4ac8-b320-9b35e471aa7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4" dT="2021-10-05T02:27:16.06" personId="{81F2DFB0-D42B-B149-8935-A5254DEEBE5E}" id="{D131E809-821F-404F-9B5B-EC7FF6E280BE}">
    <text>Location avg rent + maint:
HQ 3.5
6 Loc: 7.5L</text>
  </threadedComment>
</ThreadedComments>
</file>

<file path=xl/threadedComments/threadedComment2.xml><?xml version="1.0" encoding="utf-8"?>
<ThreadedComments xmlns="http://schemas.microsoft.com/office/spreadsheetml/2018/threadedcomments" xmlns:x="http://schemas.openxmlformats.org/spreadsheetml/2006/main">
  <threadedComment ref="D15" dT="2021-10-05T02:27:16.06" personId="{81F2DFB0-D42B-B149-8935-A5254DEEBE5E}" id="{F8E3F821-0CC1-874C-9E55-67372711944A}">
    <text>Location avg rent + maint:
HQ 3.5
6 Loc: 7.5L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6.bin"/><Relationship Id="rId1" Type="http://schemas.openxmlformats.org/officeDocument/2006/relationships/hyperlink" Target="https://www.99acres.com/ready-to-move-office-space-for-rent-lease-in-baner-pune-1600-sq-ft-spid-M54558790" TargetMode="External"/><Relationship Id="rId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18.bin"/><Relationship Id="rId1" Type="http://schemas.openxmlformats.org/officeDocument/2006/relationships/hyperlink" Target="https://www.99acres.com/ready-to-move-office-space-for-rent-lease-in-baner-pune-1600-sq-ft-spid-M54558790" TargetMode="External"/><Relationship Id="rId5" Type="http://schemas.microsoft.com/office/2017/10/relationships/threadedComment" Target="../threadedComments/threadedComment1.xml"/><Relationship Id="rId4" Type="http://schemas.openxmlformats.org/officeDocument/2006/relationships/comments" Target="../comments4.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99acres.com/ready-to-move-office-space-for-rent-lease-in-baner-pune-1600-sq-ft-spid-M5455879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https://en.wikipedia.org/wiki/Chhattisgarh" TargetMode="External"/><Relationship Id="rId18" Type="http://schemas.openxmlformats.org/officeDocument/2006/relationships/hyperlink" Target="https://en.wikipedia.org/wiki/Alcohol_laws_of_India" TargetMode="External"/><Relationship Id="rId26" Type="http://schemas.openxmlformats.org/officeDocument/2006/relationships/hyperlink" Target="https://en.wikipedia.org/wiki/Jharkhand" TargetMode="External"/><Relationship Id="rId39" Type="http://schemas.openxmlformats.org/officeDocument/2006/relationships/hyperlink" Target="https://en.wikipedia.org/wiki/Mizoram" TargetMode="External"/><Relationship Id="rId21" Type="http://schemas.openxmlformats.org/officeDocument/2006/relationships/hyperlink" Target="https://en.wikipedia.org/wiki/Haryana" TargetMode="External"/><Relationship Id="rId34" Type="http://schemas.openxmlformats.org/officeDocument/2006/relationships/hyperlink" Target="https://en.wikipedia.org/wiki/Maharashtra" TargetMode="External"/><Relationship Id="rId42" Type="http://schemas.openxmlformats.org/officeDocument/2006/relationships/hyperlink" Target="https://en.wikipedia.org/wiki/Odisha" TargetMode="External"/><Relationship Id="rId47" Type="http://schemas.openxmlformats.org/officeDocument/2006/relationships/hyperlink" Target="https://en.wikipedia.org/wiki/Rajasthan" TargetMode="External"/><Relationship Id="rId50" Type="http://schemas.openxmlformats.org/officeDocument/2006/relationships/hyperlink" Target="https://en.wikipedia.org/wiki/Alcohol_laws_of_India" TargetMode="External"/><Relationship Id="rId55" Type="http://schemas.openxmlformats.org/officeDocument/2006/relationships/hyperlink" Target="https://en.wikipedia.org/wiki/Uttar_Pradesh" TargetMode="External"/><Relationship Id="rId63" Type="http://schemas.openxmlformats.org/officeDocument/2006/relationships/hyperlink" Target="https://en.wikipedia.org/wiki/Alcohol_laws_of_India" TargetMode="External"/><Relationship Id="rId7" Type="http://schemas.openxmlformats.org/officeDocument/2006/relationships/hyperlink" Target="https://en.wikipedia.org/wiki/Assam" TargetMode="External"/><Relationship Id="rId2" Type="http://schemas.openxmlformats.org/officeDocument/2006/relationships/hyperlink" Target="https://en.wikipedia.org/wiki/Alcohol_laws_of_India" TargetMode="External"/><Relationship Id="rId16" Type="http://schemas.openxmlformats.org/officeDocument/2006/relationships/hyperlink" Target="https://en.wikipedia.org/wiki/Delhi" TargetMode="External"/><Relationship Id="rId29" Type="http://schemas.openxmlformats.org/officeDocument/2006/relationships/hyperlink" Target="https://en.wikipedia.org/wiki/Alcohol_laws_of_India" TargetMode="External"/><Relationship Id="rId11" Type="http://schemas.openxmlformats.org/officeDocument/2006/relationships/hyperlink" Target="https://en.wikipedia.org/wiki/Chandigarh" TargetMode="External"/><Relationship Id="rId24" Type="http://schemas.openxmlformats.org/officeDocument/2006/relationships/hyperlink" Target="https://en.wikipedia.org/wiki/Alcohol_laws_of_India" TargetMode="External"/><Relationship Id="rId32" Type="http://schemas.openxmlformats.org/officeDocument/2006/relationships/hyperlink" Target="https://en.wikipedia.org/wiki/Madhya_Pradesh" TargetMode="External"/><Relationship Id="rId37" Type="http://schemas.openxmlformats.org/officeDocument/2006/relationships/hyperlink" Target="https://en.wikipedia.org/wiki/Meghalaya" TargetMode="External"/><Relationship Id="rId40" Type="http://schemas.openxmlformats.org/officeDocument/2006/relationships/hyperlink" Target="https://en.wikipedia.org/wiki/Alcohol_laws_of_India" TargetMode="External"/><Relationship Id="rId45" Type="http://schemas.openxmlformats.org/officeDocument/2006/relationships/hyperlink" Target="https://en.wikipedia.org/wiki/Punjab,_India" TargetMode="External"/><Relationship Id="rId53" Type="http://schemas.openxmlformats.org/officeDocument/2006/relationships/hyperlink" Target="https://en.wikipedia.org/wiki/Telangana" TargetMode="External"/><Relationship Id="rId58" Type="http://schemas.openxmlformats.org/officeDocument/2006/relationships/hyperlink" Target="https://en.wikipedia.org/wiki/Alcohol_laws_of_India" TargetMode="External"/><Relationship Id="rId5" Type="http://schemas.openxmlformats.org/officeDocument/2006/relationships/hyperlink" Target="https://en.wikipedia.org/wiki/Arunachal_Pradesh" TargetMode="External"/><Relationship Id="rId61" Type="http://schemas.openxmlformats.org/officeDocument/2006/relationships/hyperlink" Target="https://en.wikipedia.org/wiki/Alcohol_laws_of_India" TargetMode="External"/><Relationship Id="rId19" Type="http://schemas.openxmlformats.org/officeDocument/2006/relationships/hyperlink" Target="https://en.wikipedia.org/wiki/Gujarat" TargetMode="External"/><Relationship Id="rId14" Type="http://schemas.openxmlformats.org/officeDocument/2006/relationships/hyperlink" Target="https://en.wikipedia.org/wiki/Alcohol_laws_of_India" TargetMode="External"/><Relationship Id="rId22" Type="http://schemas.openxmlformats.org/officeDocument/2006/relationships/hyperlink" Target="https://en.wikipedia.org/wiki/Alcohol_laws_of_India" TargetMode="External"/><Relationship Id="rId27" Type="http://schemas.openxmlformats.org/officeDocument/2006/relationships/hyperlink" Target="https://en.wikipedia.org/wiki/Karnataka" TargetMode="External"/><Relationship Id="rId30" Type="http://schemas.openxmlformats.org/officeDocument/2006/relationships/hyperlink" Target="https://en.wikipedia.org/wiki/Ladakh" TargetMode="External"/><Relationship Id="rId35" Type="http://schemas.openxmlformats.org/officeDocument/2006/relationships/hyperlink" Target="https://en.wikipedia.org/wiki/Manipur" TargetMode="External"/><Relationship Id="rId43" Type="http://schemas.openxmlformats.org/officeDocument/2006/relationships/hyperlink" Target="https://en.wikipedia.org/wiki/Puducherry" TargetMode="External"/><Relationship Id="rId48" Type="http://schemas.openxmlformats.org/officeDocument/2006/relationships/hyperlink" Target="https://en.wikipedia.org/wiki/Alcohol_laws_of_India" TargetMode="External"/><Relationship Id="rId56" Type="http://schemas.openxmlformats.org/officeDocument/2006/relationships/hyperlink" Target="https://en.wikipedia.org/wiki/Uttarakhand" TargetMode="External"/><Relationship Id="rId64" Type="http://schemas.openxmlformats.org/officeDocument/2006/relationships/printerSettings" Target="../printerSettings/printerSettings7.bin"/><Relationship Id="rId8" Type="http://schemas.openxmlformats.org/officeDocument/2006/relationships/hyperlink" Target="https://en.wikipedia.org/wiki/Alcohol_laws_of_India" TargetMode="External"/><Relationship Id="rId51" Type="http://schemas.openxmlformats.org/officeDocument/2006/relationships/hyperlink" Target="https://en.wikipedia.org/wiki/Tamil_Nadu" TargetMode="External"/><Relationship Id="rId3" Type="http://schemas.openxmlformats.org/officeDocument/2006/relationships/hyperlink" Target="https://en.wikipedia.org/wiki/Andhra_Pradesh" TargetMode="External"/><Relationship Id="rId12" Type="http://schemas.openxmlformats.org/officeDocument/2006/relationships/hyperlink" Target="https://en.wikipedia.org/wiki/Alcohol_laws_of_India" TargetMode="External"/><Relationship Id="rId17" Type="http://schemas.openxmlformats.org/officeDocument/2006/relationships/hyperlink" Target="https://en.wikipedia.org/wiki/Goa" TargetMode="External"/><Relationship Id="rId25" Type="http://schemas.openxmlformats.org/officeDocument/2006/relationships/hyperlink" Target="https://en.wikipedia.org/wiki/Jammu_and_Kashmir_(union_territory)" TargetMode="External"/><Relationship Id="rId33" Type="http://schemas.openxmlformats.org/officeDocument/2006/relationships/hyperlink" Target="https://en.wikipedia.org/wiki/Alcohol_laws_of_India" TargetMode="External"/><Relationship Id="rId38" Type="http://schemas.openxmlformats.org/officeDocument/2006/relationships/hyperlink" Target="https://en.wikipedia.org/wiki/Alcohol_laws_of_India" TargetMode="External"/><Relationship Id="rId46" Type="http://schemas.openxmlformats.org/officeDocument/2006/relationships/hyperlink" Target="https://en.wikipedia.org/wiki/Alcohol_laws_of_India" TargetMode="External"/><Relationship Id="rId59" Type="http://schemas.openxmlformats.org/officeDocument/2006/relationships/hyperlink" Target="https://en.wikipedia.org/wiki/Alcohol_laws_of_India" TargetMode="External"/><Relationship Id="rId20" Type="http://schemas.openxmlformats.org/officeDocument/2006/relationships/hyperlink" Target="https://en.wikipedia.org/wiki/Bombay_Prohibition_(Gujarat_Amendment)_Act,_2009" TargetMode="External"/><Relationship Id="rId41" Type="http://schemas.openxmlformats.org/officeDocument/2006/relationships/hyperlink" Target="https://en.wikipedia.org/wiki/Nagaland" TargetMode="External"/><Relationship Id="rId54" Type="http://schemas.openxmlformats.org/officeDocument/2006/relationships/hyperlink" Target="https://en.wikipedia.org/wiki/Tripura" TargetMode="External"/><Relationship Id="rId62" Type="http://schemas.openxmlformats.org/officeDocument/2006/relationships/hyperlink" Target="https://en.wikipedia.org/wiki/Alcohol_laws_of_India" TargetMode="External"/><Relationship Id="rId1" Type="http://schemas.openxmlformats.org/officeDocument/2006/relationships/hyperlink" Target="https://en.wikipedia.org/wiki/Andaman_and_Nicobar_Islands" TargetMode="External"/><Relationship Id="rId6" Type="http://schemas.openxmlformats.org/officeDocument/2006/relationships/hyperlink" Target="https://en.wikipedia.org/wiki/Alcohol_laws_of_India" TargetMode="External"/><Relationship Id="rId15" Type="http://schemas.openxmlformats.org/officeDocument/2006/relationships/hyperlink" Target="https://en.wikipedia.org/wiki/Dadra_and_Nagar_Haveli_and_Daman_and_Diu" TargetMode="External"/><Relationship Id="rId23" Type="http://schemas.openxmlformats.org/officeDocument/2006/relationships/hyperlink" Target="https://en.wikipedia.org/wiki/Himachal_Pradesh" TargetMode="External"/><Relationship Id="rId28" Type="http://schemas.openxmlformats.org/officeDocument/2006/relationships/hyperlink" Target="https://en.wikipedia.org/wiki/Kerala" TargetMode="External"/><Relationship Id="rId36" Type="http://schemas.openxmlformats.org/officeDocument/2006/relationships/hyperlink" Target="https://en.wikipedia.org/wiki/Alcohol_laws_of_India" TargetMode="External"/><Relationship Id="rId49" Type="http://schemas.openxmlformats.org/officeDocument/2006/relationships/hyperlink" Target="https://en.wikipedia.org/wiki/Sikkim" TargetMode="External"/><Relationship Id="rId57" Type="http://schemas.openxmlformats.org/officeDocument/2006/relationships/hyperlink" Target="https://en.wikipedia.org/wiki/West_Bengal" TargetMode="External"/><Relationship Id="rId10" Type="http://schemas.openxmlformats.org/officeDocument/2006/relationships/hyperlink" Target="https://en.wikipedia.org/wiki/Bihar_Excise_(Amendment)_Act,_2016" TargetMode="External"/><Relationship Id="rId31" Type="http://schemas.openxmlformats.org/officeDocument/2006/relationships/hyperlink" Target="https://en.wikipedia.org/wiki/Lakshadweep" TargetMode="External"/><Relationship Id="rId44" Type="http://schemas.openxmlformats.org/officeDocument/2006/relationships/hyperlink" Target="https://en.wikipedia.org/wiki/Alcohol_laws_of_India" TargetMode="External"/><Relationship Id="rId52" Type="http://schemas.openxmlformats.org/officeDocument/2006/relationships/hyperlink" Target="https://en.wikipedia.org/wiki/Alcohol_laws_of_India" TargetMode="External"/><Relationship Id="rId60" Type="http://schemas.openxmlformats.org/officeDocument/2006/relationships/hyperlink" Target="https://en.wikipedia.org/wiki/Alcohol_laws_of_India" TargetMode="External"/><Relationship Id="rId4" Type="http://schemas.openxmlformats.org/officeDocument/2006/relationships/hyperlink" Target="https://en.wikipedia.org/wiki/Alcohol_laws_of_India" TargetMode="External"/><Relationship Id="rId9" Type="http://schemas.openxmlformats.org/officeDocument/2006/relationships/hyperlink" Target="https://en.wikipedia.org/wiki/Bihar"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n.wikipedia.org/wiki/Insurance_premium" TargetMode="External"/><Relationship Id="rId2" Type="http://schemas.openxmlformats.org/officeDocument/2006/relationships/hyperlink" Target="https://en.wikipedia.org/wiki/Internet" TargetMode="External"/><Relationship Id="rId1" Type="http://schemas.openxmlformats.org/officeDocument/2006/relationships/hyperlink" Target="https://en.wikipedia.org/wiki/Advertising"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
  <sheetViews>
    <sheetView zoomScale="85" zoomScaleNormal="85"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s>
  <sheetData>
    <row r="1" spans="1:9" ht="17" thickBot="1" x14ac:dyDescent="0.25">
      <c r="A1" s="116" t="s">
        <v>237</v>
      </c>
      <c r="B1" s="117" t="s">
        <v>238</v>
      </c>
      <c r="C1" s="118" t="s">
        <v>334</v>
      </c>
      <c r="D1" s="118" t="s">
        <v>380</v>
      </c>
      <c r="E1" s="118" t="s">
        <v>381</v>
      </c>
      <c r="F1" s="119" t="s">
        <v>104</v>
      </c>
      <c r="G1" s="147" t="s">
        <v>443</v>
      </c>
      <c r="H1" s="148" t="s">
        <v>444</v>
      </c>
    </row>
    <row r="2" spans="1:9" ht="16" x14ac:dyDescent="0.2">
      <c r="A2" s="146" t="s">
        <v>239</v>
      </c>
      <c r="B2" s="97" t="s">
        <v>240</v>
      </c>
      <c r="C2" s="98">
        <v>8000</v>
      </c>
      <c r="D2" s="98"/>
      <c r="E2" s="98"/>
      <c r="F2" s="99" t="s">
        <v>425</v>
      </c>
      <c r="G2" t="s">
        <v>453</v>
      </c>
      <c r="H2" t="s">
        <v>454</v>
      </c>
      <c r="I2" s="149" t="s">
        <v>455</v>
      </c>
    </row>
    <row r="3" spans="1:9" ht="16" x14ac:dyDescent="0.2">
      <c r="A3" s="145" t="s">
        <v>361</v>
      </c>
      <c r="B3" s="100" t="s">
        <v>231</v>
      </c>
      <c r="C3" s="101">
        <f>C2*0.15</f>
        <v>1200</v>
      </c>
      <c r="D3" s="101"/>
      <c r="E3" s="101"/>
      <c r="F3" s="102" t="s">
        <v>426</v>
      </c>
      <c r="G3" t="s">
        <v>456</v>
      </c>
      <c r="H3" t="s">
        <v>457</v>
      </c>
      <c r="I3" s="149" t="s">
        <v>459</v>
      </c>
    </row>
    <row r="4" spans="1:9" ht="16" x14ac:dyDescent="0.2">
      <c r="A4" s="351" t="s">
        <v>386</v>
      </c>
      <c r="B4" s="100" t="s">
        <v>362</v>
      </c>
      <c r="C4" s="101">
        <f>C3/4</f>
        <v>300</v>
      </c>
      <c r="D4" s="101"/>
      <c r="E4" s="101"/>
      <c r="F4" s="102"/>
      <c r="G4" t="s">
        <v>460</v>
      </c>
      <c r="H4" t="s">
        <v>457</v>
      </c>
      <c r="I4" s="149" t="s">
        <v>458</v>
      </c>
    </row>
    <row r="5" spans="1:9" ht="16" thickBot="1" x14ac:dyDescent="0.25">
      <c r="A5" s="352"/>
      <c r="B5" s="109" t="s">
        <v>363</v>
      </c>
      <c r="C5" s="142">
        <f>ROUNDDOWN((C2-C3)*0.103, 0)</f>
        <v>700</v>
      </c>
      <c r="D5" s="142"/>
      <c r="E5" s="142"/>
      <c r="F5" s="143"/>
    </row>
    <row r="6" spans="1:9" ht="15.75" customHeight="1" x14ac:dyDescent="0.2">
      <c r="A6" s="357" t="s">
        <v>367</v>
      </c>
      <c r="B6" s="139" t="s">
        <v>232</v>
      </c>
      <c r="C6" s="140">
        <f>C5+C4</f>
        <v>1000</v>
      </c>
      <c r="D6" s="139"/>
      <c r="E6" s="139"/>
      <c r="F6" s="141" t="s">
        <v>241</v>
      </c>
      <c r="G6">
        <v>1180</v>
      </c>
      <c r="H6">
        <v>1050</v>
      </c>
      <c r="I6" t="s">
        <v>446</v>
      </c>
    </row>
    <row r="7" spans="1:9" x14ac:dyDescent="0.2">
      <c r="A7" s="358"/>
      <c r="B7" s="125" t="s">
        <v>233</v>
      </c>
      <c r="C7" s="126">
        <v>2000</v>
      </c>
      <c r="D7" s="125"/>
      <c r="E7" s="125"/>
      <c r="F7" s="127" t="s">
        <v>429</v>
      </c>
      <c r="G7">
        <v>1000</v>
      </c>
      <c r="H7">
        <v>1000</v>
      </c>
      <c r="I7" t="s">
        <v>445</v>
      </c>
    </row>
    <row r="8" spans="1:9" x14ac:dyDescent="0.2">
      <c r="A8" s="358"/>
      <c r="B8" s="125" t="s">
        <v>234</v>
      </c>
      <c r="C8" s="126">
        <f>C7*C6</f>
        <v>2000000</v>
      </c>
      <c r="D8" s="160"/>
      <c r="E8" s="125"/>
      <c r="F8" s="127"/>
    </row>
    <row r="9" spans="1:9" x14ac:dyDescent="0.2">
      <c r="A9" s="128" t="s">
        <v>368</v>
      </c>
      <c r="B9" s="129">
        <v>0.18</v>
      </c>
      <c r="C9" s="126">
        <f>C8*B9</f>
        <v>360000</v>
      </c>
      <c r="D9" s="125"/>
      <c r="E9" s="125"/>
      <c r="F9" s="127"/>
    </row>
    <row r="10" spans="1:9" x14ac:dyDescent="0.2">
      <c r="A10" s="128" t="s">
        <v>365</v>
      </c>
      <c r="B10" s="129">
        <v>0.12</v>
      </c>
      <c r="C10" s="126">
        <f>C9*B10/B9</f>
        <v>240000</v>
      </c>
      <c r="D10" s="125"/>
      <c r="E10" s="125"/>
      <c r="F10" s="355" t="s">
        <v>366</v>
      </c>
      <c r="G10">
        <v>820</v>
      </c>
      <c r="H10">
        <v>820</v>
      </c>
      <c r="I10" t="s">
        <v>447</v>
      </c>
    </row>
    <row r="11" spans="1:9" ht="16" thickBot="1" x14ac:dyDescent="0.25">
      <c r="A11" s="130" t="s">
        <v>364</v>
      </c>
      <c r="B11" s="131">
        <v>0.06</v>
      </c>
      <c r="C11" s="132">
        <f>C9-C10</f>
        <v>120000</v>
      </c>
      <c r="D11" s="133"/>
      <c r="E11" s="133"/>
      <c r="F11" s="356"/>
      <c r="G11">
        <f>G10*1.18</f>
        <v>967.59999999999991</v>
      </c>
      <c r="H11">
        <f>H10*1.05</f>
        <v>861</v>
      </c>
      <c r="I11" t="s">
        <v>448</v>
      </c>
    </row>
    <row r="12" spans="1:9" ht="15" customHeight="1" x14ac:dyDescent="0.2">
      <c r="A12" s="360" t="s">
        <v>369</v>
      </c>
      <c r="B12" s="150" t="s">
        <v>370</v>
      </c>
      <c r="C12" s="108">
        <f>C6*0.05</f>
        <v>50</v>
      </c>
      <c r="D12" s="97"/>
      <c r="E12" s="97"/>
      <c r="F12" s="103"/>
      <c r="G12">
        <v>100</v>
      </c>
      <c r="H12">
        <v>100</v>
      </c>
      <c r="I12" t="s">
        <v>449</v>
      </c>
    </row>
    <row r="13" spans="1:9" x14ac:dyDescent="0.2">
      <c r="A13" s="361"/>
      <c r="B13" s="151" t="s">
        <v>371</v>
      </c>
      <c r="C13" s="104">
        <v>500</v>
      </c>
      <c r="D13" s="100"/>
      <c r="E13" s="100"/>
      <c r="F13" s="105" t="s">
        <v>428</v>
      </c>
      <c r="G13">
        <f>20*1.18</f>
        <v>23.599999999999998</v>
      </c>
      <c r="H13">
        <v>23.6</v>
      </c>
      <c r="I13" t="s">
        <v>296</v>
      </c>
    </row>
    <row r="14" spans="1:9" ht="16" thickBot="1" x14ac:dyDescent="0.25">
      <c r="A14" s="362"/>
      <c r="B14" s="151" t="s">
        <v>373</v>
      </c>
      <c r="C14" s="104">
        <f>C13*C12</f>
        <v>25000</v>
      </c>
      <c r="D14" s="100"/>
      <c r="E14" s="100"/>
      <c r="F14" s="144"/>
    </row>
    <row r="15" spans="1:9" x14ac:dyDescent="0.2">
      <c r="A15" s="152" t="s">
        <v>372</v>
      </c>
      <c r="B15" s="107">
        <v>1</v>
      </c>
      <c r="C15" s="104">
        <v>25000</v>
      </c>
      <c r="D15" s="100"/>
      <c r="E15" s="100"/>
      <c r="F15" s="105" t="s">
        <v>376</v>
      </c>
    </row>
    <row r="16" spans="1:9" x14ac:dyDescent="0.2">
      <c r="A16" s="106" t="s">
        <v>374</v>
      </c>
      <c r="B16" s="107">
        <v>0.626</v>
      </c>
      <c r="C16" s="104">
        <f>C15*B16</f>
        <v>15650</v>
      </c>
      <c r="D16" s="100"/>
      <c r="E16" s="100"/>
      <c r="F16" s="105" t="s">
        <v>375</v>
      </c>
      <c r="G16">
        <f>SUM(G11:G13)</f>
        <v>1091.1999999999998</v>
      </c>
      <c r="H16">
        <f>SUM(H11:H13)</f>
        <v>984.6</v>
      </c>
    </row>
    <row r="17" spans="1:9" ht="16" thickBot="1" x14ac:dyDescent="0.25">
      <c r="A17" s="153" t="s">
        <v>364</v>
      </c>
      <c r="B17" s="154">
        <v>0.374</v>
      </c>
      <c r="C17" s="155">
        <f>C15-C16</f>
        <v>9350</v>
      </c>
      <c r="D17" s="109"/>
      <c r="E17" s="109"/>
      <c r="F17" s="156" t="s">
        <v>427</v>
      </c>
      <c r="G17">
        <f>G6-G16</f>
        <v>88.800000000000182</v>
      </c>
      <c r="H17">
        <f>H6-H16</f>
        <v>65.399999999999977</v>
      </c>
      <c r="I17" t="s">
        <v>452</v>
      </c>
    </row>
    <row r="18" spans="1:9" ht="15" customHeight="1" x14ac:dyDescent="0.2">
      <c r="A18" s="363" t="s">
        <v>379</v>
      </c>
      <c r="B18" s="123" t="s">
        <v>377</v>
      </c>
      <c r="C18" s="134">
        <f>C6*0.1</f>
        <v>100</v>
      </c>
      <c r="D18" s="123"/>
      <c r="E18" s="123"/>
      <c r="F18" s="124"/>
      <c r="G18">
        <v>28.8</v>
      </c>
      <c r="H18">
        <v>5.4</v>
      </c>
      <c r="I18" t="s">
        <v>450</v>
      </c>
    </row>
    <row r="19" spans="1:9" x14ac:dyDescent="0.2">
      <c r="A19" s="358"/>
      <c r="B19" s="125" t="s">
        <v>371</v>
      </c>
      <c r="C19" s="126">
        <v>600</v>
      </c>
      <c r="D19" s="125"/>
      <c r="E19" s="125"/>
      <c r="F19" s="127" t="s">
        <v>442</v>
      </c>
      <c r="G19">
        <f>G17-G18</f>
        <v>60.000000000000185</v>
      </c>
      <c r="H19">
        <v>60</v>
      </c>
      <c r="I19" t="s">
        <v>451</v>
      </c>
    </row>
    <row r="20" spans="1:9" ht="15" customHeight="1" x14ac:dyDescent="0.2">
      <c r="A20" s="358"/>
      <c r="B20" s="125" t="s">
        <v>234</v>
      </c>
      <c r="C20" s="126">
        <f>C19*C18</f>
        <v>60000</v>
      </c>
      <c r="D20" s="125"/>
      <c r="E20" s="125"/>
      <c r="F20" s="127"/>
    </row>
    <row r="21" spans="1:9" x14ac:dyDescent="0.2">
      <c r="A21" s="128" t="s">
        <v>368</v>
      </c>
      <c r="B21" s="129">
        <v>0.12</v>
      </c>
      <c r="C21" s="126">
        <f>C20*B21</f>
        <v>7200</v>
      </c>
      <c r="D21" s="125"/>
      <c r="E21" s="125"/>
      <c r="F21" s="127"/>
    </row>
    <row r="22" spans="1:9" x14ac:dyDescent="0.2">
      <c r="A22" s="128" t="s">
        <v>365</v>
      </c>
      <c r="B22" s="129">
        <v>0.06</v>
      </c>
      <c r="C22" s="126">
        <f>C21*B22/B21</f>
        <v>3600</v>
      </c>
      <c r="D22" s="125"/>
      <c r="E22" s="125"/>
      <c r="F22" s="355" t="s">
        <v>378</v>
      </c>
    </row>
    <row r="23" spans="1:9" ht="16" thickBot="1" x14ac:dyDescent="0.25">
      <c r="A23" s="135" t="s">
        <v>364</v>
      </c>
      <c r="B23" s="136">
        <v>0.06</v>
      </c>
      <c r="C23" s="137">
        <f>C21-C22</f>
        <v>3600</v>
      </c>
      <c r="D23" s="138"/>
      <c r="E23" s="138"/>
      <c r="F23" s="359"/>
    </row>
    <row r="24" spans="1:9" ht="15" customHeight="1" x14ac:dyDescent="0.2">
      <c r="A24" s="364" t="s">
        <v>417</v>
      </c>
      <c r="B24" s="97" t="s">
        <v>418</v>
      </c>
      <c r="C24" s="98"/>
      <c r="D24" s="98">
        <v>1000</v>
      </c>
      <c r="E24" s="110">
        <f t="shared" ref="E24:E29" si="0">D24*10</f>
        <v>10000</v>
      </c>
      <c r="F24" s="103"/>
    </row>
    <row r="25" spans="1:9" x14ac:dyDescent="0.2">
      <c r="A25" s="365"/>
      <c r="B25" s="100" t="s">
        <v>371</v>
      </c>
      <c r="C25" s="104"/>
      <c r="D25" s="104">
        <v>2000</v>
      </c>
      <c r="E25" s="104">
        <f t="shared" si="0"/>
        <v>20000</v>
      </c>
      <c r="F25" s="105" t="s">
        <v>430</v>
      </c>
    </row>
    <row r="26" spans="1:9" ht="15" customHeight="1" x14ac:dyDescent="0.2">
      <c r="A26" s="365"/>
      <c r="B26" s="100" t="s">
        <v>234</v>
      </c>
      <c r="C26" s="104"/>
      <c r="D26" s="104">
        <f>D25*D24</f>
        <v>2000000</v>
      </c>
      <c r="E26" s="104">
        <f t="shared" si="0"/>
        <v>20000000</v>
      </c>
      <c r="F26" s="105"/>
    </row>
    <row r="27" spans="1:9" x14ac:dyDescent="0.2">
      <c r="A27" s="106" t="s">
        <v>368</v>
      </c>
      <c r="B27" s="107">
        <v>0.18</v>
      </c>
      <c r="C27" s="104"/>
      <c r="D27" s="104">
        <f>D26*B27</f>
        <v>360000</v>
      </c>
      <c r="E27" s="104">
        <f t="shared" si="0"/>
        <v>3600000</v>
      </c>
      <c r="F27" s="105"/>
    </row>
    <row r="28" spans="1:9" x14ac:dyDescent="0.2">
      <c r="A28" s="106" t="s">
        <v>419</v>
      </c>
      <c r="B28" s="107">
        <v>0.06</v>
      </c>
      <c r="C28" s="104"/>
      <c r="D28" s="104">
        <f>D26*B28</f>
        <v>120000</v>
      </c>
      <c r="E28" s="104">
        <f t="shared" si="0"/>
        <v>1200000</v>
      </c>
      <c r="F28" s="366" t="s">
        <v>441</v>
      </c>
    </row>
    <row r="29" spans="1:9" ht="16" thickBot="1" x14ac:dyDescent="0.25">
      <c r="A29" s="153" t="s">
        <v>364</v>
      </c>
      <c r="B29" s="154">
        <v>0.12</v>
      </c>
      <c r="C29" s="159"/>
      <c r="D29" s="159">
        <f>D27-D28</f>
        <v>240000</v>
      </c>
      <c r="E29" s="159">
        <f t="shared" si="0"/>
        <v>2400000</v>
      </c>
      <c r="F29" s="367"/>
    </row>
    <row r="30" spans="1:9" s="28" customFormat="1" ht="16" thickBot="1" x14ac:dyDescent="0.25">
      <c r="A30" s="353" t="s">
        <v>242</v>
      </c>
      <c r="B30" s="354"/>
      <c r="C30" s="157">
        <f>C23+C17+C11</f>
        <v>132950</v>
      </c>
      <c r="D30" s="157"/>
      <c r="E30" s="157"/>
      <c r="F30" s="158" t="s">
        <v>440</v>
      </c>
    </row>
    <row r="31" spans="1:9" ht="16" x14ac:dyDescent="0.2">
      <c r="A31" s="111" t="s">
        <v>473</v>
      </c>
      <c r="B31" s="112" t="s">
        <v>339</v>
      </c>
      <c r="C31" s="113">
        <f>C23+C17+C11</f>
        <v>132950</v>
      </c>
      <c r="D31" s="113">
        <f>C31*10+(D29)</f>
        <v>1569500</v>
      </c>
      <c r="E31" s="113">
        <f>D31*10+(E29)</f>
        <v>18095000</v>
      </c>
      <c r="F31" s="112" t="s">
        <v>433</v>
      </c>
    </row>
    <row r="32" spans="1:9" ht="32" x14ac:dyDescent="0.2">
      <c r="A32" s="100" t="s">
        <v>474</v>
      </c>
      <c r="B32" s="114" t="s">
        <v>338</v>
      </c>
      <c r="C32" s="115">
        <f>C23+C17+C11</f>
        <v>132950</v>
      </c>
      <c r="D32" s="115">
        <f>C32*20+(D29)</f>
        <v>2899000</v>
      </c>
      <c r="E32" s="115">
        <f>D32*10+(E29)</f>
        <v>31390000</v>
      </c>
      <c r="F32" s="112" t="s">
        <v>382</v>
      </c>
    </row>
    <row r="33" spans="1:6" ht="32" x14ac:dyDescent="0.2">
      <c r="A33" s="100" t="s">
        <v>475</v>
      </c>
      <c r="B33" s="114" t="s">
        <v>337</v>
      </c>
      <c r="C33" s="115">
        <f>C23+C17+C11</f>
        <v>132950</v>
      </c>
      <c r="D33" s="115">
        <f>C33*30+(D29)</f>
        <v>4228500</v>
      </c>
      <c r="E33" s="115">
        <f>D33*10+(E29)</f>
        <v>44685000</v>
      </c>
      <c r="F33" s="112" t="s">
        <v>383</v>
      </c>
    </row>
    <row r="34" spans="1:6" ht="32" x14ac:dyDescent="0.2">
      <c r="A34" s="100" t="s">
        <v>476</v>
      </c>
      <c r="B34" s="114" t="s">
        <v>336</v>
      </c>
      <c r="C34" s="115">
        <f>C23+C17+C11</f>
        <v>132950</v>
      </c>
      <c r="D34" s="115">
        <f>C34*40+(D29)</f>
        <v>5558000</v>
      </c>
      <c r="E34" s="115">
        <f>D34*10+(E29)</f>
        <v>57980000</v>
      </c>
      <c r="F34" s="112" t="s">
        <v>384</v>
      </c>
    </row>
    <row r="35" spans="1:6" ht="32" x14ac:dyDescent="0.2">
      <c r="A35" s="100" t="s">
        <v>477</v>
      </c>
      <c r="B35" s="114" t="s">
        <v>335</v>
      </c>
      <c r="C35" s="115">
        <f>C23+C17+C11</f>
        <v>132950</v>
      </c>
      <c r="D35" s="115">
        <f>C35*50+(D29)</f>
        <v>6887500</v>
      </c>
      <c r="E35" s="115">
        <f>D35*10+(E29)</f>
        <v>71275000</v>
      </c>
      <c r="F35" s="112" t="s">
        <v>385</v>
      </c>
    </row>
    <row r="36" spans="1:6" ht="16" x14ac:dyDescent="0.2">
      <c r="A36" s="100" t="s">
        <v>478</v>
      </c>
      <c r="B36" s="114" t="s">
        <v>437</v>
      </c>
      <c r="C36" s="115">
        <f>C23+C17+C11</f>
        <v>132950</v>
      </c>
      <c r="D36" s="115">
        <f>C35*60+(D29)</f>
        <v>8217000</v>
      </c>
      <c r="E36" s="115">
        <f>D36*10+(E29)</f>
        <v>84570000</v>
      </c>
      <c r="F36" s="112" t="s">
        <v>431</v>
      </c>
    </row>
    <row r="37" spans="1:6" s="1" customFormat="1" ht="16" x14ac:dyDescent="0.2">
      <c r="A37" s="114" t="s">
        <v>479</v>
      </c>
      <c r="B37" s="114" t="s">
        <v>436</v>
      </c>
      <c r="C37" s="104">
        <f>C23+C17+C11</f>
        <v>132950</v>
      </c>
      <c r="D37" s="104">
        <f>D36*2+(D29)</f>
        <v>16674000</v>
      </c>
      <c r="E37" s="104">
        <f>E36*2+(E29)</f>
        <v>171540000</v>
      </c>
      <c r="F37" s="112" t="s">
        <v>432</v>
      </c>
    </row>
    <row r="38" spans="1:6" ht="16" x14ac:dyDescent="0.2">
      <c r="A38" s="114" t="s">
        <v>480</v>
      </c>
      <c r="B38" s="114" t="s">
        <v>435</v>
      </c>
      <c r="C38" s="115">
        <f>C23+C17+C11</f>
        <v>132950</v>
      </c>
      <c r="D38" s="115">
        <f>D37*2+(D29)</f>
        <v>33588000</v>
      </c>
      <c r="E38" s="115">
        <f>E37*2+(E29)</f>
        <v>345480000</v>
      </c>
      <c r="F38" s="112" t="s">
        <v>434</v>
      </c>
    </row>
    <row r="39" spans="1:6" ht="16" x14ac:dyDescent="0.2">
      <c r="A39" s="120" t="s">
        <v>481</v>
      </c>
      <c r="B39" s="120" t="s">
        <v>438</v>
      </c>
      <c r="C39" s="121">
        <f>C23+C17+C11</f>
        <v>132950</v>
      </c>
      <c r="D39" s="121">
        <f>D36*6+(D29)</f>
        <v>49542000</v>
      </c>
      <c r="E39" s="121">
        <f>E36*6+(E29)+(E29)</f>
        <v>512220000</v>
      </c>
      <c r="F39" s="122" t="s">
        <v>439</v>
      </c>
    </row>
    <row r="40" spans="1:6" x14ac:dyDescent="0.2">
      <c r="A40" s="41"/>
      <c r="B40" s="41"/>
      <c r="C40" s="42"/>
      <c r="D40" s="42"/>
      <c r="E40" s="42"/>
      <c r="F40" s="41"/>
    </row>
    <row r="41" spans="1:6" x14ac:dyDescent="0.2">
      <c r="A41" s="41"/>
      <c r="B41" s="41"/>
      <c r="C41" s="42"/>
      <c r="D41" s="42"/>
      <c r="E41" s="42"/>
      <c r="F41" s="41"/>
    </row>
    <row r="42" spans="1:6" x14ac:dyDescent="0.2">
      <c r="A42" s="41"/>
      <c r="B42" s="41"/>
      <c r="C42" s="42"/>
      <c r="D42" s="42"/>
      <c r="E42" s="42"/>
      <c r="F42" s="41"/>
    </row>
  </sheetData>
  <mergeCells count="9">
    <mergeCell ref="A4:A5"/>
    <mergeCell ref="A30:B30"/>
    <mergeCell ref="F10:F11"/>
    <mergeCell ref="A6:A8"/>
    <mergeCell ref="F22:F23"/>
    <mergeCell ref="A12:A14"/>
    <mergeCell ref="A18:A20"/>
    <mergeCell ref="A24:A26"/>
    <mergeCell ref="F28:F2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5"/>
  <sheetViews>
    <sheetView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2" max="2" width="12.33203125" style="43" bestFit="1" customWidth="1"/>
    <col min="3" max="3" width="12.1640625" style="43" bestFit="1" customWidth="1"/>
    <col min="4" max="4" width="12.33203125" style="43" bestFit="1" customWidth="1"/>
    <col min="5" max="5" width="17" style="43" bestFit="1" customWidth="1"/>
    <col min="6" max="6" width="20.6640625" style="43" customWidth="1"/>
    <col min="7" max="7" width="23.33203125" bestFit="1" customWidth="1"/>
    <col min="8" max="8" width="40.33203125" customWidth="1"/>
  </cols>
  <sheetData>
    <row r="1" spans="1:11" ht="17" thickBot="1" x14ac:dyDescent="0.25">
      <c r="A1" s="68" t="s">
        <v>0</v>
      </c>
      <c r="B1" s="69" t="s">
        <v>341</v>
      </c>
      <c r="C1" s="69" t="s">
        <v>342</v>
      </c>
      <c r="D1" s="69" t="s">
        <v>343</v>
      </c>
      <c r="E1" s="69" t="s">
        <v>390</v>
      </c>
      <c r="F1" s="70" t="s">
        <v>389</v>
      </c>
      <c r="G1" s="69" t="s">
        <v>346</v>
      </c>
      <c r="H1" s="71" t="s">
        <v>104</v>
      </c>
      <c r="I1" s="20"/>
      <c r="J1" s="20"/>
      <c r="K1" s="20"/>
    </row>
    <row r="2" spans="1:11" x14ac:dyDescent="0.2">
      <c r="A2" s="376" t="s">
        <v>407</v>
      </c>
      <c r="B2" s="377"/>
      <c r="C2" s="377"/>
      <c r="D2" s="377"/>
      <c r="E2" s="377"/>
      <c r="F2" s="377"/>
      <c r="G2" s="377"/>
      <c r="H2" s="378"/>
      <c r="I2" s="20"/>
      <c r="J2" s="20"/>
      <c r="K2" s="20"/>
    </row>
    <row r="3" spans="1:11" ht="16" thickBot="1" x14ac:dyDescent="0.25">
      <c r="A3" s="379"/>
      <c r="B3" s="380"/>
      <c r="C3" s="380"/>
      <c r="D3" s="380"/>
      <c r="E3" s="380"/>
      <c r="F3" s="380"/>
      <c r="G3" s="380"/>
      <c r="H3" s="381"/>
      <c r="I3" s="20"/>
      <c r="J3" s="20"/>
      <c r="K3" s="20"/>
    </row>
    <row r="4" spans="1:11" x14ac:dyDescent="0.2">
      <c r="A4" s="392" t="s">
        <v>404</v>
      </c>
      <c r="B4" s="80" t="s">
        <v>344</v>
      </c>
      <c r="C4" s="80">
        <v>300</v>
      </c>
      <c r="D4" s="80">
        <v>0</v>
      </c>
      <c r="E4" s="80" t="s">
        <v>333</v>
      </c>
      <c r="F4" s="80"/>
      <c r="G4" s="81" t="s">
        <v>347</v>
      </c>
      <c r="H4" s="393" t="s">
        <v>388</v>
      </c>
    </row>
    <row r="5" spans="1:11" x14ac:dyDescent="0.2">
      <c r="A5" s="387"/>
      <c r="B5" s="72" t="s">
        <v>344</v>
      </c>
      <c r="C5" s="72">
        <v>750</v>
      </c>
      <c r="D5" s="72">
        <v>0</v>
      </c>
      <c r="E5" s="72" t="s">
        <v>333</v>
      </c>
      <c r="F5" s="72"/>
      <c r="G5" s="75" t="s">
        <v>348</v>
      </c>
      <c r="H5" s="394"/>
    </row>
    <row r="6" spans="1:11" x14ac:dyDescent="0.2">
      <c r="A6" s="387"/>
      <c r="B6" s="72" t="s">
        <v>344</v>
      </c>
      <c r="C6" s="72">
        <v>1000</v>
      </c>
      <c r="D6" s="72">
        <v>0</v>
      </c>
      <c r="E6" s="72" t="s">
        <v>333</v>
      </c>
      <c r="F6" s="72"/>
      <c r="G6" s="75" t="s">
        <v>349</v>
      </c>
      <c r="H6" s="394"/>
    </row>
    <row r="7" spans="1:11" x14ac:dyDescent="0.2">
      <c r="A7" s="387"/>
      <c r="B7" s="72" t="s">
        <v>344</v>
      </c>
      <c r="C7" s="72">
        <v>2500</v>
      </c>
      <c r="D7" s="72">
        <v>0</v>
      </c>
      <c r="E7" s="72" t="s">
        <v>333</v>
      </c>
      <c r="F7" s="72"/>
      <c r="G7" s="75" t="s">
        <v>350</v>
      </c>
      <c r="H7" s="394"/>
    </row>
    <row r="8" spans="1:11" x14ac:dyDescent="0.2">
      <c r="A8" s="387"/>
      <c r="B8" s="72" t="s">
        <v>344</v>
      </c>
      <c r="C8" s="72">
        <v>5000</v>
      </c>
      <c r="D8" s="72">
        <v>0</v>
      </c>
      <c r="E8" s="72" t="s">
        <v>333</v>
      </c>
      <c r="F8" s="72"/>
      <c r="G8" s="75" t="s">
        <v>351</v>
      </c>
      <c r="H8" s="394"/>
    </row>
    <row r="9" spans="1:11" x14ac:dyDescent="0.2">
      <c r="A9" s="387"/>
      <c r="B9" s="72" t="s">
        <v>344</v>
      </c>
      <c r="C9" s="72" t="s">
        <v>345</v>
      </c>
      <c r="D9" s="72">
        <v>0</v>
      </c>
      <c r="E9" s="72" t="s">
        <v>333</v>
      </c>
      <c r="F9" s="72"/>
      <c r="G9" s="75" t="s">
        <v>352</v>
      </c>
      <c r="H9" s="394"/>
    </row>
    <row r="10" spans="1:11" x14ac:dyDescent="0.2">
      <c r="A10" s="395" t="s">
        <v>405</v>
      </c>
      <c r="B10" s="45" t="s">
        <v>354</v>
      </c>
      <c r="C10" s="45">
        <v>300</v>
      </c>
      <c r="D10" s="65">
        <v>0.1</v>
      </c>
      <c r="E10" s="45" t="s">
        <v>333</v>
      </c>
      <c r="F10" s="45">
        <v>270</v>
      </c>
      <c r="G10" s="4" t="s">
        <v>347</v>
      </c>
      <c r="H10" s="397" t="s">
        <v>401</v>
      </c>
    </row>
    <row r="11" spans="1:11" x14ac:dyDescent="0.2">
      <c r="A11" s="396"/>
      <c r="B11" s="45" t="s">
        <v>354</v>
      </c>
      <c r="C11" s="45">
        <v>750</v>
      </c>
      <c r="D11" s="65">
        <v>0.1</v>
      </c>
      <c r="E11" s="45" t="s">
        <v>333</v>
      </c>
      <c r="F11" s="45">
        <v>675</v>
      </c>
      <c r="G11" s="4" t="s">
        <v>348</v>
      </c>
      <c r="H11" s="398"/>
    </row>
    <row r="12" spans="1:11" x14ac:dyDescent="0.2">
      <c r="A12" s="396"/>
      <c r="B12" s="45" t="s">
        <v>354</v>
      </c>
      <c r="C12" s="45">
        <v>1000</v>
      </c>
      <c r="D12" s="65">
        <v>0.1</v>
      </c>
      <c r="E12" s="45" t="s">
        <v>333</v>
      </c>
      <c r="F12" s="45">
        <v>900</v>
      </c>
      <c r="G12" s="4" t="s">
        <v>349</v>
      </c>
      <c r="H12" s="398"/>
    </row>
    <row r="13" spans="1:11" x14ac:dyDescent="0.2">
      <c r="A13" s="396"/>
      <c r="B13" s="45" t="s">
        <v>354</v>
      </c>
      <c r="C13" s="45">
        <v>2500</v>
      </c>
      <c r="D13" s="65">
        <v>0.1</v>
      </c>
      <c r="E13" s="45" t="s">
        <v>333</v>
      </c>
      <c r="F13" s="45">
        <v>2250</v>
      </c>
      <c r="G13" s="4" t="s">
        <v>350</v>
      </c>
      <c r="H13" s="398"/>
    </row>
    <row r="14" spans="1:11" x14ac:dyDescent="0.2">
      <c r="A14" s="396"/>
      <c r="B14" s="45" t="s">
        <v>354</v>
      </c>
      <c r="C14" s="45">
        <v>5000</v>
      </c>
      <c r="D14" s="65">
        <v>0.1</v>
      </c>
      <c r="E14" s="45" t="s">
        <v>333</v>
      </c>
      <c r="F14" s="45">
        <v>4000</v>
      </c>
      <c r="G14" s="4" t="s">
        <v>351</v>
      </c>
      <c r="H14" s="398"/>
    </row>
    <row r="15" spans="1:11" x14ac:dyDescent="0.2">
      <c r="A15" s="396"/>
      <c r="B15" s="45" t="s">
        <v>354</v>
      </c>
      <c r="C15" s="45" t="s">
        <v>345</v>
      </c>
      <c r="D15" s="65">
        <v>0.1</v>
      </c>
      <c r="E15" s="45" t="s">
        <v>333</v>
      </c>
      <c r="F15" s="45" t="s">
        <v>355</v>
      </c>
      <c r="G15" s="4" t="s">
        <v>352</v>
      </c>
      <c r="H15" s="398"/>
    </row>
    <row r="16" spans="1:11" x14ac:dyDescent="0.2">
      <c r="A16" s="386" t="s">
        <v>398</v>
      </c>
      <c r="B16" s="72" t="s">
        <v>353</v>
      </c>
      <c r="C16" s="72">
        <v>270</v>
      </c>
      <c r="D16" s="73">
        <v>0.1</v>
      </c>
      <c r="E16" s="74" t="s">
        <v>333</v>
      </c>
      <c r="F16" s="74">
        <f>C16*0.9</f>
        <v>243</v>
      </c>
      <c r="G16" s="75" t="s">
        <v>347</v>
      </c>
      <c r="H16" s="399"/>
    </row>
    <row r="17" spans="1:10" x14ac:dyDescent="0.2">
      <c r="A17" s="387"/>
      <c r="B17" s="72" t="s">
        <v>353</v>
      </c>
      <c r="C17" s="72">
        <v>675</v>
      </c>
      <c r="D17" s="73">
        <v>0.1</v>
      </c>
      <c r="E17" s="74" t="s">
        <v>333</v>
      </c>
      <c r="F17" s="74">
        <f>C17*0.9</f>
        <v>607.5</v>
      </c>
      <c r="G17" s="75" t="s">
        <v>348</v>
      </c>
      <c r="H17" s="400"/>
    </row>
    <row r="18" spans="1:10" x14ac:dyDescent="0.2">
      <c r="A18" s="387"/>
      <c r="B18" s="72" t="s">
        <v>353</v>
      </c>
      <c r="C18" s="72">
        <v>900</v>
      </c>
      <c r="D18" s="73">
        <v>0.1</v>
      </c>
      <c r="E18" s="74" t="s">
        <v>333</v>
      </c>
      <c r="F18" s="74">
        <f>C18*0.9</f>
        <v>810</v>
      </c>
      <c r="G18" s="75" t="s">
        <v>349</v>
      </c>
      <c r="H18" s="400"/>
    </row>
    <row r="19" spans="1:10" x14ac:dyDescent="0.2">
      <c r="A19" s="387"/>
      <c r="B19" s="72" t="s">
        <v>353</v>
      </c>
      <c r="C19" s="72">
        <v>2250</v>
      </c>
      <c r="D19" s="73">
        <v>0.1</v>
      </c>
      <c r="E19" s="74" t="s">
        <v>333</v>
      </c>
      <c r="F19" s="74">
        <f>C19*0.9</f>
        <v>2025</v>
      </c>
      <c r="G19" s="75" t="s">
        <v>350</v>
      </c>
      <c r="H19" s="400"/>
    </row>
    <row r="20" spans="1:10" x14ac:dyDescent="0.2">
      <c r="A20" s="387"/>
      <c r="B20" s="72" t="s">
        <v>353</v>
      </c>
      <c r="C20" s="72">
        <v>4500</v>
      </c>
      <c r="D20" s="73">
        <v>0.1</v>
      </c>
      <c r="E20" s="74" t="s">
        <v>333</v>
      </c>
      <c r="F20" s="74">
        <f>C20*0.9</f>
        <v>4050</v>
      </c>
      <c r="G20" s="75" t="s">
        <v>351</v>
      </c>
      <c r="H20" s="400"/>
    </row>
    <row r="21" spans="1:10" ht="16" thickBot="1" x14ac:dyDescent="0.25">
      <c r="A21" s="388"/>
      <c r="B21" s="76" t="s">
        <v>353</v>
      </c>
      <c r="C21" s="76" t="s">
        <v>355</v>
      </c>
      <c r="D21" s="77">
        <v>0.1</v>
      </c>
      <c r="E21" s="74" t="s">
        <v>333</v>
      </c>
      <c r="F21" s="78" t="s">
        <v>356</v>
      </c>
      <c r="G21" s="79" t="s">
        <v>352</v>
      </c>
      <c r="H21" s="401"/>
    </row>
    <row r="22" spans="1:10" x14ac:dyDescent="0.2">
      <c r="A22" s="376" t="s">
        <v>406</v>
      </c>
      <c r="B22" s="377"/>
      <c r="C22" s="377"/>
      <c r="D22" s="377"/>
      <c r="E22" s="377"/>
      <c r="F22" s="377"/>
      <c r="G22" s="377"/>
      <c r="H22" s="378"/>
    </row>
    <row r="23" spans="1:10" ht="16" thickBot="1" x14ac:dyDescent="0.25">
      <c r="A23" s="379"/>
      <c r="B23" s="380"/>
      <c r="C23" s="380"/>
      <c r="D23" s="380"/>
      <c r="E23" s="380"/>
      <c r="F23" s="380"/>
      <c r="G23" s="380"/>
      <c r="H23" s="381"/>
    </row>
    <row r="24" spans="1:10" x14ac:dyDescent="0.2">
      <c r="A24" s="382" t="s">
        <v>402</v>
      </c>
      <c r="B24" s="82" t="s">
        <v>358</v>
      </c>
      <c r="C24" s="82">
        <v>500</v>
      </c>
      <c r="D24" s="175">
        <v>0</v>
      </c>
      <c r="E24" s="171" t="s">
        <v>333</v>
      </c>
      <c r="F24" s="84">
        <v>250</v>
      </c>
      <c r="G24" s="85" t="s">
        <v>347</v>
      </c>
      <c r="H24" s="383" t="s">
        <v>399</v>
      </c>
      <c r="J24" t="s">
        <v>357</v>
      </c>
    </row>
    <row r="25" spans="1:10" x14ac:dyDescent="0.2">
      <c r="A25" s="351"/>
      <c r="B25" s="86" t="s">
        <v>358</v>
      </c>
      <c r="C25" s="86">
        <v>1000</v>
      </c>
      <c r="D25" s="87">
        <v>0</v>
      </c>
      <c r="E25" s="170" t="s">
        <v>333</v>
      </c>
      <c r="F25" s="170">
        <v>500</v>
      </c>
      <c r="G25" s="89" t="s">
        <v>348</v>
      </c>
      <c r="H25" s="384"/>
    </row>
    <row r="26" spans="1:10" x14ac:dyDescent="0.2">
      <c r="A26" s="351"/>
      <c r="B26" s="86" t="s">
        <v>358</v>
      </c>
      <c r="C26" s="86">
        <v>1500</v>
      </c>
      <c r="D26" s="87">
        <v>0</v>
      </c>
      <c r="E26" s="170" t="s">
        <v>333</v>
      </c>
      <c r="F26" s="170">
        <v>750</v>
      </c>
      <c r="G26" s="89" t="s">
        <v>349</v>
      </c>
      <c r="H26" s="384"/>
    </row>
    <row r="27" spans="1:10" x14ac:dyDescent="0.2">
      <c r="A27" s="351"/>
      <c r="B27" s="86" t="s">
        <v>358</v>
      </c>
      <c r="C27" s="86">
        <v>2000</v>
      </c>
      <c r="D27" s="87">
        <v>0</v>
      </c>
      <c r="E27" s="170" t="s">
        <v>333</v>
      </c>
      <c r="F27" s="170">
        <v>1000</v>
      </c>
      <c r="G27" s="173" t="s">
        <v>350</v>
      </c>
      <c r="H27" s="384"/>
    </row>
    <row r="28" spans="1:10" x14ac:dyDescent="0.2">
      <c r="A28" s="351"/>
      <c r="B28" s="86" t="s">
        <v>358</v>
      </c>
      <c r="C28" s="86">
        <v>5000</v>
      </c>
      <c r="D28" s="169">
        <v>0</v>
      </c>
      <c r="E28" s="88" t="s">
        <v>333</v>
      </c>
      <c r="F28" s="174">
        <v>2500</v>
      </c>
      <c r="G28" s="89" t="s">
        <v>351</v>
      </c>
      <c r="H28" s="384"/>
    </row>
    <row r="29" spans="1:10" x14ac:dyDescent="0.2">
      <c r="A29" s="351"/>
      <c r="B29" s="86" t="s">
        <v>358</v>
      </c>
      <c r="C29" s="86" t="s">
        <v>345</v>
      </c>
      <c r="D29" s="87">
        <v>0</v>
      </c>
      <c r="E29" s="172" t="s">
        <v>333</v>
      </c>
      <c r="F29" s="88" t="s">
        <v>387</v>
      </c>
      <c r="G29" s="89" t="s">
        <v>352</v>
      </c>
      <c r="H29" s="385"/>
    </row>
    <row r="30" spans="1:10" x14ac:dyDescent="0.2">
      <c r="A30" s="386" t="s">
        <v>403</v>
      </c>
      <c r="B30" s="72" t="s">
        <v>359</v>
      </c>
      <c r="C30" s="72">
        <v>250</v>
      </c>
      <c r="D30" s="73">
        <v>0.1</v>
      </c>
      <c r="E30" s="74" t="s">
        <v>333</v>
      </c>
      <c r="F30" s="74">
        <v>250</v>
      </c>
      <c r="G30" s="75" t="s">
        <v>347</v>
      </c>
      <c r="H30" s="389" t="s">
        <v>400</v>
      </c>
    </row>
    <row r="31" spans="1:10" x14ac:dyDescent="0.2">
      <c r="A31" s="387"/>
      <c r="B31" s="72" t="s">
        <v>359</v>
      </c>
      <c r="C31" s="72">
        <v>500</v>
      </c>
      <c r="D31" s="73">
        <v>0.1</v>
      </c>
      <c r="E31" s="74" t="s">
        <v>333</v>
      </c>
      <c r="F31" s="74">
        <v>450</v>
      </c>
      <c r="G31" s="75" t="s">
        <v>348</v>
      </c>
      <c r="H31" s="390"/>
    </row>
    <row r="32" spans="1:10" x14ac:dyDescent="0.2">
      <c r="A32" s="387"/>
      <c r="B32" s="72" t="s">
        <v>359</v>
      </c>
      <c r="C32" s="72">
        <v>750</v>
      </c>
      <c r="D32" s="73">
        <v>0.1</v>
      </c>
      <c r="E32" s="74" t="s">
        <v>333</v>
      </c>
      <c r="F32" s="74">
        <v>675</v>
      </c>
      <c r="G32" s="75" t="s">
        <v>349</v>
      </c>
      <c r="H32" s="390"/>
    </row>
    <row r="33" spans="1:8" x14ac:dyDescent="0.2">
      <c r="A33" s="387"/>
      <c r="B33" s="72" t="s">
        <v>359</v>
      </c>
      <c r="C33" s="72">
        <v>1000</v>
      </c>
      <c r="D33" s="73">
        <v>0.1</v>
      </c>
      <c r="E33" s="74" t="s">
        <v>333</v>
      </c>
      <c r="F33" s="74">
        <v>900</v>
      </c>
      <c r="G33" s="75" t="s">
        <v>350</v>
      </c>
      <c r="H33" s="390"/>
    </row>
    <row r="34" spans="1:8" x14ac:dyDescent="0.2">
      <c r="A34" s="387"/>
      <c r="B34" s="72" t="s">
        <v>359</v>
      </c>
      <c r="C34" s="72">
        <v>2500</v>
      </c>
      <c r="D34" s="73">
        <v>0.1</v>
      </c>
      <c r="E34" s="74" t="s">
        <v>333</v>
      </c>
      <c r="F34" s="74">
        <v>2250</v>
      </c>
      <c r="G34" s="75" t="s">
        <v>351</v>
      </c>
      <c r="H34" s="390"/>
    </row>
    <row r="35" spans="1:8" ht="16" thickBot="1" x14ac:dyDescent="0.25">
      <c r="A35" s="388"/>
      <c r="B35" s="76" t="s">
        <v>359</v>
      </c>
      <c r="C35" s="76" t="s">
        <v>387</v>
      </c>
      <c r="D35" s="77">
        <v>0.1</v>
      </c>
      <c r="E35" s="78" t="s">
        <v>333</v>
      </c>
      <c r="F35" s="78" t="s">
        <v>355</v>
      </c>
      <c r="G35" s="79" t="s">
        <v>352</v>
      </c>
      <c r="H35" s="391"/>
    </row>
  </sheetData>
  <mergeCells count="12">
    <mergeCell ref="A22:H23"/>
    <mergeCell ref="A24:A29"/>
    <mergeCell ref="H24:H29"/>
    <mergeCell ref="A30:A35"/>
    <mergeCell ref="H30:H35"/>
    <mergeCell ref="A16:A21"/>
    <mergeCell ref="H16:H21"/>
    <mergeCell ref="A2:H3"/>
    <mergeCell ref="A4:A9"/>
    <mergeCell ref="H4:H9"/>
    <mergeCell ref="A10:A15"/>
    <mergeCell ref="H10:H1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election activeCell="J32" sqref="J32"/>
    </sheetView>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2"/>
  <sheetViews>
    <sheetView topLeftCell="B1" zoomScaleNormal="100"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1" max="1" width="27" style="3" customWidth="1"/>
    <col min="2" max="2" width="39" customWidth="1"/>
    <col min="3" max="3" width="12" style="43" bestFit="1" customWidth="1"/>
    <col min="4" max="4" width="12.33203125" style="43" bestFit="1" customWidth="1"/>
    <col min="5" max="5" width="13.5" style="43" bestFit="1" customWidth="1"/>
    <col min="6" max="6" width="43.33203125" bestFit="1" customWidth="1"/>
  </cols>
  <sheetData>
    <row r="1" spans="1:6" ht="17" thickBot="1" x14ac:dyDescent="0.25">
      <c r="A1" s="180" t="s">
        <v>237</v>
      </c>
      <c r="B1" s="181" t="s">
        <v>238</v>
      </c>
      <c r="C1" s="182" t="s">
        <v>499</v>
      </c>
      <c r="D1" s="182" t="s">
        <v>380</v>
      </c>
      <c r="E1" s="182" t="s">
        <v>381</v>
      </c>
      <c r="F1" s="183" t="s">
        <v>104</v>
      </c>
    </row>
    <row r="2" spans="1:6" ht="16" x14ac:dyDescent="0.2">
      <c r="A2" s="146" t="s">
        <v>500</v>
      </c>
      <c r="B2" s="97" t="s">
        <v>240</v>
      </c>
      <c r="C2" s="98">
        <v>8000</v>
      </c>
      <c r="D2" s="98"/>
      <c r="E2" s="98"/>
      <c r="F2" s="178" t="s">
        <v>494</v>
      </c>
    </row>
    <row r="3" spans="1:6" ht="16" x14ac:dyDescent="0.2">
      <c r="A3" s="176" t="s">
        <v>361</v>
      </c>
      <c r="B3" s="100" t="s">
        <v>231</v>
      </c>
      <c r="C3" s="101">
        <f>C2*0.15</f>
        <v>1200</v>
      </c>
      <c r="D3" s="101"/>
      <c r="E3" s="101"/>
      <c r="F3" s="179" t="s">
        <v>426</v>
      </c>
    </row>
    <row r="4" spans="1:6" x14ac:dyDescent="0.2">
      <c r="A4" s="351" t="s">
        <v>386</v>
      </c>
      <c r="B4" s="100" t="s">
        <v>362</v>
      </c>
      <c r="C4" s="101">
        <f>C3/4</f>
        <v>300</v>
      </c>
      <c r="D4" s="101"/>
      <c r="E4" s="101"/>
      <c r="F4" s="102"/>
    </row>
    <row r="5" spans="1:6" ht="16" thickBot="1" x14ac:dyDescent="0.25">
      <c r="A5" s="402"/>
      <c r="B5" s="184" t="s">
        <v>363</v>
      </c>
      <c r="C5" s="185">
        <f>ROUNDDOWN((C2-C3)*0.103, 0)</f>
        <v>700</v>
      </c>
      <c r="D5" s="185"/>
      <c r="E5" s="185"/>
      <c r="F5" s="186"/>
    </row>
    <row r="6" spans="1:6" x14ac:dyDescent="0.2">
      <c r="A6" s="189" t="s">
        <v>501</v>
      </c>
      <c r="B6" s="190"/>
      <c r="C6" s="191">
        <v>120000</v>
      </c>
      <c r="D6" s="191"/>
      <c r="E6" s="191"/>
      <c r="F6" s="192" t="s">
        <v>506</v>
      </c>
    </row>
    <row r="7" spans="1:6" x14ac:dyDescent="0.2">
      <c r="A7" s="193" t="s">
        <v>369</v>
      </c>
      <c r="B7" s="187"/>
      <c r="C7" s="188">
        <v>10000</v>
      </c>
      <c r="D7" s="188"/>
      <c r="E7" s="188"/>
      <c r="F7" s="194" t="s">
        <v>497</v>
      </c>
    </row>
    <row r="8" spans="1:6" x14ac:dyDescent="0.2">
      <c r="A8" s="193" t="s">
        <v>492</v>
      </c>
      <c r="B8" s="187"/>
      <c r="C8" s="188">
        <v>3500</v>
      </c>
      <c r="D8" s="188"/>
      <c r="E8" s="188"/>
      <c r="F8" s="194" t="s">
        <v>498</v>
      </c>
    </row>
    <row r="9" spans="1:6" ht="16" thickBot="1" x14ac:dyDescent="0.25">
      <c r="A9" s="195" t="s">
        <v>493</v>
      </c>
      <c r="B9" s="196"/>
      <c r="C9" s="197"/>
      <c r="D9" s="197">
        <v>240000</v>
      </c>
      <c r="E9" s="197">
        <v>2400000</v>
      </c>
      <c r="F9" s="198" t="s">
        <v>496</v>
      </c>
    </row>
    <row r="10" spans="1:6" s="28" customFormat="1" ht="16" thickBot="1" x14ac:dyDescent="0.25">
      <c r="A10" s="353" t="s">
        <v>491</v>
      </c>
      <c r="B10" s="354"/>
      <c r="C10" s="157">
        <f>C6+C7+C8</f>
        <v>133500</v>
      </c>
      <c r="D10" s="157"/>
      <c r="E10" s="157"/>
      <c r="F10" s="158"/>
    </row>
    <row r="11" spans="1:6" ht="16" x14ac:dyDescent="0.2">
      <c r="A11" s="111" t="s">
        <v>473</v>
      </c>
      <c r="B11" s="112" t="s">
        <v>339</v>
      </c>
      <c r="C11" s="113">
        <v>133500</v>
      </c>
      <c r="D11" s="113">
        <f>C11*10+(D9)</f>
        <v>1575000</v>
      </c>
      <c r="E11" s="113">
        <f>D11*10+(E9)</f>
        <v>18150000</v>
      </c>
      <c r="F11" s="112" t="s">
        <v>507</v>
      </c>
    </row>
    <row r="12" spans="1:6" ht="32" x14ac:dyDescent="0.2">
      <c r="A12" s="100" t="s">
        <v>474</v>
      </c>
      <c r="B12" s="114" t="s">
        <v>338</v>
      </c>
      <c r="C12" s="113">
        <v>133500</v>
      </c>
      <c r="D12" s="115">
        <f>C12*20+(D9)</f>
        <v>2910000</v>
      </c>
      <c r="E12" s="115">
        <f>D12*10+(E9)</f>
        <v>31500000</v>
      </c>
      <c r="F12" s="112" t="s">
        <v>508</v>
      </c>
    </row>
    <row r="13" spans="1:6" ht="32" x14ac:dyDescent="0.2">
      <c r="A13" s="100" t="s">
        <v>475</v>
      </c>
      <c r="B13" s="114" t="s">
        <v>337</v>
      </c>
      <c r="C13" s="113">
        <v>133500</v>
      </c>
      <c r="D13" s="115">
        <f>C13*30+(D9)</f>
        <v>4245000</v>
      </c>
      <c r="E13" s="115">
        <f>D13*10+(E9)</f>
        <v>44850000</v>
      </c>
      <c r="F13" s="112" t="s">
        <v>509</v>
      </c>
    </row>
    <row r="14" spans="1:6" ht="32" x14ac:dyDescent="0.2">
      <c r="A14" s="100" t="s">
        <v>476</v>
      </c>
      <c r="B14" s="114" t="s">
        <v>336</v>
      </c>
      <c r="C14" s="113">
        <v>133500</v>
      </c>
      <c r="D14" s="115">
        <f>C14*40+(D9)</f>
        <v>5580000</v>
      </c>
      <c r="E14" s="115">
        <f>D14*10+(E9)</f>
        <v>58200000</v>
      </c>
      <c r="F14" s="112" t="s">
        <v>510</v>
      </c>
    </row>
    <row r="15" spans="1:6" ht="32" x14ac:dyDescent="0.2">
      <c r="A15" s="100" t="s">
        <v>477</v>
      </c>
      <c r="B15" s="114" t="s">
        <v>335</v>
      </c>
      <c r="C15" s="113">
        <v>133500</v>
      </c>
      <c r="D15" s="115">
        <f>C15*50+(D9)</f>
        <v>6915000</v>
      </c>
      <c r="E15" s="115">
        <f>D15*10+(E9)</f>
        <v>71550000</v>
      </c>
      <c r="F15" s="112" t="s">
        <v>511</v>
      </c>
    </row>
    <row r="16" spans="1:6" ht="16" x14ac:dyDescent="0.2">
      <c r="A16" s="100" t="s">
        <v>478</v>
      </c>
      <c r="B16" s="114" t="s">
        <v>437</v>
      </c>
      <c r="C16" s="113">
        <v>133500</v>
      </c>
      <c r="D16" s="115">
        <f>C15*60+(D9)</f>
        <v>8250000</v>
      </c>
      <c r="E16" s="115">
        <f>D16*10+(E9)</f>
        <v>84900000</v>
      </c>
      <c r="F16" s="112" t="s">
        <v>502</v>
      </c>
    </row>
    <row r="17" spans="1:6" s="1" customFormat="1" ht="16" x14ac:dyDescent="0.2">
      <c r="A17" s="114" t="s">
        <v>479</v>
      </c>
      <c r="B17" s="114" t="s">
        <v>436</v>
      </c>
      <c r="C17" s="113">
        <v>133500</v>
      </c>
      <c r="D17" s="104">
        <f>D16*2+(D9)</f>
        <v>16740000</v>
      </c>
      <c r="E17" s="104">
        <f>E16*2+(E9)</f>
        <v>172200000</v>
      </c>
      <c r="F17" s="112" t="s">
        <v>503</v>
      </c>
    </row>
    <row r="18" spans="1:6" ht="16" x14ac:dyDescent="0.2">
      <c r="A18" s="114" t="s">
        <v>480</v>
      </c>
      <c r="B18" s="114" t="s">
        <v>435</v>
      </c>
      <c r="C18" s="113">
        <v>133500</v>
      </c>
      <c r="D18" s="115">
        <f>D17*2+(D9)</f>
        <v>33720000</v>
      </c>
      <c r="E18" s="115">
        <f>E17*2+(E9)</f>
        <v>346800000</v>
      </c>
      <c r="F18" s="112" t="s">
        <v>504</v>
      </c>
    </row>
    <row r="19" spans="1:6" ht="16" x14ac:dyDescent="0.2">
      <c r="A19" s="120" t="s">
        <v>481</v>
      </c>
      <c r="B19" s="120" t="s">
        <v>438</v>
      </c>
      <c r="C19" s="121">
        <v>133500</v>
      </c>
      <c r="D19" s="121">
        <f>D17*3+(D9)</f>
        <v>50460000</v>
      </c>
      <c r="E19" s="121">
        <f>E17*3+(E9)</f>
        <v>519000000</v>
      </c>
      <c r="F19" s="122" t="s">
        <v>505</v>
      </c>
    </row>
    <row r="20" spans="1:6" x14ac:dyDescent="0.2">
      <c r="A20" s="41"/>
      <c r="B20" s="41"/>
      <c r="C20" s="42"/>
      <c r="D20" s="42"/>
      <c r="E20" s="42"/>
      <c r="F20" s="41"/>
    </row>
    <row r="21" spans="1:6" x14ac:dyDescent="0.2">
      <c r="A21" s="41"/>
      <c r="B21" s="41"/>
      <c r="C21" s="42"/>
      <c r="D21" s="42"/>
      <c r="E21" s="42"/>
      <c r="F21" s="41"/>
    </row>
    <row r="22" spans="1:6" x14ac:dyDescent="0.2">
      <c r="A22" s="41"/>
      <c r="B22" s="41"/>
      <c r="C22" s="42"/>
      <c r="D22" s="42"/>
      <c r="E22" s="42"/>
      <c r="F22" s="41"/>
    </row>
  </sheetData>
  <mergeCells count="2">
    <mergeCell ref="A10:B10"/>
    <mergeCell ref="A4:A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18"/>
  <sheetViews>
    <sheetView workbookViewId="0">
      <selection activeCell="M9" sqref="M9"/>
    </sheetView>
  </sheetViews>
  <sheetFormatPr baseColWidth="10" defaultColWidth="8.83203125" defaultRowHeight="15" x14ac:dyDescent="0.2"/>
  <cols>
    <col min="1" max="1" width="15.1640625" bestFit="1" customWidth="1"/>
    <col min="2" max="2" width="18" bestFit="1" customWidth="1"/>
    <col min="12" max="12" width="17.33203125" customWidth="1"/>
    <col min="13" max="13" width="20.6640625" bestFit="1" customWidth="1"/>
    <col min="14" max="17" width="9.1640625" style="43"/>
    <col min="18" max="18" width="28.6640625" style="43" bestFit="1" customWidth="1"/>
  </cols>
  <sheetData>
    <row r="1" spans="1:18" ht="16" thickBot="1" x14ac:dyDescent="0.25">
      <c r="A1" t="s">
        <v>544</v>
      </c>
    </row>
    <row r="2" spans="1:18" x14ac:dyDescent="0.2">
      <c r="A2" t="s">
        <v>538</v>
      </c>
      <c r="B2" t="s">
        <v>528</v>
      </c>
      <c r="C2" t="s">
        <v>529</v>
      </c>
      <c r="D2" t="s">
        <v>530</v>
      </c>
      <c r="E2" t="s">
        <v>611</v>
      </c>
      <c r="F2" t="s">
        <v>612</v>
      </c>
      <c r="G2" t="s">
        <v>166</v>
      </c>
      <c r="M2" s="229" t="s">
        <v>638</v>
      </c>
      <c r="N2" s="230" t="s">
        <v>529</v>
      </c>
      <c r="O2" s="230" t="s">
        <v>530</v>
      </c>
      <c r="P2" s="230" t="s">
        <v>611</v>
      </c>
      <c r="Q2" s="230" t="s">
        <v>612</v>
      </c>
      <c r="R2" s="231" t="s">
        <v>644</v>
      </c>
    </row>
    <row r="3" spans="1:18" x14ac:dyDescent="0.2">
      <c r="A3" t="s">
        <v>169</v>
      </c>
      <c r="B3" t="s">
        <v>522</v>
      </c>
      <c r="C3">
        <v>10</v>
      </c>
      <c r="M3" s="232" t="s">
        <v>523</v>
      </c>
      <c r="N3" s="233">
        <v>1</v>
      </c>
      <c r="O3" s="233">
        <v>4</v>
      </c>
      <c r="P3" s="234">
        <v>50000</v>
      </c>
      <c r="Q3" s="234">
        <v>20000</v>
      </c>
      <c r="R3" s="234">
        <v>130000</v>
      </c>
    </row>
    <row r="4" spans="1:18" x14ac:dyDescent="0.2">
      <c r="A4" t="s">
        <v>534</v>
      </c>
      <c r="B4" t="s">
        <v>523</v>
      </c>
      <c r="C4">
        <v>1</v>
      </c>
      <c r="D4">
        <v>4</v>
      </c>
      <c r="E4">
        <v>50000</v>
      </c>
      <c r="F4">
        <v>20000</v>
      </c>
      <c r="G4">
        <f>(E4*C4)+(F4*D4)</f>
        <v>130000</v>
      </c>
      <c r="M4" s="232" t="s">
        <v>639</v>
      </c>
      <c r="N4" s="233">
        <v>1</v>
      </c>
      <c r="O4" s="233">
        <v>6</v>
      </c>
      <c r="P4" s="234">
        <v>50000</v>
      </c>
      <c r="Q4" s="234">
        <v>25000</v>
      </c>
      <c r="R4" s="234">
        <v>200000</v>
      </c>
    </row>
    <row r="5" spans="1:18" x14ac:dyDescent="0.2">
      <c r="A5" t="s">
        <v>171</v>
      </c>
      <c r="B5" t="s">
        <v>524</v>
      </c>
      <c r="C5">
        <v>1</v>
      </c>
      <c r="D5">
        <v>6</v>
      </c>
      <c r="E5">
        <v>50000</v>
      </c>
      <c r="F5">
        <v>25000</v>
      </c>
      <c r="G5">
        <f t="shared" ref="G5:G10" si="0">(E5*C5)+(F5*D5)</f>
        <v>200000</v>
      </c>
      <c r="M5" s="232" t="s">
        <v>640</v>
      </c>
      <c r="N5" s="233">
        <v>1</v>
      </c>
      <c r="O5" s="233">
        <v>2</v>
      </c>
      <c r="P5" s="234">
        <v>35000</v>
      </c>
      <c r="Q5" s="234">
        <v>25000</v>
      </c>
      <c r="R5" s="234">
        <v>85000</v>
      </c>
    </row>
    <row r="6" spans="1:18" x14ac:dyDescent="0.2">
      <c r="A6" t="s">
        <v>172</v>
      </c>
      <c r="B6" t="s">
        <v>525</v>
      </c>
      <c r="C6">
        <v>1</v>
      </c>
      <c r="D6">
        <v>2</v>
      </c>
      <c r="E6">
        <v>35000</v>
      </c>
      <c r="F6">
        <v>25000</v>
      </c>
      <c r="G6">
        <f t="shared" si="0"/>
        <v>85000</v>
      </c>
      <c r="M6" s="232" t="s">
        <v>641</v>
      </c>
      <c r="N6" s="233">
        <v>1</v>
      </c>
      <c r="O6" s="233">
        <v>4</v>
      </c>
      <c r="P6" s="234">
        <v>75000</v>
      </c>
      <c r="Q6" s="234">
        <v>35000</v>
      </c>
      <c r="R6" s="234">
        <v>215000</v>
      </c>
    </row>
    <row r="7" spans="1:18" x14ac:dyDescent="0.2">
      <c r="A7" t="s">
        <v>533</v>
      </c>
      <c r="B7" t="s">
        <v>276</v>
      </c>
      <c r="C7">
        <v>1</v>
      </c>
      <c r="D7">
        <v>4</v>
      </c>
      <c r="E7">
        <v>75000</v>
      </c>
      <c r="F7">
        <v>35000</v>
      </c>
      <c r="G7">
        <f t="shared" si="0"/>
        <v>215000</v>
      </c>
      <c r="M7" s="232" t="s">
        <v>149</v>
      </c>
      <c r="N7" s="233">
        <v>2</v>
      </c>
      <c r="O7" s="233">
        <v>9</v>
      </c>
      <c r="P7" s="234">
        <v>50000</v>
      </c>
      <c r="Q7" s="234">
        <v>30000</v>
      </c>
      <c r="R7" s="234">
        <v>420000</v>
      </c>
    </row>
    <row r="8" spans="1:18" x14ac:dyDescent="0.2">
      <c r="A8" t="s">
        <v>531</v>
      </c>
      <c r="B8" t="s">
        <v>526</v>
      </c>
      <c r="C8">
        <v>3</v>
      </c>
      <c r="D8">
        <v>9</v>
      </c>
      <c r="E8">
        <v>50000</v>
      </c>
      <c r="F8">
        <v>30000</v>
      </c>
      <c r="G8">
        <f t="shared" si="0"/>
        <v>420000</v>
      </c>
      <c r="M8" s="232" t="s">
        <v>642</v>
      </c>
      <c r="N8" s="233">
        <v>3</v>
      </c>
      <c r="O8" s="233">
        <v>21</v>
      </c>
      <c r="P8" s="234">
        <v>35000</v>
      </c>
      <c r="Q8" s="234">
        <v>20000</v>
      </c>
      <c r="R8" s="234">
        <v>490000</v>
      </c>
    </row>
    <row r="9" spans="1:18" x14ac:dyDescent="0.2">
      <c r="A9" t="s">
        <v>14</v>
      </c>
      <c r="B9" t="s">
        <v>527</v>
      </c>
      <c r="C9">
        <v>2</v>
      </c>
      <c r="D9">
        <v>21</v>
      </c>
      <c r="E9">
        <v>35000</v>
      </c>
      <c r="F9">
        <v>20000</v>
      </c>
      <c r="G9">
        <f t="shared" si="0"/>
        <v>490000</v>
      </c>
      <c r="M9" s="232" t="s">
        <v>539</v>
      </c>
      <c r="N9" s="233">
        <v>3</v>
      </c>
      <c r="O9" s="233">
        <v>10</v>
      </c>
      <c r="P9" s="234">
        <v>30000</v>
      </c>
      <c r="Q9" s="234">
        <v>15000</v>
      </c>
      <c r="R9" s="234">
        <v>210000</v>
      </c>
    </row>
    <row r="10" spans="1:18" x14ac:dyDescent="0.2">
      <c r="B10" t="s">
        <v>539</v>
      </c>
      <c r="C10">
        <v>2</v>
      </c>
      <c r="D10">
        <v>10</v>
      </c>
      <c r="E10">
        <v>30000</v>
      </c>
      <c r="F10">
        <v>15000</v>
      </c>
      <c r="G10">
        <f t="shared" si="0"/>
        <v>210000</v>
      </c>
      <c r="M10" s="232" t="s">
        <v>643</v>
      </c>
      <c r="N10" s="233">
        <v>7</v>
      </c>
      <c r="O10" s="233">
        <v>21</v>
      </c>
      <c r="P10" s="234">
        <v>45000</v>
      </c>
      <c r="Q10" s="234">
        <v>35000</v>
      </c>
      <c r="R10" s="234">
        <v>1050000</v>
      </c>
    </row>
    <row r="11" spans="1:18" x14ac:dyDescent="0.2">
      <c r="E11" s="403" t="s">
        <v>613</v>
      </c>
      <c r="F11" s="403"/>
      <c r="G11">
        <f>SUM(G4:G10)</f>
        <v>1750000</v>
      </c>
      <c r="M11" s="232" t="s">
        <v>645</v>
      </c>
      <c r="N11" s="233">
        <f>SUM(N3:N10)</f>
        <v>19</v>
      </c>
      <c r="O11" s="233">
        <f>SUM(O3:O10)</f>
        <v>77</v>
      </c>
      <c r="P11" s="407"/>
      <c r="Q11" s="408"/>
      <c r="R11" s="234">
        <f>SUM(R3:R10)</f>
        <v>2800000</v>
      </c>
    </row>
    <row r="12" spans="1:18" ht="16" thickBot="1" x14ac:dyDescent="0.25">
      <c r="M12" s="235" t="s">
        <v>646</v>
      </c>
      <c r="N12" s="404"/>
      <c r="O12" s="405"/>
      <c r="P12" s="405"/>
      <c r="Q12" s="406"/>
      <c r="R12" s="236">
        <f>R11/7</f>
        <v>400000</v>
      </c>
    </row>
    <row r="13" spans="1:18" x14ac:dyDescent="0.2">
      <c r="B13" t="s">
        <v>540</v>
      </c>
    </row>
    <row r="14" spans="1:18" x14ac:dyDescent="0.2">
      <c r="B14" t="s">
        <v>276</v>
      </c>
      <c r="C14">
        <v>1</v>
      </c>
      <c r="D14">
        <v>3</v>
      </c>
      <c r="E14">
        <v>45000</v>
      </c>
      <c r="F14">
        <v>35000</v>
      </c>
      <c r="G14">
        <f>((E14*C14)+(F14*D14))*7</f>
        <v>1050000</v>
      </c>
      <c r="H14" t="s">
        <v>617</v>
      </c>
    </row>
    <row r="15" spans="1:18" x14ac:dyDescent="0.2">
      <c r="E15" s="403" t="s">
        <v>614</v>
      </c>
      <c r="F15" s="403"/>
      <c r="G15">
        <f>G14+G11</f>
        <v>2800000</v>
      </c>
      <c r="H15" t="s">
        <v>618</v>
      </c>
    </row>
    <row r="16" spans="1:18" x14ac:dyDescent="0.2">
      <c r="C16">
        <v>67</v>
      </c>
      <c r="D16">
        <v>28</v>
      </c>
      <c r="G16">
        <f>G15/95</f>
        <v>29473.684210526317</v>
      </c>
      <c r="H16" t="s">
        <v>619</v>
      </c>
    </row>
    <row r="17" spans="3:8" x14ac:dyDescent="0.2">
      <c r="C17" t="s">
        <v>615</v>
      </c>
      <c r="D17" t="s">
        <v>616</v>
      </c>
      <c r="G17">
        <f>G15/7</f>
        <v>400000</v>
      </c>
      <c r="H17" t="s">
        <v>620</v>
      </c>
    </row>
    <row r="18" spans="3:8" x14ac:dyDescent="0.2">
      <c r="G18" t="s">
        <v>621</v>
      </c>
    </row>
  </sheetData>
  <mergeCells count="4">
    <mergeCell ref="E11:F11"/>
    <mergeCell ref="E15:F15"/>
    <mergeCell ref="N12:Q12"/>
    <mergeCell ref="P11:Q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44"/>
  <sheetViews>
    <sheetView zoomScale="85" zoomScaleNormal="85"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s>
  <sheetData>
    <row r="1" spans="1:9" ht="17" thickBot="1" x14ac:dyDescent="0.25">
      <c r="A1" s="116" t="s">
        <v>237</v>
      </c>
      <c r="B1" s="117" t="s">
        <v>238</v>
      </c>
      <c r="C1" s="118" t="s">
        <v>334</v>
      </c>
      <c r="D1" s="118" t="s">
        <v>380</v>
      </c>
      <c r="E1" s="118" t="s">
        <v>538</v>
      </c>
      <c r="F1" s="119" t="s">
        <v>104</v>
      </c>
      <c r="G1" s="147" t="s">
        <v>443</v>
      </c>
      <c r="H1" s="148" t="s">
        <v>444</v>
      </c>
    </row>
    <row r="2" spans="1:9" ht="16" x14ac:dyDescent="0.2">
      <c r="A2" s="146" t="s">
        <v>239</v>
      </c>
      <c r="B2" s="97" t="s">
        <v>240</v>
      </c>
      <c r="C2" s="98">
        <v>8000</v>
      </c>
      <c r="D2" s="98"/>
      <c r="E2" s="98"/>
      <c r="F2" s="99" t="s">
        <v>425</v>
      </c>
      <c r="G2" t="s">
        <v>453</v>
      </c>
      <c r="H2" t="s">
        <v>454</v>
      </c>
      <c r="I2" s="149" t="s">
        <v>455</v>
      </c>
    </row>
    <row r="3" spans="1:9" ht="16" x14ac:dyDescent="0.2">
      <c r="A3" s="176" t="s">
        <v>361</v>
      </c>
      <c r="B3" s="100" t="s">
        <v>231</v>
      </c>
      <c r="C3" s="101">
        <f>C2*0.15</f>
        <v>1200</v>
      </c>
      <c r="D3" s="101"/>
      <c r="E3" s="101"/>
      <c r="F3" s="102" t="s">
        <v>426</v>
      </c>
      <c r="G3" t="s">
        <v>456</v>
      </c>
      <c r="H3" t="s">
        <v>457</v>
      </c>
      <c r="I3" s="149" t="s">
        <v>459</v>
      </c>
    </row>
    <row r="4" spans="1:9" ht="16" x14ac:dyDescent="0.2">
      <c r="A4" s="351" t="s">
        <v>386</v>
      </c>
      <c r="B4" s="100" t="s">
        <v>362</v>
      </c>
      <c r="C4" s="101">
        <f>C3/4</f>
        <v>300</v>
      </c>
      <c r="D4" s="101"/>
      <c r="E4" s="101"/>
      <c r="F4" s="102"/>
      <c r="G4" t="s">
        <v>460</v>
      </c>
      <c r="H4" t="s">
        <v>457</v>
      </c>
      <c r="I4" s="149" t="s">
        <v>458</v>
      </c>
    </row>
    <row r="5" spans="1:9" ht="16" thickBot="1" x14ac:dyDescent="0.25">
      <c r="A5" s="352"/>
      <c r="B5" s="109" t="s">
        <v>363</v>
      </c>
      <c r="C5" s="142">
        <f>ROUNDDOWN((C2-C3)*0.103, 0)</f>
        <v>700</v>
      </c>
      <c r="D5" s="142"/>
      <c r="E5" s="142"/>
      <c r="F5" s="143"/>
    </row>
    <row r="6" spans="1:9" ht="15.75" customHeight="1" x14ac:dyDescent="0.2">
      <c r="A6" s="357" t="s">
        <v>367</v>
      </c>
      <c r="B6" s="139" t="s">
        <v>232</v>
      </c>
      <c r="C6" s="140">
        <f>C5+C4</f>
        <v>1000</v>
      </c>
      <c r="D6" s="139"/>
      <c r="E6" s="139"/>
      <c r="F6" s="141" t="s">
        <v>241</v>
      </c>
      <c r="G6">
        <v>1180</v>
      </c>
      <c r="H6">
        <v>1050</v>
      </c>
      <c r="I6" t="s">
        <v>446</v>
      </c>
    </row>
    <row r="7" spans="1:9" x14ac:dyDescent="0.2">
      <c r="A7" s="358"/>
      <c r="B7" s="125" t="s">
        <v>233</v>
      </c>
      <c r="C7" s="126">
        <v>2000</v>
      </c>
      <c r="D7" s="125"/>
      <c r="E7" s="125"/>
      <c r="F7" s="127" t="s">
        <v>429</v>
      </c>
      <c r="G7">
        <v>1000</v>
      </c>
      <c r="H7">
        <v>1000</v>
      </c>
      <c r="I7" t="s">
        <v>445</v>
      </c>
    </row>
    <row r="8" spans="1:9" x14ac:dyDescent="0.2">
      <c r="A8" s="358"/>
      <c r="B8" s="125" t="s">
        <v>234</v>
      </c>
      <c r="C8" s="126">
        <f>C7*C6</f>
        <v>2000000</v>
      </c>
      <c r="D8" s="160">
        <f>C8*0.02*70</f>
        <v>2800000</v>
      </c>
      <c r="E8" s="125"/>
      <c r="F8" s="127"/>
    </row>
    <row r="9" spans="1:9" x14ac:dyDescent="0.2">
      <c r="A9" s="128" t="s">
        <v>368</v>
      </c>
      <c r="B9" s="129">
        <v>0.18</v>
      </c>
      <c r="C9" s="126">
        <f>C8*B9</f>
        <v>360000</v>
      </c>
      <c r="D9" s="125"/>
      <c r="E9" s="125"/>
      <c r="F9" s="127"/>
    </row>
    <row r="10" spans="1:9" x14ac:dyDescent="0.2">
      <c r="A10" s="128" t="s">
        <v>365</v>
      </c>
      <c r="B10" s="129">
        <v>0.12</v>
      </c>
      <c r="C10" s="126">
        <f>C9*B10/B9</f>
        <v>240000</v>
      </c>
      <c r="D10" s="125"/>
      <c r="E10" s="125"/>
      <c r="F10" s="355" t="s">
        <v>366</v>
      </c>
      <c r="G10">
        <v>820</v>
      </c>
      <c r="H10">
        <v>820</v>
      </c>
      <c r="I10" t="s">
        <v>447</v>
      </c>
    </row>
    <row r="11" spans="1:9" ht="16" thickBot="1" x14ac:dyDescent="0.25">
      <c r="A11" s="130" t="s">
        <v>364</v>
      </c>
      <c r="B11" s="131">
        <v>0.06</v>
      </c>
      <c r="C11" s="132">
        <f>C9-C10</f>
        <v>120000</v>
      </c>
      <c r="D11" s="133"/>
      <c r="E11" s="133"/>
      <c r="F11" s="356"/>
      <c r="G11">
        <f>G10*1.18</f>
        <v>967.59999999999991</v>
      </c>
      <c r="H11">
        <f>H10*1.05</f>
        <v>861</v>
      </c>
      <c r="I11" t="s">
        <v>448</v>
      </c>
    </row>
    <row r="12" spans="1:9" ht="15" customHeight="1" x14ac:dyDescent="0.2">
      <c r="A12" s="360" t="s">
        <v>369</v>
      </c>
      <c r="B12" s="150" t="s">
        <v>370</v>
      </c>
      <c r="C12" s="108">
        <f>C6*0.05</f>
        <v>50</v>
      </c>
      <c r="D12" s="97"/>
      <c r="E12" s="97"/>
      <c r="F12" s="103"/>
      <c r="G12">
        <v>100</v>
      </c>
      <c r="H12">
        <v>100</v>
      </c>
      <c r="I12" t="s">
        <v>449</v>
      </c>
    </row>
    <row r="13" spans="1:9" x14ac:dyDescent="0.2">
      <c r="A13" s="361"/>
      <c r="B13" s="151" t="s">
        <v>371</v>
      </c>
      <c r="C13" s="104">
        <v>500</v>
      </c>
      <c r="D13" s="100"/>
      <c r="E13" s="100"/>
      <c r="F13" s="105" t="s">
        <v>428</v>
      </c>
      <c r="G13">
        <f>20*1.18</f>
        <v>23.599999999999998</v>
      </c>
      <c r="H13">
        <v>23.6</v>
      </c>
      <c r="I13" t="s">
        <v>296</v>
      </c>
    </row>
    <row r="14" spans="1:9" ht="16" thickBot="1" x14ac:dyDescent="0.25">
      <c r="A14" s="362"/>
      <c r="B14" s="151" t="s">
        <v>373</v>
      </c>
      <c r="C14" s="104">
        <f>C13*C12</f>
        <v>25000</v>
      </c>
      <c r="D14" s="100"/>
      <c r="E14" s="100"/>
      <c r="F14" s="177"/>
    </row>
    <row r="15" spans="1:9" x14ac:dyDescent="0.2">
      <c r="A15" s="152" t="s">
        <v>372</v>
      </c>
      <c r="B15" s="107">
        <v>1</v>
      </c>
      <c r="C15" s="104">
        <v>25000</v>
      </c>
      <c r="D15" s="100"/>
      <c r="E15" s="100"/>
      <c r="F15" s="105" t="s">
        <v>376</v>
      </c>
    </row>
    <row r="16" spans="1:9" x14ac:dyDescent="0.2">
      <c r="A16" s="106" t="s">
        <v>374</v>
      </c>
      <c r="B16" s="107">
        <v>0.626</v>
      </c>
      <c r="C16" s="104">
        <f>C15*B16</f>
        <v>15650</v>
      </c>
      <c r="D16" s="100"/>
      <c r="E16" s="100"/>
      <c r="F16" s="105" t="s">
        <v>375</v>
      </c>
      <c r="G16">
        <f>SUM(G11:G13)</f>
        <v>1091.1999999999998</v>
      </c>
      <c r="H16">
        <f>SUM(H11:H13)</f>
        <v>984.6</v>
      </c>
    </row>
    <row r="17" spans="1:16" ht="16" thickBot="1" x14ac:dyDescent="0.25">
      <c r="A17" s="153" t="s">
        <v>364</v>
      </c>
      <c r="B17" s="154">
        <v>0.374</v>
      </c>
      <c r="C17" s="155">
        <f>C15-C16</f>
        <v>9350</v>
      </c>
      <c r="D17" s="109"/>
      <c r="E17" s="109"/>
      <c r="F17" s="156" t="s">
        <v>427</v>
      </c>
      <c r="G17">
        <f>G6-G16</f>
        <v>88.800000000000182</v>
      </c>
      <c r="H17">
        <f>H6-H16</f>
        <v>65.399999999999977</v>
      </c>
      <c r="I17" t="s">
        <v>452</v>
      </c>
      <c r="M17">
        <v>10</v>
      </c>
      <c r="N17">
        <v>12</v>
      </c>
      <c r="O17">
        <v>7</v>
      </c>
      <c r="P17">
        <f>O17*N17*M17</f>
        <v>840</v>
      </c>
    </row>
    <row r="18" spans="1:16" ht="15" customHeight="1" x14ac:dyDescent="0.2">
      <c r="A18" s="363" t="s">
        <v>379</v>
      </c>
      <c r="B18" s="123" t="s">
        <v>377</v>
      </c>
      <c r="C18" s="134">
        <f>C6*0.1</f>
        <v>100</v>
      </c>
      <c r="D18" s="123"/>
      <c r="E18" s="123"/>
      <c r="F18" s="124"/>
      <c r="G18">
        <v>28.8</v>
      </c>
      <c r="H18">
        <v>5.4</v>
      </c>
      <c r="I18" t="s">
        <v>450</v>
      </c>
    </row>
    <row r="19" spans="1:16" x14ac:dyDescent="0.2">
      <c r="A19" s="358"/>
      <c r="B19" s="125" t="s">
        <v>371</v>
      </c>
      <c r="C19" s="126">
        <v>600</v>
      </c>
      <c r="D19" s="125"/>
      <c r="E19" s="125"/>
      <c r="F19" s="127" t="s">
        <v>442</v>
      </c>
      <c r="G19">
        <f>G17-G18</f>
        <v>60.000000000000185</v>
      </c>
      <c r="H19">
        <v>60</v>
      </c>
      <c r="I19" t="s">
        <v>451</v>
      </c>
    </row>
    <row r="20" spans="1:16" ht="15" customHeight="1" x14ac:dyDescent="0.2">
      <c r="A20" s="358"/>
      <c r="B20" s="125" t="s">
        <v>234</v>
      </c>
      <c r="C20" s="126">
        <f>C19*C18</f>
        <v>60000</v>
      </c>
      <c r="D20" s="125"/>
      <c r="E20" s="125"/>
      <c r="F20" s="127"/>
    </row>
    <row r="21" spans="1:16" x14ac:dyDescent="0.2">
      <c r="A21" s="128" t="s">
        <v>368</v>
      </c>
      <c r="B21" s="129">
        <v>0.12</v>
      </c>
      <c r="C21" s="126">
        <f>C20*B21</f>
        <v>7200</v>
      </c>
      <c r="D21" s="125"/>
      <c r="E21" s="125"/>
      <c r="F21" s="127"/>
      <c r="G21">
        <v>1100</v>
      </c>
      <c r="H21" t="s">
        <v>563</v>
      </c>
    </row>
    <row r="22" spans="1:16" x14ac:dyDescent="0.2">
      <c r="A22" s="128" t="s">
        <v>365</v>
      </c>
      <c r="B22" s="129">
        <v>0.06</v>
      </c>
      <c r="C22" s="126">
        <f>C21*B22/B21</f>
        <v>3600</v>
      </c>
      <c r="D22" s="125"/>
      <c r="E22" s="125"/>
      <c r="F22" s="355" t="s">
        <v>378</v>
      </c>
      <c r="G22" t="s">
        <v>564</v>
      </c>
      <c r="H22" t="s">
        <v>565</v>
      </c>
    </row>
    <row r="23" spans="1:16" ht="16" thickBot="1" x14ac:dyDescent="0.25">
      <c r="A23" s="135" t="s">
        <v>364</v>
      </c>
      <c r="B23" s="136">
        <v>0.06</v>
      </c>
      <c r="C23" s="137">
        <f>C21-C22</f>
        <v>3600</v>
      </c>
      <c r="D23" s="138"/>
      <c r="E23" s="138"/>
      <c r="F23" s="359"/>
      <c r="G23">
        <v>1</v>
      </c>
      <c r="H23">
        <v>100</v>
      </c>
      <c r="I23" t="s">
        <v>566</v>
      </c>
    </row>
    <row r="24" spans="1:16" ht="15" customHeight="1" x14ac:dyDescent="0.2">
      <c r="A24" s="364" t="s">
        <v>417</v>
      </c>
      <c r="B24" s="97" t="s">
        <v>418</v>
      </c>
      <c r="C24" s="98"/>
      <c r="D24" s="98">
        <v>1000</v>
      </c>
      <c r="E24" s="110">
        <f>D24*7</f>
        <v>7000</v>
      </c>
      <c r="F24" s="103"/>
      <c r="G24">
        <v>2</v>
      </c>
      <c r="H24">
        <v>170</v>
      </c>
      <c r="I24" t="s">
        <v>567</v>
      </c>
    </row>
    <row r="25" spans="1:16" x14ac:dyDescent="0.2">
      <c r="A25" s="365"/>
      <c r="B25" s="100" t="s">
        <v>371</v>
      </c>
      <c r="C25" s="104"/>
      <c r="D25" s="104">
        <v>2000</v>
      </c>
      <c r="E25" s="104">
        <v>14000</v>
      </c>
      <c r="F25" s="105" t="s">
        <v>495</v>
      </c>
      <c r="G25">
        <v>3</v>
      </c>
      <c r="H25">
        <v>240</v>
      </c>
      <c r="I25" t="s">
        <v>568</v>
      </c>
    </row>
    <row r="26" spans="1:16" ht="15" customHeight="1" x14ac:dyDescent="0.2">
      <c r="A26" s="365"/>
      <c r="B26" s="100" t="s">
        <v>234</v>
      </c>
      <c r="C26" s="104"/>
      <c r="D26" s="104">
        <f>D25*D24</f>
        <v>2000000</v>
      </c>
      <c r="E26" s="104">
        <v>14000000</v>
      </c>
      <c r="F26" s="105"/>
      <c r="G26">
        <v>4</v>
      </c>
      <c r="H26">
        <v>310</v>
      </c>
    </row>
    <row r="27" spans="1:16" x14ac:dyDescent="0.2">
      <c r="A27" s="106" t="s">
        <v>368</v>
      </c>
      <c r="B27" s="107">
        <v>0.18</v>
      </c>
      <c r="C27" s="104"/>
      <c r="D27" s="104">
        <f>D26*B27</f>
        <v>360000</v>
      </c>
      <c r="E27" s="104">
        <f>D27*7</f>
        <v>2520000</v>
      </c>
      <c r="F27" s="105"/>
      <c r="G27">
        <v>5</v>
      </c>
      <c r="H27">
        <v>380</v>
      </c>
    </row>
    <row r="28" spans="1:16" x14ac:dyDescent="0.2">
      <c r="A28" s="106" t="s">
        <v>419</v>
      </c>
      <c r="B28" s="107">
        <v>0.06</v>
      </c>
      <c r="C28" s="104"/>
      <c r="D28" s="104">
        <f>D26*B28</f>
        <v>120000</v>
      </c>
      <c r="E28" s="104">
        <f>D28*7</f>
        <v>840000</v>
      </c>
      <c r="F28" s="366" t="s">
        <v>441</v>
      </c>
      <c r="G28">
        <v>6</v>
      </c>
      <c r="H28">
        <v>450</v>
      </c>
    </row>
    <row r="29" spans="1:16" ht="16" thickBot="1" x14ac:dyDescent="0.25">
      <c r="A29" s="153" t="s">
        <v>364</v>
      </c>
      <c r="B29" s="154">
        <v>0.12</v>
      </c>
      <c r="C29" s="159"/>
      <c r="D29" s="159">
        <f>D27-D28</f>
        <v>240000</v>
      </c>
      <c r="E29" s="159">
        <f>D29*7</f>
        <v>1680000</v>
      </c>
      <c r="F29" s="367"/>
      <c r="G29">
        <v>7</v>
      </c>
      <c r="H29">
        <v>520</v>
      </c>
    </row>
    <row r="30" spans="1:16" x14ac:dyDescent="0.2">
      <c r="A30" s="364" t="s">
        <v>576</v>
      </c>
      <c r="B30" s="97" t="s">
        <v>578</v>
      </c>
      <c r="C30" s="98"/>
      <c r="D30" s="98">
        <v>1</v>
      </c>
      <c r="E30" s="110">
        <f>D30*7</f>
        <v>7</v>
      </c>
      <c r="F30" s="103"/>
      <c r="H30" s="64"/>
    </row>
    <row r="31" spans="1:16" ht="16" thickBot="1" x14ac:dyDescent="0.25">
      <c r="A31" s="365"/>
      <c r="B31" s="106" t="s">
        <v>577</v>
      </c>
      <c r="C31" s="104"/>
      <c r="D31" s="104">
        <v>35000</v>
      </c>
      <c r="E31" s="104">
        <v>140000</v>
      </c>
      <c r="F31" s="105" t="s">
        <v>495</v>
      </c>
    </row>
    <row r="32" spans="1:16" s="28" customFormat="1" ht="16" thickBot="1" x14ac:dyDescent="0.25">
      <c r="A32" s="409" t="s">
        <v>242</v>
      </c>
      <c r="B32" s="410"/>
      <c r="C32" s="157">
        <f>C23+C17+C11</f>
        <v>132950</v>
      </c>
      <c r="D32" s="157"/>
      <c r="E32" s="157"/>
      <c r="F32" s="158" t="s">
        <v>440</v>
      </c>
      <c r="G32" s="28">
        <v>8</v>
      </c>
      <c r="H32">
        <v>590</v>
      </c>
    </row>
    <row r="33" spans="1:9" ht="16" x14ac:dyDescent="0.2">
      <c r="A33" s="111" t="s">
        <v>473</v>
      </c>
      <c r="B33" s="112" t="s">
        <v>339</v>
      </c>
      <c r="C33" s="113">
        <f>C23+C17+C11</f>
        <v>132950</v>
      </c>
      <c r="D33" s="113">
        <f>(C33+D31/10)*10+(D29)</f>
        <v>1604500</v>
      </c>
      <c r="E33" s="113">
        <f t="shared" ref="E33:E38" si="0">D33*7</f>
        <v>11231500</v>
      </c>
      <c r="F33" s="112" t="s">
        <v>433</v>
      </c>
      <c r="G33" s="28">
        <v>9</v>
      </c>
      <c r="H33">
        <v>660</v>
      </c>
    </row>
    <row r="34" spans="1:9" ht="32" x14ac:dyDescent="0.2">
      <c r="A34" s="100" t="s">
        <v>474</v>
      </c>
      <c r="B34" s="114" t="s">
        <v>338</v>
      </c>
      <c r="C34" s="115">
        <f>C23+C17+C11</f>
        <v>132950</v>
      </c>
      <c r="D34" s="115">
        <f>(C34+D31/10)*20+(D29)</f>
        <v>2969000</v>
      </c>
      <c r="E34" s="113">
        <f t="shared" si="0"/>
        <v>20783000</v>
      </c>
      <c r="F34" s="112" t="s">
        <v>382</v>
      </c>
      <c r="G34" s="199">
        <v>10</v>
      </c>
      <c r="H34">
        <v>730</v>
      </c>
    </row>
    <row r="35" spans="1:9" ht="32" x14ac:dyDescent="0.2">
      <c r="A35" s="100" t="s">
        <v>475</v>
      </c>
      <c r="B35" s="114" t="s">
        <v>337</v>
      </c>
      <c r="C35" s="115">
        <f>C23+C17+C11</f>
        <v>132950</v>
      </c>
      <c r="D35" s="115">
        <f>(C35+D31/10)*30+(D29)</f>
        <v>4333500</v>
      </c>
      <c r="E35" s="113">
        <f t="shared" si="0"/>
        <v>30334500</v>
      </c>
      <c r="F35" s="112" t="s">
        <v>383</v>
      </c>
      <c r="G35" s="199">
        <v>11</v>
      </c>
      <c r="H35">
        <v>800</v>
      </c>
    </row>
    <row r="36" spans="1:9" ht="32" x14ac:dyDescent="0.2">
      <c r="A36" s="100" t="s">
        <v>476</v>
      </c>
      <c r="B36" s="114" t="s">
        <v>336</v>
      </c>
      <c r="C36" s="115">
        <f>C23+C17+C11</f>
        <v>132950</v>
      </c>
      <c r="D36" s="115">
        <f>(C36+D31/10)*40+(D29)</f>
        <v>5698000</v>
      </c>
      <c r="E36" s="113">
        <f t="shared" si="0"/>
        <v>39886000</v>
      </c>
      <c r="F36" s="112" t="s">
        <v>384</v>
      </c>
      <c r="G36" s="199">
        <v>12</v>
      </c>
      <c r="H36">
        <v>870</v>
      </c>
      <c r="I36" t="s">
        <v>569</v>
      </c>
    </row>
    <row r="37" spans="1:9" ht="32" x14ac:dyDescent="0.2">
      <c r="A37" s="100" t="s">
        <v>477</v>
      </c>
      <c r="B37" s="114" t="s">
        <v>335</v>
      </c>
      <c r="C37" s="115">
        <f>C23+C17+C11</f>
        <v>132950</v>
      </c>
      <c r="D37" s="115">
        <f>(C37+D31/10)*50+(D29)</f>
        <v>7062500</v>
      </c>
      <c r="E37" s="113">
        <f t="shared" si="0"/>
        <v>49437500</v>
      </c>
      <c r="F37" s="112" t="s">
        <v>385</v>
      </c>
      <c r="H37">
        <f>H36*G21</f>
        <v>957000</v>
      </c>
      <c r="I37" t="s">
        <v>570</v>
      </c>
    </row>
    <row r="38" spans="1:9" ht="16" x14ac:dyDescent="0.2">
      <c r="A38" s="100" t="s">
        <v>478</v>
      </c>
      <c r="B38" s="114" t="s">
        <v>437</v>
      </c>
      <c r="C38" s="115">
        <f>C23+C17+C11</f>
        <v>132950</v>
      </c>
      <c r="D38" s="115">
        <f>(C37+D31/10)*60+(D29)</f>
        <v>8427000</v>
      </c>
      <c r="E38" s="113">
        <f t="shared" si="0"/>
        <v>58989000</v>
      </c>
      <c r="F38" s="112" t="s">
        <v>431</v>
      </c>
      <c r="H38">
        <f>H37*2</f>
        <v>1914000</v>
      </c>
      <c r="I38" t="s">
        <v>571</v>
      </c>
    </row>
    <row r="39" spans="1:9" s="1" customFormat="1" ht="16" x14ac:dyDescent="0.2">
      <c r="A39" s="114" t="s">
        <v>479</v>
      </c>
      <c r="B39" s="114" t="s">
        <v>436</v>
      </c>
      <c r="C39" s="104">
        <f>C23+C17+C11</f>
        <v>132950</v>
      </c>
      <c r="D39" s="104">
        <f>D38*2</f>
        <v>16854000</v>
      </c>
      <c r="E39" s="104">
        <f>E38*2+(E29)</f>
        <v>119658000</v>
      </c>
      <c r="F39" s="112" t="s">
        <v>432</v>
      </c>
      <c r="H39" s="1">
        <f>H38*5</f>
        <v>9570000</v>
      </c>
      <c r="I39" s="28" t="s">
        <v>572</v>
      </c>
    </row>
    <row r="40" spans="1:9" ht="16" x14ac:dyDescent="0.2">
      <c r="A40" s="114" t="s">
        <v>480</v>
      </c>
      <c r="B40" s="114" t="s">
        <v>435</v>
      </c>
      <c r="C40" s="115">
        <f>C23+C17+C11</f>
        <v>132950</v>
      </c>
      <c r="D40" s="115">
        <f>D38*4</f>
        <v>33708000</v>
      </c>
      <c r="E40" s="115">
        <f>E39*2+(E29)</f>
        <v>240996000</v>
      </c>
      <c r="F40" s="112" t="s">
        <v>434</v>
      </c>
      <c r="H40">
        <f>870*1100</f>
        <v>957000</v>
      </c>
      <c r="I40" s="28" t="s">
        <v>573</v>
      </c>
    </row>
    <row r="41" spans="1:9" ht="16" x14ac:dyDescent="0.2">
      <c r="A41" s="120" t="s">
        <v>481</v>
      </c>
      <c r="B41" s="120" t="s">
        <v>438</v>
      </c>
      <c r="C41" s="121">
        <f>C23+C17+C11</f>
        <v>132950</v>
      </c>
      <c r="D41" s="121">
        <f>D38*6</f>
        <v>50562000</v>
      </c>
      <c r="E41" s="121">
        <f>E38*6+(E29)+(E29)</f>
        <v>357294000</v>
      </c>
      <c r="F41" s="122" t="s">
        <v>439</v>
      </c>
    </row>
    <row r="42" spans="1:9" x14ac:dyDescent="0.2">
      <c r="A42" s="41"/>
      <c r="B42" s="41"/>
      <c r="C42" s="42"/>
      <c r="D42" s="42"/>
      <c r="E42" s="42"/>
      <c r="F42" s="41"/>
    </row>
    <row r="43" spans="1:9" x14ac:dyDescent="0.2">
      <c r="A43" s="41"/>
      <c r="B43" s="41"/>
      <c r="C43" s="42"/>
      <c r="D43" s="42"/>
      <c r="E43" s="42"/>
      <c r="F43" s="41"/>
    </row>
    <row r="44" spans="1:9" x14ac:dyDescent="0.2">
      <c r="A44" s="41"/>
      <c r="B44" s="41"/>
      <c r="C44" s="42"/>
      <c r="D44" s="42"/>
      <c r="E44" s="42"/>
      <c r="F44" s="41"/>
    </row>
  </sheetData>
  <mergeCells count="10">
    <mergeCell ref="A24:A26"/>
    <mergeCell ref="F28:F29"/>
    <mergeCell ref="A32:B32"/>
    <mergeCell ref="A4:A5"/>
    <mergeCell ref="A6:A8"/>
    <mergeCell ref="F10:F11"/>
    <mergeCell ref="A12:A14"/>
    <mergeCell ref="A18:A20"/>
    <mergeCell ref="F22:F23"/>
    <mergeCell ref="A30:A3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44"/>
  <sheetViews>
    <sheetView topLeftCell="B1" zoomScale="85" zoomScaleNormal="85" workbookViewId="0">
      <pane ySplit="1" topLeftCell="A2" activePane="bottomLeft" state="frozen"/>
      <selection activeCell="J32" sqref="J32"/>
      <selection pane="bottomLeft" activeCell="J32" sqref="J3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 min="21" max="21" width="12.33203125" bestFit="1" customWidth="1"/>
  </cols>
  <sheetData>
    <row r="1" spans="1:9" ht="17" thickBot="1" x14ac:dyDescent="0.25">
      <c r="A1" s="116" t="s">
        <v>237</v>
      </c>
      <c r="B1" s="117" t="s">
        <v>238</v>
      </c>
      <c r="C1" s="118" t="s">
        <v>334</v>
      </c>
      <c r="D1" s="118" t="s">
        <v>380</v>
      </c>
      <c r="E1" s="118" t="s">
        <v>538</v>
      </c>
      <c r="F1" s="119" t="s">
        <v>104</v>
      </c>
      <c r="G1" s="147" t="s">
        <v>443</v>
      </c>
      <c r="H1" s="148" t="s">
        <v>444</v>
      </c>
    </row>
    <row r="2" spans="1:9" ht="16" x14ac:dyDescent="0.2">
      <c r="A2" s="146" t="s">
        <v>239</v>
      </c>
      <c r="B2" s="97" t="s">
        <v>240</v>
      </c>
      <c r="C2" s="98">
        <v>8000</v>
      </c>
      <c r="D2" s="98"/>
      <c r="E2" s="98"/>
      <c r="F2" s="99" t="s">
        <v>425</v>
      </c>
      <c r="G2" t="s">
        <v>453</v>
      </c>
      <c r="H2" t="s">
        <v>454</v>
      </c>
      <c r="I2" s="149" t="s">
        <v>455</v>
      </c>
    </row>
    <row r="3" spans="1:9" ht="16" x14ac:dyDescent="0.2">
      <c r="A3" s="200" t="s">
        <v>361</v>
      </c>
      <c r="B3" s="100" t="s">
        <v>231</v>
      </c>
      <c r="C3" s="101">
        <f>C2*0.15</f>
        <v>1200</v>
      </c>
      <c r="D3" s="101"/>
      <c r="E3" s="101"/>
      <c r="F3" s="102" t="s">
        <v>426</v>
      </c>
      <c r="G3" t="s">
        <v>456</v>
      </c>
      <c r="H3" t="s">
        <v>457</v>
      </c>
      <c r="I3" s="149" t="s">
        <v>459</v>
      </c>
    </row>
    <row r="4" spans="1:9" ht="16" x14ac:dyDescent="0.2">
      <c r="A4" s="351" t="s">
        <v>386</v>
      </c>
      <c r="B4" s="100" t="s">
        <v>362</v>
      </c>
      <c r="C4" s="101">
        <f>C3/4</f>
        <v>300</v>
      </c>
      <c r="D4" s="101"/>
      <c r="E4" s="101"/>
      <c r="F4" s="102"/>
      <c r="G4" t="s">
        <v>460</v>
      </c>
      <c r="H4" t="s">
        <v>457</v>
      </c>
      <c r="I4" s="149" t="s">
        <v>458</v>
      </c>
    </row>
    <row r="5" spans="1:9" ht="16" thickBot="1" x14ac:dyDescent="0.25">
      <c r="A5" s="352"/>
      <c r="B5" s="109" t="s">
        <v>363</v>
      </c>
      <c r="C5" s="142">
        <f>ROUNDDOWN((C2-C3)*0.103, 0)</f>
        <v>700</v>
      </c>
      <c r="D5" s="142"/>
      <c r="E5" s="142"/>
      <c r="F5" s="143"/>
    </row>
    <row r="6" spans="1:9" ht="15.75" customHeight="1" x14ac:dyDescent="0.2">
      <c r="A6" s="357" t="s">
        <v>367</v>
      </c>
      <c r="B6" s="139" t="s">
        <v>232</v>
      </c>
      <c r="C6" s="140">
        <f>C5+C4</f>
        <v>1000</v>
      </c>
      <c r="D6" s="139"/>
      <c r="E6" s="139"/>
      <c r="F6" s="141" t="s">
        <v>241</v>
      </c>
      <c r="G6">
        <v>1180</v>
      </c>
      <c r="H6">
        <v>1050</v>
      </c>
      <c r="I6" t="s">
        <v>446</v>
      </c>
    </row>
    <row r="7" spans="1:9" x14ac:dyDescent="0.2">
      <c r="A7" s="358"/>
      <c r="B7" s="125" t="s">
        <v>233</v>
      </c>
      <c r="C7" s="126">
        <v>2000</v>
      </c>
      <c r="D7" s="125"/>
      <c r="E7" s="125"/>
      <c r="F7" s="127" t="s">
        <v>429</v>
      </c>
      <c r="G7">
        <v>1000</v>
      </c>
      <c r="H7">
        <v>1000</v>
      </c>
      <c r="I7" t="s">
        <v>445</v>
      </c>
    </row>
    <row r="8" spans="1:9" x14ac:dyDescent="0.2">
      <c r="A8" s="358"/>
      <c r="B8" s="125" t="s">
        <v>234</v>
      </c>
      <c r="C8" s="126">
        <f>C7*C6</f>
        <v>2000000</v>
      </c>
      <c r="D8" s="160"/>
      <c r="E8" s="125"/>
      <c r="F8" s="127"/>
    </row>
    <row r="9" spans="1:9" x14ac:dyDescent="0.2">
      <c r="A9" s="128" t="s">
        <v>368</v>
      </c>
      <c r="B9" s="129">
        <v>0.18</v>
      </c>
      <c r="C9" s="126">
        <f>C8*B9</f>
        <v>360000</v>
      </c>
      <c r="D9" s="125"/>
      <c r="E9" s="125"/>
      <c r="F9" s="127"/>
    </row>
    <row r="10" spans="1:9" x14ac:dyDescent="0.2">
      <c r="A10" s="128" t="s">
        <v>365</v>
      </c>
      <c r="B10" s="129">
        <v>0.12</v>
      </c>
      <c r="C10" s="126">
        <f>C9*B10/B9</f>
        <v>240000</v>
      </c>
      <c r="D10" s="125"/>
      <c r="E10" s="125"/>
      <c r="F10" s="355" t="s">
        <v>366</v>
      </c>
      <c r="G10">
        <v>820</v>
      </c>
      <c r="H10">
        <v>820</v>
      </c>
      <c r="I10" t="s">
        <v>447</v>
      </c>
    </row>
    <row r="11" spans="1:9" ht="16" thickBot="1" x14ac:dyDescent="0.25">
      <c r="A11" s="130" t="s">
        <v>364</v>
      </c>
      <c r="B11" s="131">
        <v>0.06</v>
      </c>
      <c r="C11" s="132">
        <f>C9-C10</f>
        <v>120000</v>
      </c>
      <c r="D11" s="133"/>
      <c r="E11" s="133"/>
      <c r="F11" s="356"/>
      <c r="G11">
        <f>G10*1.18</f>
        <v>967.59999999999991</v>
      </c>
      <c r="H11">
        <f>H10*1.05</f>
        <v>861</v>
      </c>
      <c r="I11" t="s">
        <v>448</v>
      </c>
    </row>
    <row r="12" spans="1:9" ht="15" customHeight="1" x14ac:dyDescent="0.2">
      <c r="A12" s="360" t="s">
        <v>369</v>
      </c>
      <c r="B12" s="150" t="s">
        <v>370</v>
      </c>
      <c r="C12" s="108">
        <f>C6*0.05</f>
        <v>50</v>
      </c>
      <c r="D12" s="97"/>
      <c r="E12" s="97"/>
      <c r="F12" s="103"/>
      <c r="G12">
        <v>100</v>
      </c>
      <c r="H12">
        <v>100</v>
      </c>
      <c r="I12" t="s">
        <v>449</v>
      </c>
    </row>
    <row r="13" spans="1:9" x14ac:dyDescent="0.2">
      <c r="A13" s="361"/>
      <c r="B13" s="151" t="s">
        <v>371</v>
      </c>
      <c r="C13" s="104">
        <v>500</v>
      </c>
      <c r="D13" s="100"/>
      <c r="E13" s="100"/>
      <c r="F13" s="105" t="s">
        <v>428</v>
      </c>
      <c r="G13">
        <f>20*1.18</f>
        <v>23.599999999999998</v>
      </c>
      <c r="H13">
        <v>23.6</v>
      </c>
      <c r="I13" t="s">
        <v>296</v>
      </c>
    </row>
    <row r="14" spans="1:9" ht="16" thickBot="1" x14ac:dyDescent="0.25">
      <c r="A14" s="362"/>
      <c r="B14" s="151" t="s">
        <v>373</v>
      </c>
      <c r="C14" s="104">
        <f>C13*C12</f>
        <v>25000</v>
      </c>
      <c r="D14" s="100"/>
      <c r="E14" s="100"/>
      <c r="F14" s="201"/>
    </row>
    <row r="15" spans="1:9" x14ac:dyDescent="0.2">
      <c r="A15" s="152" t="s">
        <v>372</v>
      </c>
      <c r="B15" s="107">
        <v>1</v>
      </c>
      <c r="C15" s="104">
        <v>25000</v>
      </c>
      <c r="D15" s="100"/>
      <c r="E15" s="100"/>
      <c r="F15" s="105" t="s">
        <v>376</v>
      </c>
    </row>
    <row r="16" spans="1:9" x14ac:dyDescent="0.2">
      <c r="A16" s="106" t="s">
        <v>374</v>
      </c>
      <c r="B16" s="107">
        <v>0.626</v>
      </c>
      <c r="C16" s="104">
        <f>C15*B16</f>
        <v>15650</v>
      </c>
      <c r="D16" s="100"/>
      <c r="E16" s="100"/>
      <c r="F16" s="105" t="s">
        <v>375</v>
      </c>
      <c r="G16">
        <f>SUM(G11:G13)</f>
        <v>1091.1999999999998</v>
      </c>
      <c r="H16">
        <f>SUM(H11:H13)</f>
        <v>984.6</v>
      </c>
    </row>
    <row r="17" spans="1:21" ht="16" thickBot="1" x14ac:dyDescent="0.25">
      <c r="A17" s="153" t="s">
        <v>364</v>
      </c>
      <c r="B17" s="154">
        <v>0.374</v>
      </c>
      <c r="C17" s="155">
        <f>C15-C16</f>
        <v>9350</v>
      </c>
      <c r="D17" s="109"/>
      <c r="E17" s="109"/>
      <c r="F17" s="156" t="s">
        <v>427</v>
      </c>
      <c r="G17">
        <f>G6-G16</f>
        <v>88.800000000000182</v>
      </c>
      <c r="H17">
        <f>H6-H16</f>
        <v>65.399999999999977</v>
      </c>
      <c r="I17" t="s">
        <v>452</v>
      </c>
      <c r="M17">
        <v>10</v>
      </c>
      <c r="N17">
        <v>12</v>
      </c>
      <c r="O17">
        <v>7</v>
      </c>
      <c r="P17">
        <f>O17*N17*M17</f>
        <v>840</v>
      </c>
    </row>
    <row r="18" spans="1:21" ht="15" customHeight="1" x14ac:dyDescent="0.2">
      <c r="A18" s="363" t="s">
        <v>379</v>
      </c>
      <c r="B18" s="123" t="s">
        <v>377</v>
      </c>
      <c r="C18" s="134">
        <f>C6*0.1</f>
        <v>100</v>
      </c>
      <c r="D18" s="123"/>
      <c r="E18" s="123"/>
      <c r="F18" s="124"/>
      <c r="G18">
        <v>28.8</v>
      </c>
      <c r="H18">
        <v>5.4</v>
      </c>
      <c r="I18" t="s">
        <v>450</v>
      </c>
    </row>
    <row r="19" spans="1:21" x14ac:dyDescent="0.2">
      <c r="A19" s="358"/>
      <c r="B19" s="125" t="s">
        <v>371</v>
      </c>
      <c r="C19" s="126">
        <v>600</v>
      </c>
      <c r="D19" s="125"/>
      <c r="E19" s="125"/>
      <c r="F19" s="127" t="s">
        <v>442</v>
      </c>
      <c r="G19">
        <f>G17-G18</f>
        <v>60.000000000000185</v>
      </c>
      <c r="H19">
        <v>60</v>
      </c>
      <c r="I19" t="s">
        <v>451</v>
      </c>
    </row>
    <row r="20" spans="1:21" ht="15" customHeight="1" x14ac:dyDescent="0.2">
      <c r="A20" s="358"/>
      <c r="B20" s="125" t="s">
        <v>234</v>
      </c>
      <c r="C20" s="126">
        <f>C19*C18</f>
        <v>60000</v>
      </c>
      <c r="D20" s="125"/>
      <c r="E20" s="125"/>
      <c r="F20" s="127"/>
    </row>
    <row r="21" spans="1:21" x14ac:dyDescent="0.2">
      <c r="A21" s="128" t="s">
        <v>368</v>
      </c>
      <c r="B21" s="129">
        <v>0.12</v>
      </c>
      <c r="C21" s="126">
        <f>C20*B21</f>
        <v>7200</v>
      </c>
      <c r="D21" s="125"/>
      <c r="E21" s="125"/>
      <c r="F21" s="127"/>
      <c r="G21">
        <v>1100</v>
      </c>
      <c r="H21" t="s">
        <v>563</v>
      </c>
    </row>
    <row r="22" spans="1:21" x14ac:dyDescent="0.2">
      <c r="A22" s="128" t="s">
        <v>365</v>
      </c>
      <c r="B22" s="129">
        <v>0.06</v>
      </c>
      <c r="C22" s="126">
        <f>C21*B22/B21</f>
        <v>3600</v>
      </c>
      <c r="D22" s="125"/>
      <c r="E22" s="125"/>
      <c r="F22" s="355" t="s">
        <v>378</v>
      </c>
      <c r="G22" t="s">
        <v>564</v>
      </c>
      <c r="H22" t="s">
        <v>565</v>
      </c>
    </row>
    <row r="23" spans="1:21" ht="16" thickBot="1" x14ac:dyDescent="0.25">
      <c r="A23" s="135" t="s">
        <v>364</v>
      </c>
      <c r="B23" s="136">
        <v>0.06</v>
      </c>
      <c r="C23" s="137">
        <f>C21-C22</f>
        <v>3600</v>
      </c>
      <c r="D23" s="138"/>
      <c r="E23" s="138"/>
      <c r="F23" s="359"/>
      <c r="G23">
        <v>1</v>
      </c>
      <c r="H23">
        <v>100</v>
      </c>
      <c r="I23" t="s">
        <v>566</v>
      </c>
    </row>
    <row r="24" spans="1:21" ht="15" customHeight="1" x14ac:dyDescent="0.2">
      <c r="A24" s="364" t="s">
        <v>417</v>
      </c>
      <c r="B24" s="97" t="s">
        <v>418</v>
      </c>
      <c r="C24" s="98"/>
      <c r="D24" s="98">
        <v>1000</v>
      </c>
      <c r="E24" s="110">
        <f>D24*7</f>
        <v>7000</v>
      </c>
      <c r="F24" s="103"/>
      <c r="G24">
        <v>2</v>
      </c>
      <c r="H24">
        <v>170</v>
      </c>
      <c r="I24" t="s">
        <v>567</v>
      </c>
    </row>
    <row r="25" spans="1:21" x14ac:dyDescent="0.2">
      <c r="A25" s="365"/>
      <c r="B25" s="100" t="s">
        <v>371</v>
      </c>
      <c r="C25" s="104"/>
      <c r="D25" s="104">
        <v>2000</v>
      </c>
      <c r="E25" s="104">
        <v>14000</v>
      </c>
      <c r="F25" s="105" t="s">
        <v>495</v>
      </c>
      <c r="G25">
        <v>3</v>
      </c>
      <c r="H25">
        <v>240</v>
      </c>
      <c r="I25" t="s">
        <v>568</v>
      </c>
    </row>
    <row r="26" spans="1:21" ht="15" customHeight="1" x14ac:dyDescent="0.2">
      <c r="A26" s="365"/>
      <c r="B26" s="100" t="s">
        <v>234</v>
      </c>
      <c r="C26" s="104"/>
      <c r="D26" s="104">
        <f>D25*D24</f>
        <v>2000000</v>
      </c>
      <c r="E26" s="104">
        <v>14000000</v>
      </c>
      <c r="F26" s="105"/>
      <c r="G26">
        <v>4</v>
      </c>
      <c r="H26">
        <v>310</v>
      </c>
    </row>
    <row r="27" spans="1:21" x14ac:dyDescent="0.2">
      <c r="A27" s="106" t="s">
        <v>368</v>
      </c>
      <c r="B27" s="107">
        <v>0.18</v>
      </c>
      <c r="C27" s="104"/>
      <c r="D27" s="104">
        <f>D26*B27</f>
        <v>360000</v>
      </c>
      <c r="E27" s="104">
        <f>D27*7</f>
        <v>2520000</v>
      </c>
      <c r="F27" s="105"/>
      <c r="G27">
        <v>5</v>
      </c>
      <c r="H27">
        <v>380</v>
      </c>
    </row>
    <row r="28" spans="1:21" x14ac:dyDescent="0.2">
      <c r="A28" s="106" t="s">
        <v>419</v>
      </c>
      <c r="B28" s="107">
        <v>0.06</v>
      </c>
      <c r="C28" s="104"/>
      <c r="D28" s="104">
        <f>D26*B28</f>
        <v>120000</v>
      </c>
      <c r="E28" s="104">
        <f>D28*7</f>
        <v>840000</v>
      </c>
      <c r="F28" s="366" t="s">
        <v>441</v>
      </c>
      <c r="G28">
        <v>6</v>
      </c>
      <c r="H28">
        <v>450</v>
      </c>
    </row>
    <row r="29" spans="1:21" ht="16" thickBot="1" x14ac:dyDescent="0.25">
      <c r="A29" s="153" t="s">
        <v>364</v>
      </c>
      <c r="B29" s="154">
        <v>0.12</v>
      </c>
      <c r="C29" s="159"/>
      <c r="D29" s="159">
        <f>D27-D28</f>
        <v>240000</v>
      </c>
      <c r="E29" s="159">
        <f>D29*7</f>
        <v>1680000</v>
      </c>
      <c r="F29" s="367"/>
      <c r="G29">
        <v>7</v>
      </c>
      <c r="H29">
        <v>520</v>
      </c>
      <c r="T29">
        <v>10500000</v>
      </c>
      <c r="U29">
        <f>T29/T30</f>
        <v>600</v>
      </c>
    </row>
    <row r="30" spans="1:21" x14ac:dyDescent="0.2">
      <c r="A30" s="364" t="s">
        <v>576</v>
      </c>
      <c r="B30" s="97" t="s">
        <v>578</v>
      </c>
      <c r="C30" s="98"/>
      <c r="D30" s="98">
        <v>1</v>
      </c>
      <c r="E30" s="110">
        <f>D30*7</f>
        <v>7</v>
      </c>
      <c r="F30" s="103"/>
      <c r="H30" s="64"/>
      <c r="T30" s="204">
        <v>17500</v>
      </c>
      <c r="U30">
        <f>U29/70</f>
        <v>8.5714285714285712</v>
      </c>
    </row>
    <row r="31" spans="1:21" ht="16" thickBot="1" x14ac:dyDescent="0.25">
      <c r="A31" s="365"/>
      <c r="B31" s="106" t="s">
        <v>577</v>
      </c>
      <c r="C31" s="104"/>
      <c r="D31" s="104">
        <v>35000</v>
      </c>
      <c r="E31" s="104">
        <v>140000</v>
      </c>
      <c r="F31" s="105" t="s">
        <v>495</v>
      </c>
      <c r="G31">
        <f>D31*10*0.5</f>
        <v>175000</v>
      </c>
      <c r="U31">
        <f>U30*T29</f>
        <v>90000000</v>
      </c>
    </row>
    <row r="32" spans="1:21" s="28" customFormat="1" ht="16" thickBot="1" x14ac:dyDescent="0.25">
      <c r="A32" s="409" t="s">
        <v>242</v>
      </c>
      <c r="B32" s="410"/>
      <c r="C32" s="157">
        <f>C23+C17+C11</f>
        <v>132950</v>
      </c>
      <c r="D32" s="157"/>
      <c r="E32" s="157"/>
      <c r="F32" s="158" t="s">
        <v>440</v>
      </c>
      <c r="G32" s="28">
        <v>8</v>
      </c>
      <c r="H32">
        <v>590</v>
      </c>
    </row>
    <row r="33" spans="1:9" ht="16" x14ac:dyDescent="0.2">
      <c r="A33" s="111" t="s">
        <v>473</v>
      </c>
      <c r="B33" s="112" t="s">
        <v>339</v>
      </c>
      <c r="C33" s="113">
        <f>C23+C17+C11</f>
        <v>132950</v>
      </c>
      <c r="D33" s="113">
        <f>(C33+D31*0.5)*10+(D29)</f>
        <v>1744500</v>
      </c>
      <c r="E33" s="113">
        <f t="shared" ref="E33:E38" si="0">D33*7</f>
        <v>12211500</v>
      </c>
      <c r="F33" s="112" t="s">
        <v>433</v>
      </c>
      <c r="G33" s="28">
        <v>9</v>
      </c>
      <c r="H33">
        <v>660</v>
      </c>
    </row>
    <row r="34" spans="1:9" ht="32" x14ac:dyDescent="0.2">
      <c r="A34" s="100" t="s">
        <v>474</v>
      </c>
      <c r="B34" s="114" t="s">
        <v>338</v>
      </c>
      <c r="C34" s="115">
        <f>C23+C17+C11</f>
        <v>132950</v>
      </c>
      <c r="D34" s="115">
        <f>(C34+D31*0.5)*20+(D29)</f>
        <v>3249000</v>
      </c>
      <c r="E34" s="113">
        <f t="shared" si="0"/>
        <v>22743000</v>
      </c>
      <c r="F34" s="112" t="s">
        <v>382</v>
      </c>
      <c r="G34" s="199">
        <v>10</v>
      </c>
      <c r="H34">
        <v>730</v>
      </c>
    </row>
    <row r="35" spans="1:9" ht="32" x14ac:dyDescent="0.2">
      <c r="A35" s="100" t="s">
        <v>475</v>
      </c>
      <c r="B35" s="114" t="s">
        <v>337</v>
      </c>
      <c r="C35" s="115">
        <f>C23+C17+C11</f>
        <v>132950</v>
      </c>
      <c r="D35" s="115">
        <f>(C35+D31*0.5)*30+(D29)</f>
        <v>4753500</v>
      </c>
      <c r="E35" s="113">
        <f t="shared" si="0"/>
        <v>33274500</v>
      </c>
      <c r="F35" s="112" t="s">
        <v>383</v>
      </c>
      <c r="G35" s="199">
        <v>11</v>
      </c>
      <c r="H35">
        <v>800</v>
      </c>
    </row>
    <row r="36" spans="1:9" ht="32" x14ac:dyDescent="0.2">
      <c r="A36" s="100" t="s">
        <v>476</v>
      </c>
      <c r="B36" s="114" t="s">
        <v>336</v>
      </c>
      <c r="C36" s="115">
        <f>C23+C17+C11</f>
        <v>132950</v>
      </c>
      <c r="D36" s="115">
        <f>(C36+D31*0.5)*40+(D29)</f>
        <v>6258000</v>
      </c>
      <c r="E36" s="113">
        <f t="shared" si="0"/>
        <v>43806000</v>
      </c>
      <c r="F36" s="112" t="s">
        <v>384</v>
      </c>
      <c r="G36" s="199">
        <v>12</v>
      </c>
      <c r="H36">
        <v>870</v>
      </c>
      <c r="I36" t="s">
        <v>569</v>
      </c>
    </row>
    <row r="37" spans="1:9" ht="32" x14ac:dyDescent="0.2">
      <c r="A37" s="100" t="s">
        <v>477</v>
      </c>
      <c r="B37" s="114" t="s">
        <v>335</v>
      </c>
      <c r="C37" s="115">
        <f>C23+C17+C11</f>
        <v>132950</v>
      </c>
      <c r="D37" s="115">
        <f>(C37+D31*0.5)*50+(D29)</f>
        <v>7762500</v>
      </c>
      <c r="E37" s="113">
        <f t="shared" si="0"/>
        <v>54337500</v>
      </c>
      <c r="F37" s="112" t="s">
        <v>385</v>
      </c>
      <c r="H37">
        <f>H36*G21</f>
        <v>957000</v>
      </c>
      <c r="I37" t="s">
        <v>570</v>
      </c>
    </row>
    <row r="38" spans="1:9" ht="16" x14ac:dyDescent="0.2">
      <c r="A38" s="100" t="s">
        <v>478</v>
      </c>
      <c r="B38" s="114" t="s">
        <v>437</v>
      </c>
      <c r="C38" s="115">
        <f>C23+C17+C11</f>
        <v>132950</v>
      </c>
      <c r="D38" s="115">
        <f>(C37+D31*0.5)*60+(D29)</f>
        <v>9267000</v>
      </c>
      <c r="E38" s="113">
        <f t="shared" si="0"/>
        <v>64869000</v>
      </c>
      <c r="F38" s="112" t="s">
        <v>431</v>
      </c>
      <c r="H38">
        <f>H37*2</f>
        <v>1914000</v>
      </c>
      <c r="I38" t="s">
        <v>571</v>
      </c>
    </row>
    <row r="39" spans="1:9" s="1" customFormat="1" ht="16" x14ac:dyDescent="0.2">
      <c r="A39" s="114" t="s">
        <v>479</v>
      </c>
      <c r="B39" s="114" t="s">
        <v>436</v>
      </c>
      <c r="C39" s="104">
        <f>C23+C17+C11</f>
        <v>132950</v>
      </c>
      <c r="D39" s="104">
        <f>D38*2</f>
        <v>18534000</v>
      </c>
      <c r="E39" s="104">
        <f>E38*2</f>
        <v>129738000</v>
      </c>
      <c r="F39" s="112" t="s">
        <v>432</v>
      </c>
      <c r="H39" s="1">
        <f>H38*5</f>
        <v>9570000</v>
      </c>
      <c r="I39" s="28" t="s">
        <v>572</v>
      </c>
    </row>
    <row r="40" spans="1:9" ht="16" x14ac:dyDescent="0.2">
      <c r="A40" s="114" t="s">
        <v>480</v>
      </c>
      <c r="B40" s="114" t="s">
        <v>435</v>
      </c>
      <c r="C40" s="115">
        <f>C23+C17+C11</f>
        <v>132950</v>
      </c>
      <c r="D40" s="115">
        <f>D38*4</f>
        <v>37068000</v>
      </c>
      <c r="E40" s="115">
        <f>E39*2</f>
        <v>259476000</v>
      </c>
      <c r="F40" s="112" t="s">
        <v>434</v>
      </c>
      <c r="H40">
        <f>870*1100</f>
        <v>957000</v>
      </c>
      <c r="I40" s="28" t="s">
        <v>573</v>
      </c>
    </row>
    <row r="41" spans="1:9" ht="16" x14ac:dyDescent="0.2">
      <c r="A41" s="120" t="s">
        <v>481</v>
      </c>
      <c r="B41" s="120" t="s">
        <v>438</v>
      </c>
      <c r="C41" s="121">
        <f>C23+C17+C11</f>
        <v>132950</v>
      </c>
      <c r="D41" s="121">
        <f>D38*6</f>
        <v>55602000</v>
      </c>
      <c r="E41" s="121">
        <f>E38*6+(E29)+(E29)</f>
        <v>392574000</v>
      </c>
      <c r="F41" s="122" t="s">
        <v>439</v>
      </c>
    </row>
    <row r="42" spans="1:9" x14ac:dyDescent="0.2">
      <c r="A42" s="41"/>
      <c r="B42" s="41"/>
      <c r="C42" s="42"/>
      <c r="D42" s="42"/>
      <c r="E42" s="42"/>
      <c r="F42" s="41"/>
    </row>
    <row r="43" spans="1:9" x14ac:dyDescent="0.2">
      <c r="A43" s="41"/>
      <c r="B43" s="41"/>
      <c r="C43" s="42"/>
      <c r="D43" s="42"/>
      <c r="E43" s="42"/>
      <c r="F43" s="41"/>
    </row>
    <row r="44" spans="1:9" x14ac:dyDescent="0.2">
      <c r="A44" s="41"/>
      <c r="B44" s="41"/>
      <c r="C44" s="42"/>
      <c r="D44" s="42"/>
      <c r="E44" s="42"/>
      <c r="F44" s="41"/>
    </row>
  </sheetData>
  <mergeCells count="10">
    <mergeCell ref="A24:A26"/>
    <mergeCell ref="F28:F29"/>
    <mergeCell ref="A30:A31"/>
    <mergeCell ref="A32:B32"/>
    <mergeCell ref="A4:A5"/>
    <mergeCell ref="A6:A8"/>
    <mergeCell ref="F10:F11"/>
    <mergeCell ref="A12:A14"/>
    <mergeCell ref="A18:A20"/>
    <mergeCell ref="F22:F23"/>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44"/>
  <sheetViews>
    <sheetView zoomScale="85" zoomScaleNormal="85" workbookViewId="0">
      <pane ySplit="1" topLeftCell="A3" activePane="bottomLeft" state="frozen"/>
      <selection activeCell="J32" sqref="J32"/>
      <selection pane="bottomLeft" activeCell="J32" sqref="J3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 min="21" max="21" width="12.33203125" bestFit="1" customWidth="1"/>
  </cols>
  <sheetData>
    <row r="1" spans="1:9" ht="17" thickBot="1" x14ac:dyDescent="0.25">
      <c r="A1" s="116" t="s">
        <v>237</v>
      </c>
      <c r="B1" s="117" t="s">
        <v>238</v>
      </c>
      <c r="C1" s="118" t="s">
        <v>334</v>
      </c>
      <c r="D1" s="118" t="s">
        <v>380</v>
      </c>
      <c r="E1" s="118" t="s">
        <v>538</v>
      </c>
      <c r="F1" s="119" t="s">
        <v>104</v>
      </c>
      <c r="G1" s="147" t="s">
        <v>443</v>
      </c>
      <c r="H1" s="148" t="s">
        <v>444</v>
      </c>
    </row>
    <row r="2" spans="1:9" ht="16" x14ac:dyDescent="0.2">
      <c r="A2" s="146" t="s">
        <v>239</v>
      </c>
      <c r="B2" s="97" t="s">
        <v>240</v>
      </c>
      <c r="C2" s="98">
        <v>8000</v>
      </c>
      <c r="D2" s="98"/>
      <c r="E2" s="98"/>
      <c r="F2" s="99" t="s">
        <v>425</v>
      </c>
      <c r="G2" t="s">
        <v>453</v>
      </c>
      <c r="H2" t="s">
        <v>454</v>
      </c>
      <c r="I2" s="149" t="s">
        <v>455</v>
      </c>
    </row>
    <row r="3" spans="1:9" ht="16" x14ac:dyDescent="0.2">
      <c r="A3" s="202" t="s">
        <v>361</v>
      </c>
      <c r="B3" s="209" t="s">
        <v>231</v>
      </c>
      <c r="C3" s="208">
        <f>C2*0.15</f>
        <v>1200</v>
      </c>
      <c r="D3" s="101"/>
      <c r="E3" s="101"/>
      <c r="F3" s="102" t="s">
        <v>426</v>
      </c>
      <c r="G3" t="s">
        <v>456</v>
      </c>
      <c r="H3" t="s">
        <v>457</v>
      </c>
      <c r="I3" s="149" t="s">
        <v>459</v>
      </c>
    </row>
    <row r="4" spans="1:9" ht="16" x14ac:dyDescent="0.2">
      <c r="A4" s="351" t="s">
        <v>386</v>
      </c>
      <c r="B4" s="100" t="s">
        <v>362</v>
      </c>
      <c r="C4" s="101">
        <f>C3/4</f>
        <v>300</v>
      </c>
      <c r="D4" s="101"/>
      <c r="E4" s="101"/>
      <c r="F4" s="102"/>
      <c r="G4" t="s">
        <v>460</v>
      </c>
      <c r="H4" t="s">
        <v>457</v>
      </c>
      <c r="I4" s="149" t="s">
        <v>458</v>
      </c>
    </row>
    <row r="5" spans="1:9" ht="16" thickBot="1" x14ac:dyDescent="0.25">
      <c r="A5" s="352"/>
      <c r="B5" s="109" t="s">
        <v>363</v>
      </c>
      <c r="C5" s="142">
        <f>ROUNDDOWN((C2-C3)*0.103, 0)</f>
        <v>700</v>
      </c>
      <c r="D5" s="142"/>
      <c r="E5" s="142"/>
      <c r="F5" s="143"/>
    </row>
    <row r="6" spans="1:9" ht="15.75" customHeight="1" x14ac:dyDescent="0.2">
      <c r="A6" s="357" t="s">
        <v>367</v>
      </c>
      <c r="B6" s="139" t="s">
        <v>232</v>
      </c>
      <c r="C6" s="140">
        <f>C5+C4</f>
        <v>1000</v>
      </c>
      <c r="D6" s="139"/>
      <c r="E6" s="139"/>
      <c r="F6" s="141" t="s">
        <v>241</v>
      </c>
      <c r="G6">
        <v>1180</v>
      </c>
      <c r="H6">
        <v>1050</v>
      </c>
      <c r="I6" t="s">
        <v>446</v>
      </c>
    </row>
    <row r="7" spans="1:9" x14ac:dyDescent="0.2">
      <c r="A7" s="358"/>
      <c r="B7" s="125" t="s">
        <v>233</v>
      </c>
      <c r="C7" s="210">
        <v>1500</v>
      </c>
      <c r="D7" s="125"/>
      <c r="E7" s="125"/>
      <c r="F7" s="127" t="s">
        <v>429</v>
      </c>
      <c r="G7">
        <v>1000</v>
      </c>
      <c r="H7">
        <v>1000</v>
      </c>
      <c r="I7" t="s">
        <v>445</v>
      </c>
    </row>
    <row r="8" spans="1:9" x14ac:dyDescent="0.2">
      <c r="A8" s="358"/>
      <c r="B8" s="125" t="s">
        <v>234</v>
      </c>
      <c r="C8" s="126">
        <f>C7*C6</f>
        <v>1500000</v>
      </c>
      <c r="D8" s="160"/>
      <c r="E8" s="125"/>
      <c r="F8" s="127"/>
    </row>
    <row r="9" spans="1:9" x14ac:dyDescent="0.2">
      <c r="A9" s="128" t="s">
        <v>368</v>
      </c>
      <c r="B9" s="129">
        <v>0.18</v>
      </c>
      <c r="C9" s="126">
        <f>C8*B9</f>
        <v>270000</v>
      </c>
      <c r="D9" s="125"/>
      <c r="E9" s="125"/>
      <c r="F9" s="127"/>
    </row>
    <row r="10" spans="1:9" x14ac:dyDescent="0.2">
      <c r="A10" s="128" t="s">
        <v>365</v>
      </c>
      <c r="B10" s="129">
        <v>0.12</v>
      </c>
      <c r="C10" s="126">
        <f>C9*B10/B9</f>
        <v>180000</v>
      </c>
      <c r="D10" s="125"/>
      <c r="E10" s="125"/>
      <c r="F10" s="355" t="s">
        <v>366</v>
      </c>
      <c r="G10">
        <v>820</v>
      </c>
      <c r="H10">
        <v>820</v>
      </c>
      <c r="I10" t="s">
        <v>447</v>
      </c>
    </row>
    <row r="11" spans="1:9" ht="16" thickBot="1" x14ac:dyDescent="0.25">
      <c r="A11" s="130" t="s">
        <v>364</v>
      </c>
      <c r="B11" s="131">
        <v>0.06</v>
      </c>
      <c r="C11" s="132">
        <f>C9-C10</f>
        <v>90000</v>
      </c>
      <c r="D11" s="133"/>
      <c r="E11" s="133"/>
      <c r="F11" s="356"/>
      <c r="G11">
        <f>G10*1.18</f>
        <v>967.59999999999991</v>
      </c>
      <c r="H11">
        <f>H10*1.05</f>
        <v>861</v>
      </c>
      <c r="I11" t="s">
        <v>448</v>
      </c>
    </row>
    <row r="12" spans="1:9" ht="15" customHeight="1" x14ac:dyDescent="0.2">
      <c r="A12" s="360" t="s">
        <v>369</v>
      </c>
      <c r="B12" s="150" t="s">
        <v>370</v>
      </c>
      <c r="C12" s="108">
        <f>C6*0.05</f>
        <v>50</v>
      </c>
      <c r="D12" s="97"/>
      <c r="E12" s="97"/>
      <c r="F12" s="103"/>
      <c r="G12">
        <v>100</v>
      </c>
      <c r="H12" t="s">
        <v>581</v>
      </c>
      <c r="I12" t="s">
        <v>449</v>
      </c>
    </row>
    <row r="13" spans="1:9" x14ac:dyDescent="0.2">
      <c r="A13" s="361"/>
      <c r="B13" s="151" t="s">
        <v>371</v>
      </c>
      <c r="C13" s="104">
        <v>500</v>
      </c>
      <c r="D13" s="100"/>
      <c r="E13" s="100"/>
      <c r="F13" s="105" t="s">
        <v>428</v>
      </c>
      <c r="G13">
        <f>20*1.18</f>
        <v>23.599999999999998</v>
      </c>
      <c r="H13">
        <v>23.6</v>
      </c>
      <c r="I13" t="s">
        <v>296</v>
      </c>
    </row>
    <row r="14" spans="1:9" ht="16" thickBot="1" x14ac:dyDescent="0.25">
      <c r="A14" s="362"/>
      <c r="B14" s="151" t="s">
        <v>373</v>
      </c>
      <c r="C14" s="104">
        <f>C13*C12</f>
        <v>25000</v>
      </c>
      <c r="D14" s="100"/>
      <c r="E14" s="100"/>
      <c r="F14" s="203"/>
    </row>
    <row r="15" spans="1:9" x14ac:dyDescent="0.2">
      <c r="A15" s="152" t="s">
        <v>372</v>
      </c>
      <c r="B15" s="107">
        <v>1</v>
      </c>
      <c r="C15" s="104">
        <v>25000</v>
      </c>
      <c r="D15" s="100"/>
      <c r="E15" s="100"/>
      <c r="F15" s="105" t="s">
        <v>376</v>
      </c>
    </row>
    <row r="16" spans="1:9" x14ac:dyDescent="0.2">
      <c r="A16" s="106" t="s">
        <v>374</v>
      </c>
      <c r="B16" s="107">
        <v>0.626</v>
      </c>
      <c r="C16" s="104">
        <f>C15*B16</f>
        <v>15650</v>
      </c>
      <c r="D16" s="100"/>
      <c r="E16" s="100"/>
      <c r="F16" s="105" t="s">
        <v>375</v>
      </c>
      <c r="G16">
        <f>SUM(G11:G13)</f>
        <v>1091.1999999999998</v>
      </c>
      <c r="H16">
        <f>SUM(H11:H13)</f>
        <v>884.6</v>
      </c>
    </row>
    <row r="17" spans="1:21" ht="16" thickBot="1" x14ac:dyDescent="0.25">
      <c r="A17" s="153" t="s">
        <v>364</v>
      </c>
      <c r="B17" s="154">
        <v>0.374</v>
      </c>
      <c r="C17" s="155">
        <f>C15-C16</f>
        <v>9350</v>
      </c>
      <c r="D17" s="109"/>
      <c r="E17" s="109"/>
      <c r="F17" s="156" t="s">
        <v>427</v>
      </c>
      <c r="G17">
        <f>G6-G16</f>
        <v>88.800000000000182</v>
      </c>
      <c r="H17">
        <f>H6-H16</f>
        <v>165.39999999999998</v>
      </c>
      <c r="I17" t="s">
        <v>452</v>
      </c>
      <c r="M17">
        <v>10</v>
      </c>
      <c r="N17">
        <v>12</v>
      </c>
      <c r="O17">
        <v>7</v>
      </c>
      <c r="P17">
        <f>O17*N17*M17</f>
        <v>840</v>
      </c>
    </row>
    <row r="18" spans="1:21" ht="15" customHeight="1" x14ac:dyDescent="0.2">
      <c r="A18" s="363" t="s">
        <v>379</v>
      </c>
      <c r="B18" s="123" t="s">
        <v>377</v>
      </c>
      <c r="C18" s="134">
        <f>C6*0.1</f>
        <v>100</v>
      </c>
      <c r="D18" s="123"/>
      <c r="E18" s="123"/>
      <c r="F18" s="124"/>
      <c r="G18">
        <v>28.8</v>
      </c>
      <c r="H18">
        <v>5.4</v>
      </c>
      <c r="I18" t="s">
        <v>450</v>
      </c>
    </row>
    <row r="19" spans="1:21" x14ac:dyDescent="0.2">
      <c r="A19" s="358"/>
      <c r="B19" s="125" t="s">
        <v>371</v>
      </c>
      <c r="C19" s="126">
        <v>600</v>
      </c>
      <c r="D19" s="125"/>
      <c r="E19" s="125"/>
      <c r="F19" s="127" t="s">
        <v>442</v>
      </c>
      <c r="G19">
        <f>G17-G18</f>
        <v>60.000000000000185</v>
      </c>
      <c r="H19">
        <v>60</v>
      </c>
      <c r="I19" t="s">
        <v>451</v>
      </c>
    </row>
    <row r="20" spans="1:21" ht="15" customHeight="1" x14ac:dyDescent="0.2">
      <c r="A20" s="358"/>
      <c r="B20" s="125" t="s">
        <v>234</v>
      </c>
      <c r="C20" s="126">
        <f>C19*C18</f>
        <v>60000</v>
      </c>
      <c r="D20" s="125"/>
      <c r="E20" s="125"/>
      <c r="F20" s="127"/>
    </row>
    <row r="21" spans="1:21" x14ac:dyDescent="0.2">
      <c r="A21" s="128" t="s">
        <v>368</v>
      </c>
      <c r="B21" s="129">
        <v>0.12</v>
      </c>
      <c r="C21" s="126">
        <f>C20*B21</f>
        <v>7200</v>
      </c>
      <c r="D21" s="125"/>
      <c r="E21" s="125"/>
      <c r="F21" s="127"/>
      <c r="G21">
        <v>1100</v>
      </c>
      <c r="H21" t="s">
        <v>563</v>
      </c>
    </row>
    <row r="22" spans="1:21" x14ac:dyDescent="0.2">
      <c r="A22" s="128" t="s">
        <v>365</v>
      </c>
      <c r="B22" s="129">
        <v>0.06</v>
      </c>
      <c r="C22" s="126">
        <f>C21*B22/B21</f>
        <v>3600</v>
      </c>
      <c r="D22" s="125"/>
      <c r="E22" s="125"/>
      <c r="F22" s="355" t="s">
        <v>378</v>
      </c>
      <c r="G22" t="s">
        <v>564</v>
      </c>
      <c r="H22" t="s">
        <v>565</v>
      </c>
    </row>
    <row r="23" spans="1:21" ht="16" thickBot="1" x14ac:dyDescent="0.25">
      <c r="A23" s="135" t="s">
        <v>364</v>
      </c>
      <c r="B23" s="136">
        <v>0.06</v>
      </c>
      <c r="C23" s="137">
        <f>C21-C22</f>
        <v>3600</v>
      </c>
      <c r="D23" s="138"/>
      <c r="E23" s="138"/>
      <c r="F23" s="359"/>
      <c r="G23">
        <v>1</v>
      </c>
      <c r="H23">
        <v>100</v>
      </c>
      <c r="I23" t="s">
        <v>566</v>
      </c>
    </row>
    <row r="24" spans="1:21" ht="15" customHeight="1" x14ac:dyDescent="0.2">
      <c r="A24" s="364" t="s">
        <v>417</v>
      </c>
      <c r="B24" s="97" t="s">
        <v>418</v>
      </c>
      <c r="C24" s="98"/>
      <c r="D24" s="98">
        <v>1000</v>
      </c>
      <c r="E24" s="110">
        <f t="shared" ref="E24:E29" si="0">D24*5</f>
        <v>5000</v>
      </c>
      <c r="F24" s="205" t="s">
        <v>579</v>
      </c>
      <c r="G24">
        <v>2</v>
      </c>
      <c r="H24">
        <v>170</v>
      </c>
      <c r="I24" t="s">
        <v>567</v>
      </c>
    </row>
    <row r="25" spans="1:21" x14ac:dyDescent="0.2">
      <c r="A25" s="365"/>
      <c r="B25" s="100" t="s">
        <v>371</v>
      </c>
      <c r="C25" s="104"/>
      <c r="D25" s="206">
        <v>2000</v>
      </c>
      <c r="E25" s="104">
        <f t="shared" si="0"/>
        <v>10000</v>
      </c>
      <c r="F25" s="105" t="s">
        <v>495</v>
      </c>
      <c r="G25">
        <v>3</v>
      </c>
      <c r="H25">
        <v>240</v>
      </c>
      <c r="I25" t="s">
        <v>568</v>
      </c>
    </row>
    <row r="26" spans="1:21" ht="15" customHeight="1" x14ac:dyDescent="0.2">
      <c r="A26" s="365"/>
      <c r="B26" s="100" t="s">
        <v>234</v>
      </c>
      <c r="C26" s="104"/>
      <c r="D26" s="104">
        <f>D25*D24</f>
        <v>2000000</v>
      </c>
      <c r="E26" s="104">
        <f t="shared" si="0"/>
        <v>10000000</v>
      </c>
      <c r="F26" s="105"/>
      <c r="G26">
        <v>4</v>
      </c>
      <c r="H26">
        <v>310</v>
      </c>
    </row>
    <row r="27" spans="1:21" x14ac:dyDescent="0.2">
      <c r="A27" s="106" t="s">
        <v>368</v>
      </c>
      <c r="B27" s="107">
        <v>0.18</v>
      </c>
      <c r="C27" s="104"/>
      <c r="D27" s="104">
        <f>D26*B27</f>
        <v>360000</v>
      </c>
      <c r="E27" s="104">
        <f t="shared" si="0"/>
        <v>1800000</v>
      </c>
      <c r="F27" s="105"/>
      <c r="G27">
        <v>5</v>
      </c>
      <c r="H27">
        <v>380</v>
      </c>
    </row>
    <row r="28" spans="1:21" x14ac:dyDescent="0.2">
      <c r="A28" s="106" t="s">
        <v>419</v>
      </c>
      <c r="B28" s="107">
        <v>0.06</v>
      </c>
      <c r="C28" s="104"/>
      <c r="D28" s="104">
        <f>D26*B28</f>
        <v>120000</v>
      </c>
      <c r="E28" s="104">
        <f t="shared" si="0"/>
        <v>600000</v>
      </c>
      <c r="F28" s="366" t="s">
        <v>441</v>
      </c>
      <c r="G28">
        <v>6</v>
      </c>
      <c r="H28">
        <v>450</v>
      </c>
    </row>
    <row r="29" spans="1:21" ht="16" thickBot="1" x14ac:dyDescent="0.25">
      <c r="A29" s="153" t="s">
        <v>364</v>
      </c>
      <c r="B29" s="154">
        <v>0.12</v>
      </c>
      <c r="C29" s="159"/>
      <c r="D29" s="159">
        <f>D27-D28</f>
        <v>240000</v>
      </c>
      <c r="E29" s="104">
        <f t="shared" si="0"/>
        <v>1200000</v>
      </c>
      <c r="F29" s="367"/>
      <c r="G29">
        <v>7</v>
      </c>
      <c r="H29">
        <v>520</v>
      </c>
      <c r="T29">
        <v>10500000</v>
      </c>
      <c r="U29">
        <f>T29/T30</f>
        <v>600</v>
      </c>
    </row>
    <row r="30" spans="1:21" x14ac:dyDescent="0.2">
      <c r="A30" s="364" t="s">
        <v>576</v>
      </c>
      <c r="B30" s="207" t="s">
        <v>578</v>
      </c>
      <c r="C30" s="98"/>
      <c r="D30" s="98">
        <v>1</v>
      </c>
      <c r="E30" s="110">
        <f>D30*7</f>
        <v>7</v>
      </c>
      <c r="F30" s="103" t="s">
        <v>580</v>
      </c>
      <c r="H30" s="64"/>
      <c r="T30" s="204">
        <v>17500</v>
      </c>
      <c r="U30">
        <f>U29/70</f>
        <v>8.5714285714285712</v>
      </c>
    </row>
    <row r="31" spans="1:21" ht="16" thickBot="1" x14ac:dyDescent="0.25">
      <c r="A31" s="365"/>
      <c r="B31" s="106" t="s">
        <v>577</v>
      </c>
      <c r="C31" s="104"/>
      <c r="D31" s="104">
        <v>35000</v>
      </c>
      <c r="E31" s="104">
        <f>D31*7</f>
        <v>245000</v>
      </c>
      <c r="F31" s="105"/>
      <c r="G31">
        <f>D31*10*0.5</f>
        <v>175000</v>
      </c>
      <c r="U31">
        <f>U30*T29</f>
        <v>90000000</v>
      </c>
    </row>
    <row r="32" spans="1:21" s="28" customFormat="1" ht="16" thickBot="1" x14ac:dyDescent="0.25">
      <c r="A32" s="409" t="s">
        <v>242</v>
      </c>
      <c r="B32" s="410"/>
      <c r="C32" s="157">
        <f>C23+C17+C11</f>
        <v>102950</v>
      </c>
      <c r="D32" s="157"/>
      <c r="E32" s="157"/>
      <c r="F32" s="158" t="s">
        <v>440</v>
      </c>
      <c r="G32" s="28">
        <v>8</v>
      </c>
      <c r="H32">
        <v>590</v>
      </c>
    </row>
    <row r="33" spans="1:9" ht="16" x14ac:dyDescent="0.2">
      <c r="A33" s="111" t="s">
        <v>473</v>
      </c>
      <c r="B33" s="112" t="s">
        <v>339</v>
      </c>
      <c r="C33" s="113">
        <f>C23+C17+C11</f>
        <v>102950</v>
      </c>
      <c r="D33" s="113">
        <f>(C33+D31*0.5)*10+(D29)</f>
        <v>1444500</v>
      </c>
      <c r="E33" s="113">
        <f t="shared" ref="E33:E38" si="1">D33*7</f>
        <v>10111500</v>
      </c>
      <c r="F33" s="112" t="s">
        <v>433</v>
      </c>
      <c r="G33" s="28">
        <v>9</v>
      </c>
      <c r="H33">
        <v>660</v>
      </c>
    </row>
    <row r="34" spans="1:9" ht="32" x14ac:dyDescent="0.2">
      <c r="A34" s="100" t="s">
        <v>474</v>
      </c>
      <c r="B34" s="114" t="s">
        <v>338</v>
      </c>
      <c r="C34" s="115">
        <f>C23+C17+C11</f>
        <v>102950</v>
      </c>
      <c r="D34" s="115">
        <f>(C34+D31*0.5)*20+(D29)</f>
        <v>2649000</v>
      </c>
      <c r="E34" s="113">
        <f t="shared" si="1"/>
        <v>18543000</v>
      </c>
      <c r="F34" s="112" t="s">
        <v>382</v>
      </c>
      <c r="G34" s="199">
        <v>10</v>
      </c>
      <c r="H34">
        <v>730</v>
      </c>
    </row>
    <row r="35" spans="1:9" ht="32" x14ac:dyDescent="0.2">
      <c r="A35" s="100" t="s">
        <v>475</v>
      </c>
      <c r="B35" s="114" t="s">
        <v>337</v>
      </c>
      <c r="C35" s="115">
        <f>C23+C17+C11</f>
        <v>102950</v>
      </c>
      <c r="D35" s="115">
        <f>(C35+D31*0.5)*30+(D29)</f>
        <v>3853500</v>
      </c>
      <c r="E35" s="113">
        <f t="shared" si="1"/>
        <v>26974500</v>
      </c>
      <c r="F35" s="112" t="s">
        <v>383</v>
      </c>
      <c r="G35" s="199">
        <v>11</v>
      </c>
      <c r="H35">
        <v>800</v>
      </c>
    </row>
    <row r="36" spans="1:9" ht="32" x14ac:dyDescent="0.2">
      <c r="A36" s="100" t="s">
        <v>476</v>
      </c>
      <c r="B36" s="114" t="s">
        <v>336</v>
      </c>
      <c r="C36" s="115">
        <f>C23+C17+C11</f>
        <v>102950</v>
      </c>
      <c r="D36" s="115">
        <f>(C36+D31*0.5)*40+(D29)</f>
        <v>5058000</v>
      </c>
      <c r="E36" s="113">
        <f t="shared" si="1"/>
        <v>35406000</v>
      </c>
      <c r="F36" s="112" t="s">
        <v>384</v>
      </c>
      <c r="G36" s="199">
        <v>12</v>
      </c>
      <c r="H36">
        <v>870</v>
      </c>
      <c r="I36" t="s">
        <v>569</v>
      </c>
    </row>
    <row r="37" spans="1:9" ht="32" x14ac:dyDescent="0.2">
      <c r="A37" s="100" t="s">
        <v>477</v>
      </c>
      <c r="B37" s="114" t="s">
        <v>335</v>
      </c>
      <c r="C37" s="115">
        <f>C23+C17+C11</f>
        <v>102950</v>
      </c>
      <c r="D37" s="115">
        <f>(C37+D31*0.5)*50+(D29)</f>
        <v>6262500</v>
      </c>
      <c r="E37" s="113">
        <f t="shared" si="1"/>
        <v>43837500</v>
      </c>
      <c r="F37" s="112" t="s">
        <v>385</v>
      </c>
      <c r="H37">
        <f>H36*G21</f>
        <v>957000</v>
      </c>
      <c r="I37" t="s">
        <v>570</v>
      </c>
    </row>
    <row r="38" spans="1:9" ht="16" x14ac:dyDescent="0.2">
      <c r="A38" s="100" t="s">
        <v>478</v>
      </c>
      <c r="B38" s="114" t="s">
        <v>437</v>
      </c>
      <c r="C38" s="115">
        <f>C23+C17+C11</f>
        <v>102950</v>
      </c>
      <c r="D38" s="115">
        <f>(C37+D31*0.5)*60+(D29)</f>
        <v>7467000</v>
      </c>
      <c r="E38" s="113">
        <f t="shared" si="1"/>
        <v>52269000</v>
      </c>
      <c r="F38" s="112" t="s">
        <v>431</v>
      </c>
      <c r="H38">
        <f>H37*2</f>
        <v>1914000</v>
      </c>
      <c r="I38" t="s">
        <v>571</v>
      </c>
    </row>
    <row r="39" spans="1:9" s="1" customFormat="1" ht="16" x14ac:dyDescent="0.2">
      <c r="A39" s="114" t="s">
        <v>479</v>
      </c>
      <c r="B39" s="114" t="s">
        <v>436</v>
      </c>
      <c r="C39" s="104">
        <f>C23+C17+C11</f>
        <v>102950</v>
      </c>
      <c r="D39" s="104">
        <f>D38*2</f>
        <v>14934000</v>
      </c>
      <c r="E39" s="104">
        <f>E38*2</f>
        <v>104538000</v>
      </c>
      <c r="F39" s="112" t="s">
        <v>432</v>
      </c>
      <c r="H39" s="1">
        <f>H38*5</f>
        <v>9570000</v>
      </c>
      <c r="I39" s="28" t="s">
        <v>572</v>
      </c>
    </row>
    <row r="40" spans="1:9" ht="16" x14ac:dyDescent="0.2">
      <c r="A40" s="114" t="s">
        <v>480</v>
      </c>
      <c r="B40" s="114" t="s">
        <v>435</v>
      </c>
      <c r="C40" s="115">
        <f>C23+C17+C11</f>
        <v>102950</v>
      </c>
      <c r="D40" s="115">
        <f>D38*4</f>
        <v>29868000</v>
      </c>
      <c r="E40" s="115">
        <f>E39*2</f>
        <v>209076000</v>
      </c>
      <c r="F40" s="112" t="s">
        <v>434</v>
      </c>
      <c r="H40">
        <f>870*1100</f>
        <v>957000</v>
      </c>
      <c r="I40" s="28" t="s">
        <v>573</v>
      </c>
    </row>
    <row r="41" spans="1:9" ht="16" x14ac:dyDescent="0.2">
      <c r="A41" s="120" t="s">
        <v>481</v>
      </c>
      <c r="B41" s="120" t="s">
        <v>438</v>
      </c>
      <c r="C41" s="121">
        <f>C23+C17+C11</f>
        <v>102950</v>
      </c>
      <c r="D41" s="121">
        <f>D38*6</f>
        <v>44802000</v>
      </c>
      <c r="E41" s="121">
        <f>E38*6+(E29)+(E29)</f>
        <v>316014000</v>
      </c>
      <c r="F41" s="122" t="s">
        <v>439</v>
      </c>
    </row>
    <row r="42" spans="1:9" x14ac:dyDescent="0.2">
      <c r="A42" s="41"/>
      <c r="B42" s="41"/>
      <c r="C42" s="42"/>
      <c r="D42" s="42"/>
      <c r="E42" s="42"/>
      <c r="F42" s="41"/>
    </row>
    <row r="43" spans="1:9" x14ac:dyDescent="0.2">
      <c r="A43" s="41"/>
      <c r="B43" s="41"/>
      <c r="C43" s="42"/>
      <c r="D43" s="42"/>
      <c r="E43" s="42"/>
      <c r="F43" s="41"/>
    </row>
    <row r="44" spans="1:9" x14ac:dyDescent="0.2">
      <c r="A44" s="41"/>
      <c r="B44" s="41"/>
      <c r="C44" s="42"/>
      <c r="D44" s="42"/>
      <c r="E44" s="42"/>
      <c r="F44" s="41"/>
    </row>
  </sheetData>
  <mergeCells count="10">
    <mergeCell ref="A24:A26"/>
    <mergeCell ref="F28:F29"/>
    <mergeCell ref="A30:A31"/>
    <mergeCell ref="A32:B32"/>
    <mergeCell ref="A4:A5"/>
    <mergeCell ref="A6:A8"/>
    <mergeCell ref="F10:F11"/>
    <mergeCell ref="A12:A14"/>
    <mergeCell ref="A18:A20"/>
    <mergeCell ref="F22:F23"/>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49"/>
  <sheetViews>
    <sheetView workbookViewId="0">
      <selection sqref="A1:E1"/>
    </sheetView>
  </sheetViews>
  <sheetFormatPr baseColWidth="10" defaultColWidth="8.83203125" defaultRowHeight="15" x14ac:dyDescent="0.2"/>
  <cols>
    <col min="1" max="1" width="9.33203125" bestFit="1" customWidth="1"/>
    <col min="2" max="2" width="90.33203125" bestFit="1" customWidth="1"/>
    <col min="3" max="3" width="11.1640625" style="43" bestFit="1" customWidth="1"/>
    <col min="4" max="4" width="12.33203125" customWidth="1"/>
    <col min="5" max="5" width="18.5" customWidth="1"/>
    <col min="6" max="6" width="13.5" bestFit="1" customWidth="1"/>
    <col min="16" max="16" width="18" bestFit="1" customWidth="1"/>
    <col min="20" max="20" width="10.83203125" bestFit="1" customWidth="1"/>
  </cols>
  <sheetData>
    <row r="1" spans="1:21" ht="16" thickBot="1" x14ac:dyDescent="0.25">
      <c r="A1" s="368" t="s">
        <v>318</v>
      </c>
      <c r="B1" s="368"/>
      <c r="C1" s="368"/>
      <c r="D1" s="368"/>
      <c r="E1" s="368"/>
      <c r="F1" t="s">
        <v>513</v>
      </c>
      <c r="O1" t="s">
        <v>538</v>
      </c>
      <c r="P1" t="s">
        <v>528</v>
      </c>
      <c r="Q1" t="s">
        <v>529</v>
      </c>
      <c r="R1" t="s">
        <v>530</v>
      </c>
      <c r="S1" t="s">
        <v>541</v>
      </c>
      <c r="T1" t="s">
        <v>542</v>
      </c>
    </row>
    <row r="2" spans="1:21" ht="16" thickBot="1" x14ac:dyDescent="0.25">
      <c r="A2" s="51" t="s">
        <v>290</v>
      </c>
      <c r="B2" s="52" t="s">
        <v>284</v>
      </c>
      <c r="C2" s="52" t="s">
        <v>285</v>
      </c>
      <c r="D2" s="52" t="s">
        <v>286</v>
      </c>
      <c r="E2" s="52" t="s">
        <v>411</v>
      </c>
      <c r="P2" t="s">
        <v>522</v>
      </c>
      <c r="Q2">
        <v>10</v>
      </c>
    </row>
    <row r="3" spans="1:21" ht="16" x14ac:dyDescent="0.2">
      <c r="A3" s="45" t="s">
        <v>291</v>
      </c>
      <c r="B3" s="48" t="s">
        <v>293</v>
      </c>
      <c r="C3" s="49">
        <v>1</v>
      </c>
      <c r="D3" s="46">
        <v>15000000</v>
      </c>
      <c r="E3" s="46">
        <f t="shared" ref="E3:E11" si="0">D3*C3</f>
        <v>15000000</v>
      </c>
      <c r="F3" t="s">
        <v>512</v>
      </c>
      <c r="P3" t="s">
        <v>523</v>
      </c>
      <c r="Q3">
        <v>1</v>
      </c>
      <c r="R3">
        <v>4</v>
      </c>
      <c r="S3">
        <v>50000</v>
      </c>
      <c r="T3">
        <v>80000</v>
      </c>
    </row>
    <row r="4" spans="1:21" ht="16" x14ac:dyDescent="0.2">
      <c r="A4" s="45" t="s">
        <v>514</v>
      </c>
      <c r="B4" s="48" t="s">
        <v>461</v>
      </c>
      <c r="C4" s="45">
        <v>1</v>
      </c>
      <c r="D4" s="46">
        <v>40000000</v>
      </c>
      <c r="E4" s="46">
        <f t="shared" si="0"/>
        <v>40000000</v>
      </c>
      <c r="F4" t="s">
        <v>516</v>
      </c>
      <c r="P4" t="s">
        <v>524</v>
      </c>
      <c r="Q4">
        <v>1</v>
      </c>
      <c r="R4">
        <v>6</v>
      </c>
      <c r="S4">
        <v>50000</v>
      </c>
      <c r="T4">
        <v>150000</v>
      </c>
    </row>
    <row r="5" spans="1:21" ht="16" x14ac:dyDescent="0.2">
      <c r="A5" s="45" t="s">
        <v>515</v>
      </c>
      <c r="B5" s="48" t="s">
        <v>319</v>
      </c>
      <c r="C5" s="45">
        <v>1</v>
      </c>
      <c r="D5" s="46">
        <v>20000000</v>
      </c>
      <c r="E5" s="46">
        <f t="shared" si="0"/>
        <v>20000000</v>
      </c>
      <c r="F5" t="s">
        <v>517</v>
      </c>
      <c r="P5" t="s">
        <v>525</v>
      </c>
      <c r="Q5">
        <v>1</v>
      </c>
      <c r="R5">
        <v>2</v>
      </c>
      <c r="S5">
        <v>35000</v>
      </c>
      <c r="T5">
        <v>50000</v>
      </c>
    </row>
    <row r="6" spans="1:21" x14ac:dyDescent="0.2">
      <c r="A6" s="45" t="s">
        <v>292</v>
      </c>
      <c r="B6" s="47" t="s">
        <v>518</v>
      </c>
      <c r="C6" s="45">
        <v>10</v>
      </c>
      <c r="D6" s="46">
        <v>200000</v>
      </c>
      <c r="E6" s="46">
        <f t="shared" si="0"/>
        <v>2000000</v>
      </c>
      <c r="F6" t="s">
        <v>519</v>
      </c>
      <c r="P6" t="s">
        <v>276</v>
      </c>
      <c r="Q6">
        <v>1</v>
      </c>
      <c r="R6">
        <v>4</v>
      </c>
      <c r="S6">
        <v>75000</v>
      </c>
      <c r="T6">
        <v>140000</v>
      </c>
    </row>
    <row r="7" spans="1:21" x14ac:dyDescent="0.2">
      <c r="A7" s="45" t="s">
        <v>302</v>
      </c>
      <c r="B7" s="47" t="s">
        <v>520</v>
      </c>
      <c r="C7" s="45">
        <v>10</v>
      </c>
      <c r="D7" s="46">
        <v>200000</v>
      </c>
      <c r="E7" s="46">
        <f t="shared" si="0"/>
        <v>2000000</v>
      </c>
      <c r="P7" t="s">
        <v>526</v>
      </c>
      <c r="Q7">
        <v>3</v>
      </c>
      <c r="R7">
        <v>9</v>
      </c>
      <c r="S7">
        <v>150000</v>
      </c>
      <c r="T7">
        <v>270000</v>
      </c>
    </row>
    <row r="8" spans="1:21" x14ac:dyDescent="0.2">
      <c r="A8" s="45" t="s">
        <v>305</v>
      </c>
      <c r="B8" s="47" t="s">
        <v>472</v>
      </c>
      <c r="C8" s="45">
        <v>1</v>
      </c>
      <c r="D8" s="46">
        <v>500000</v>
      </c>
      <c r="E8" s="46">
        <f t="shared" si="0"/>
        <v>500000</v>
      </c>
      <c r="P8" t="s">
        <v>527</v>
      </c>
      <c r="Q8">
        <v>2</v>
      </c>
      <c r="R8">
        <v>21</v>
      </c>
      <c r="S8">
        <v>70000</v>
      </c>
      <c r="T8">
        <v>420000</v>
      </c>
    </row>
    <row r="9" spans="1:21" x14ac:dyDescent="0.2">
      <c r="A9" s="45" t="s">
        <v>306</v>
      </c>
      <c r="B9" s="47" t="s">
        <v>553</v>
      </c>
      <c r="C9" s="45">
        <v>1</v>
      </c>
      <c r="D9" s="46">
        <v>7500000</v>
      </c>
      <c r="E9" s="46">
        <f t="shared" si="0"/>
        <v>7500000</v>
      </c>
      <c r="F9" t="s">
        <v>521</v>
      </c>
      <c r="P9" t="s">
        <v>539</v>
      </c>
      <c r="Q9">
        <v>2</v>
      </c>
      <c r="R9">
        <v>10</v>
      </c>
      <c r="S9">
        <v>60000</v>
      </c>
      <c r="T9">
        <v>150000</v>
      </c>
    </row>
    <row r="10" spans="1:21" x14ac:dyDescent="0.2">
      <c r="A10" s="45" t="s">
        <v>307</v>
      </c>
      <c r="B10" s="47" t="s">
        <v>551</v>
      </c>
      <c r="C10" s="45">
        <v>120</v>
      </c>
      <c r="D10" s="46">
        <v>83000</v>
      </c>
      <c r="E10" s="46">
        <f t="shared" si="0"/>
        <v>9960000</v>
      </c>
    </row>
    <row r="11" spans="1:21" x14ac:dyDescent="0.2">
      <c r="A11" s="45" t="s">
        <v>308</v>
      </c>
      <c r="B11" s="47" t="s">
        <v>546</v>
      </c>
      <c r="C11" s="45">
        <v>1</v>
      </c>
      <c r="D11" s="46">
        <v>3040000</v>
      </c>
      <c r="E11" s="46">
        <f t="shared" si="0"/>
        <v>3040000</v>
      </c>
    </row>
    <row r="12" spans="1:21" x14ac:dyDescent="0.2">
      <c r="A12" s="45" t="s">
        <v>412</v>
      </c>
      <c r="B12" s="47" t="s">
        <v>575</v>
      </c>
      <c r="C12" s="45">
        <v>1</v>
      </c>
      <c r="D12" s="46">
        <v>500000</v>
      </c>
      <c r="E12" s="46">
        <f>D12*C12</f>
        <v>500000</v>
      </c>
    </row>
    <row r="13" spans="1:21" x14ac:dyDescent="0.2">
      <c r="A13" s="58"/>
      <c r="B13" s="61" t="s">
        <v>471</v>
      </c>
      <c r="C13" s="59"/>
      <c r="D13" s="60"/>
      <c r="E13" s="63">
        <f>SUM(E3:E12)</f>
        <v>100500000</v>
      </c>
      <c r="P13" t="s">
        <v>540</v>
      </c>
      <c r="U13" t="s">
        <v>543</v>
      </c>
    </row>
    <row r="14" spans="1:21" ht="16" thickBot="1" x14ac:dyDescent="0.25">
      <c r="A14" s="368" t="s">
        <v>557</v>
      </c>
      <c r="B14" s="368"/>
      <c r="C14" s="368"/>
      <c r="D14" s="368"/>
      <c r="E14" s="368"/>
      <c r="P14" t="s">
        <v>276</v>
      </c>
      <c r="Q14">
        <v>1</v>
      </c>
      <c r="R14">
        <v>3</v>
      </c>
      <c r="S14">
        <v>45000</v>
      </c>
      <c r="T14">
        <v>35000</v>
      </c>
      <c r="U14">
        <f>7*(T14+S14)</f>
        <v>560000</v>
      </c>
    </row>
    <row r="15" spans="1:21" ht="16" thickBot="1" x14ac:dyDescent="0.25">
      <c r="A15" s="51" t="s">
        <v>290</v>
      </c>
      <c r="B15" s="52" t="s">
        <v>284</v>
      </c>
      <c r="C15" s="52" t="s">
        <v>285</v>
      </c>
      <c r="D15" s="52" t="s">
        <v>286</v>
      </c>
      <c r="E15" s="52" t="s">
        <v>282</v>
      </c>
    </row>
    <row r="16" spans="1:21" x14ac:dyDescent="0.2">
      <c r="A16" s="45">
        <v>1</v>
      </c>
      <c r="B16" s="47" t="s">
        <v>554</v>
      </c>
      <c r="C16" s="45">
        <v>1</v>
      </c>
      <c r="D16" s="46">
        <v>150000</v>
      </c>
      <c r="E16" s="46">
        <f>D16*C16</f>
        <v>150000</v>
      </c>
      <c r="Q16">
        <v>67</v>
      </c>
      <c r="R16">
        <v>28</v>
      </c>
      <c r="S16">
        <f>SUM(S3:S9)</f>
        <v>490000</v>
      </c>
      <c r="T16">
        <f>SUM(T3:T9)</f>
        <v>1260000</v>
      </c>
      <c r="U16">
        <v>560000</v>
      </c>
    </row>
    <row r="17" spans="1:21" x14ac:dyDescent="0.2">
      <c r="A17" s="45">
        <v>2</v>
      </c>
      <c r="B17" s="47" t="s">
        <v>298</v>
      </c>
      <c r="C17" s="45">
        <v>1</v>
      </c>
      <c r="D17" s="46">
        <v>20000</v>
      </c>
      <c r="E17" s="46">
        <f t="shared" ref="E17:E23" si="1">D17*C17</f>
        <v>20000</v>
      </c>
      <c r="T17">
        <v>95</v>
      </c>
      <c r="U17">
        <f>U16+T16+S16</f>
        <v>2310000</v>
      </c>
    </row>
    <row r="18" spans="1:21" x14ac:dyDescent="0.2">
      <c r="A18" s="45">
        <v>3</v>
      </c>
      <c r="B18" s="4" t="s">
        <v>545</v>
      </c>
      <c r="C18" s="45">
        <v>1</v>
      </c>
      <c r="D18" s="46">
        <v>30000</v>
      </c>
      <c r="E18" s="46">
        <f t="shared" si="1"/>
        <v>30000</v>
      </c>
      <c r="U18">
        <f>U17/T17</f>
        <v>24315.78947368421</v>
      </c>
    </row>
    <row r="19" spans="1:21" x14ac:dyDescent="0.2">
      <c r="A19" s="45">
        <v>4</v>
      </c>
      <c r="B19" s="47" t="s">
        <v>416</v>
      </c>
      <c r="C19" s="45">
        <v>1</v>
      </c>
      <c r="D19" s="46">
        <v>25000</v>
      </c>
      <c r="E19" s="46">
        <f t="shared" si="1"/>
        <v>25000</v>
      </c>
    </row>
    <row r="20" spans="1:21" x14ac:dyDescent="0.2">
      <c r="A20" s="45">
        <v>5</v>
      </c>
      <c r="B20" s="47" t="s">
        <v>552</v>
      </c>
      <c r="C20" s="45">
        <v>120</v>
      </c>
      <c r="D20" s="46">
        <v>2000</v>
      </c>
      <c r="E20" s="46">
        <f t="shared" si="1"/>
        <v>240000</v>
      </c>
    </row>
    <row r="21" spans="1:21" x14ac:dyDescent="0.2">
      <c r="A21" s="45">
        <v>6</v>
      </c>
      <c r="B21" s="47" t="s">
        <v>556</v>
      </c>
      <c r="C21" s="45">
        <v>600</v>
      </c>
      <c r="D21" s="46">
        <v>4000</v>
      </c>
      <c r="E21" s="46">
        <f>D21*C21</f>
        <v>2400000</v>
      </c>
    </row>
    <row r="22" spans="1:21" x14ac:dyDescent="0.2">
      <c r="A22" s="45">
        <v>7</v>
      </c>
      <c r="B22" s="47" t="s">
        <v>555</v>
      </c>
      <c r="C22" s="45">
        <v>10</v>
      </c>
      <c r="D22" s="46">
        <v>1000</v>
      </c>
      <c r="E22" s="46">
        <f t="shared" si="1"/>
        <v>10000</v>
      </c>
    </row>
    <row r="23" spans="1:21" ht="16" x14ac:dyDescent="0.2">
      <c r="A23" s="45">
        <v>8</v>
      </c>
      <c r="B23" s="62" t="s">
        <v>559</v>
      </c>
      <c r="C23" s="45">
        <v>7</v>
      </c>
      <c r="D23" s="46">
        <v>50000</v>
      </c>
      <c r="E23" s="46">
        <f t="shared" si="1"/>
        <v>350000</v>
      </c>
    </row>
    <row r="24" spans="1:21" ht="16" x14ac:dyDescent="0.2">
      <c r="A24" s="45">
        <v>9</v>
      </c>
      <c r="B24" s="62" t="s">
        <v>329</v>
      </c>
      <c r="C24" s="49">
        <v>23</v>
      </c>
      <c r="D24" s="46">
        <v>22000</v>
      </c>
      <c r="E24" s="46">
        <f>D24*C24</f>
        <v>506000</v>
      </c>
    </row>
    <row r="25" spans="1:21" ht="16" x14ac:dyDescent="0.2">
      <c r="A25" s="45">
        <v>10</v>
      </c>
      <c r="B25" s="62" t="s">
        <v>526</v>
      </c>
      <c r="C25" s="49">
        <v>12</v>
      </c>
      <c r="D25" s="46">
        <v>35000</v>
      </c>
      <c r="E25" s="46">
        <f>D25*C25</f>
        <v>420000</v>
      </c>
    </row>
    <row r="26" spans="1:21" ht="16" x14ac:dyDescent="0.2">
      <c r="A26" s="45">
        <v>11</v>
      </c>
      <c r="B26" s="62" t="s">
        <v>539</v>
      </c>
      <c r="C26" s="49">
        <v>12</v>
      </c>
      <c r="D26" s="46">
        <v>17500</v>
      </c>
      <c r="E26" s="46">
        <f t="shared" ref="E26:E31" si="2">D26*C26</f>
        <v>210000</v>
      </c>
    </row>
    <row r="27" spans="1:21" ht="16" x14ac:dyDescent="0.2">
      <c r="A27" s="45">
        <v>12</v>
      </c>
      <c r="B27" s="62" t="s">
        <v>547</v>
      </c>
      <c r="C27" s="49">
        <v>7</v>
      </c>
      <c r="D27" s="46">
        <v>30000</v>
      </c>
      <c r="E27" s="46">
        <f t="shared" si="2"/>
        <v>210000</v>
      </c>
    </row>
    <row r="28" spans="1:21" ht="16" x14ac:dyDescent="0.2">
      <c r="A28" s="45">
        <v>13</v>
      </c>
      <c r="B28" s="62" t="s">
        <v>548</v>
      </c>
      <c r="C28" s="49">
        <v>5</v>
      </c>
      <c r="D28" s="46">
        <v>43000</v>
      </c>
      <c r="E28" s="46">
        <f t="shared" si="2"/>
        <v>215000</v>
      </c>
    </row>
    <row r="29" spans="1:21" ht="16" x14ac:dyDescent="0.2">
      <c r="A29" s="45">
        <v>14</v>
      </c>
      <c r="B29" s="62" t="s">
        <v>549</v>
      </c>
      <c r="C29" s="49">
        <v>28</v>
      </c>
      <c r="D29" s="46">
        <v>37500</v>
      </c>
      <c r="E29" s="46">
        <f t="shared" si="2"/>
        <v>1050000</v>
      </c>
    </row>
    <row r="30" spans="1:21" ht="16" x14ac:dyDescent="0.2">
      <c r="A30" s="45">
        <v>15</v>
      </c>
      <c r="B30" s="62" t="s">
        <v>550</v>
      </c>
      <c r="C30" s="45">
        <v>3</v>
      </c>
      <c r="D30" s="46">
        <v>28000</v>
      </c>
      <c r="E30" s="46">
        <f t="shared" si="2"/>
        <v>84000</v>
      </c>
    </row>
    <row r="31" spans="1:21" ht="16" x14ac:dyDescent="0.2">
      <c r="A31" s="45">
        <v>16</v>
      </c>
      <c r="B31" s="62" t="s">
        <v>289</v>
      </c>
      <c r="C31" s="49">
        <v>5</v>
      </c>
      <c r="D31" s="46">
        <v>26000</v>
      </c>
      <c r="E31" s="46">
        <f t="shared" si="2"/>
        <v>130000</v>
      </c>
    </row>
    <row r="32" spans="1:21" ht="16" x14ac:dyDescent="0.2">
      <c r="A32" s="45">
        <v>17</v>
      </c>
      <c r="B32" s="62" t="s">
        <v>574</v>
      </c>
      <c r="C32" s="49">
        <v>1</v>
      </c>
      <c r="D32" s="46">
        <v>2500000</v>
      </c>
      <c r="E32" s="46">
        <f>D32*C32</f>
        <v>2500000</v>
      </c>
    </row>
    <row r="33" spans="1:6" ht="16" x14ac:dyDescent="0.2">
      <c r="A33" s="45">
        <v>18</v>
      </c>
      <c r="B33" s="62" t="s">
        <v>558</v>
      </c>
      <c r="C33" s="49">
        <v>1</v>
      </c>
      <c r="D33" s="46">
        <v>200000</v>
      </c>
      <c r="E33" s="46">
        <f>D33*C33</f>
        <v>200000</v>
      </c>
    </row>
    <row r="34" spans="1:6" x14ac:dyDescent="0.2">
      <c r="A34" s="45"/>
      <c r="B34" s="411" t="s">
        <v>560</v>
      </c>
      <c r="C34" s="412"/>
      <c r="D34" s="413"/>
      <c r="E34" s="46">
        <f>SUM(E16:E33)</f>
        <v>8750000</v>
      </c>
    </row>
    <row r="35" spans="1:6" x14ac:dyDescent="0.2">
      <c r="A35" s="45"/>
      <c r="B35" s="411" t="s">
        <v>561</v>
      </c>
      <c r="C35" s="412"/>
      <c r="D35" s="413"/>
      <c r="E35" s="96">
        <f>E34*12</f>
        <v>105000000</v>
      </c>
    </row>
    <row r="36" spans="1:6" ht="16" thickBot="1" x14ac:dyDescent="0.25">
      <c r="A36" s="368" t="s">
        <v>324</v>
      </c>
      <c r="B36" s="368"/>
      <c r="C36" s="368"/>
      <c r="D36" s="368"/>
      <c r="E36" s="368"/>
    </row>
    <row r="37" spans="1:6" ht="16" thickBot="1" x14ac:dyDescent="0.25">
      <c r="A37" s="51" t="s">
        <v>290</v>
      </c>
      <c r="B37" s="52" t="s">
        <v>284</v>
      </c>
      <c r="C37" s="52" t="s">
        <v>285</v>
      </c>
      <c r="D37" s="52" t="s">
        <v>286</v>
      </c>
      <c r="E37" s="52" t="s">
        <v>409</v>
      </c>
    </row>
    <row r="38" spans="1:6" ht="16" x14ac:dyDescent="0.2">
      <c r="A38" s="45">
        <v>1</v>
      </c>
      <c r="B38" s="48" t="s">
        <v>463</v>
      </c>
      <c r="C38" s="49">
        <v>1</v>
      </c>
      <c r="D38" s="50">
        <v>5000000</v>
      </c>
      <c r="E38" s="46">
        <f>D38*C38</f>
        <v>5000000</v>
      </c>
    </row>
    <row r="39" spans="1:6" ht="16" x14ac:dyDescent="0.2">
      <c r="A39" s="45">
        <v>2</v>
      </c>
      <c r="B39" s="48" t="s">
        <v>485</v>
      </c>
      <c r="C39" s="49">
        <v>1</v>
      </c>
      <c r="D39" s="50">
        <v>50000000</v>
      </c>
      <c r="E39" s="46">
        <v>50000000</v>
      </c>
    </row>
    <row r="40" spans="1:6" ht="16" x14ac:dyDescent="0.2">
      <c r="A40" s="45">
        <v>3</v>
      </c>
      <c r="B40" s="48" t="s">
        <v>562</v>
      </c>
      <c r="C40" s="49">
        <v>1000000</v>
      </c>
      <c r="D40" s="50">
        <v>2</v>
      </c>
      <c r="E40" s="46">
        <f>D40*C40</f>
        <v>2000000</v>
      </c>
    </row>
    <row r="41" spans="1:6" ht="16" x14ac:dyDescent="0.2">
      <c r="A41" s="45">
        <v>4</v>
      </c>
      <c r="B41" s="54" t="s">
        <v>296</v>
      </c>
      <c r="C41" s="45">
        <v>870</v>
      </c>
      <c r="D41" s="55">
        <f>2200*5</f>
        <v>11000</v>
      </c>
      <c r="E41" s="46">
        <f>D41*C41</f>
        <v>9570000</v>
      </c>
    </row>
    <row r="42" spans="1:6" ht="16" x14ac:dyDescent="0.2">
      <c r="A42" s="45">
        <v>5</v>
      </c>
      <c r="B42" s="54" t="s">
        <v>486</v>
      </c>
      <c r="C42" s="45">
        <v>200000</v>
      </c>
      <c r="D42" s="55">
        <v>870</v>
      </c>
      <c r="E42" s="46">
        <f>D42*C42</f>
        <v>174000000</v>
      </c>
    </row>
    <row r="43" spans="1:6" x14ac:dyDescent="0.2">
      <c r="A43" s="45">
        <v>6</v>
      </c>
      <c r="B43" s="4" t="s">
        <v>326</v>
      </c>
      <c r="C43" s="45">
        <v>1</v>
      </c>
      <c r="D43" s="90">
        <v>5400000</v>
      </c>
      <c r="E43" s="90">
        <f>D43</f>
        <v>5400000</v>
      </c>
      <c r="F43" s="64"/>
    </row>
    <row r="44" spans="1:6" x14ac:dyDescent="0.2">
      <c r="A44" s="45">
        <v>8</v>
      </c>
      <c r="B44" s="4" t="s">
        <v>166</v>
      </c>
      <c r="C44" s="45"/>
      <c r="D44" s="46"/>
      <c r="E44" s="63">
        <f>SUM(E38:E43)</f>
        <v>245970000</v>
      </c>
      <c r="F44" s="64"/>
    </row>
    <row r="45" spans="1:6" ht="19" x14ac:dyDescent="0.25">
      <c r="A45" s="91">
        <v>7</v>
      </c>
      <c r="B45" s="369" t="s">
        <v>408</v>
      </c>
      <c r="C45" s="370"/>
      <c r="D45" s="370"/>
      <c r="E45" s="92">
        <f>E44+E35</f>
        <v>350970000</v>
      </c>
      <c r="F45" s="64"/>
    </row>
    <row r="46" spans="1:6" ht="19" x14ac:dyDescent="0.25">
      <c r="A46" s="93">
        <v>8</v>
      </c>
      <c r="B46" s="371" t="s">
        <v>424</v>
      </c>
      <c r="C46" s="372"/>
      <c r="D46" s="372"/>
      <c r="E46" s="94">
        <f>E45+E13</f>
        <v>451470000</v>
      </c>
      <c r="F46" s="64"/>
    </row>
    <row r="47" spans="1:6" x14ac:dyDescent="0.2">
      <c r="A47" s="368" t="s">
        <v>327</v>
      </c>
      <c r="B47" s="368"/>
      <c r="C47" s="368"/>
      <c r="D47" s="368"/>
      <c r="E47" s="368"/>
    </row>
    <row r="48" spans="1:6" ht="16" x14ac:dyDescent="0.2">
      <c r="A48" s="45">
        <v>1</v>
      </c>
      <c r="B48" s="54" t="s">
        <v>297</v>
      </c>
      <c r="C48" s="45">
        <v>50</v>
      </c>
      <c r="D48" s="46">
        <f>2/100*Budgeting!C29</f>
        <v>3660100.0000000005</v>
      </c>
      <c r="E48" s="46">
        <f>D48</f>
        <v>3660100.0000000005</v>
      </c>
    </row>
    <row r="49" spans="1:5" x14ac:dyDescent="0.2">
      <c r="A49" s="45">
        <v>2</v>
      </c>
      <c r="B49" s="56" t="s">
        <v>303</v>
      </c>
      <c r="C49" s="45">
        <v>50</v>
      </c>
      <c r="D49" s="46">
        <v>0</v>
      </c>
      <c r="E49" s="46">
        <f>D49/12</f>
        <v>0</v>
      </c>
    </row>
  </sheetData>
  <mergeCells count="8">
    <mergeCell ref="B45:D45"/>
    <mergeCell ref="B46:D46"/>
    <mergeCell ref="A47:E47"/>
    <mergeCell ref="A1:E1"/>
    <mergeCell ref="A14:E14"/>
    <mergeCell ref="B34:D34"/>
    <mergeCell ref="B35:D35"/>
    <mergeCell ref="A36:E3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J1" sqref="J1"/>
    </sheetView>
  </sheetViews>
  <sheetFormatPr baseColWidth="10" defaultColWidth="8.83203125" defaultRowHeight="15"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44"/>
  <sheetViews>
    <sheetView zoomScale="140" zoomScaleNormal="140" workbookViewId="0">
      <pane ySplit="1" topLeftCell="A2" activePane="bottomLeft" state="frozen"/>
      <selection activeCell="J32" sqref="J32"/>
      <selection pane="bottomLeft" activeCell="A36" sqref="A36:XFD36"/>
    </sheetView>
  </sheetViews>
  <sheetFormatPr baseColWidth="10" defaultColWidth="8.83203125" defaultRowHeight="15" x14ac:dyDescent="0.2"/>
  <cols>
    <col min="1" max="1" width="9.33203125" bestFit="1" customWidth="1"/>
    <col min="2" max="2" width="66.5" customWidth="1"/>
    <col min="3" max="3" width="11.1640625" style="43" customWidth="1"/>
    <col min="4" max="4" width="13.5" bestFit="1" customWidth="1"/>
    <col min="5" max="5" width="18.5" style="43" customWidth="1"/>
    <col min="6" max="6" width="23.1640625" style="43" bestFit="1" customWidth="1"/>
    <col min="7" max="7" width="16.6640625" style="43" bestFit="1" customWidth="1"/>
    <col min="8" max="8" width="12.33203125" bestFit="1" customWidth="1"/>
    <col min="9" max="9" width="20.5" customWidth="1"/>
    <col min="10" max="10" width="31.5" bestFit="1" customWidth="1"/>
    <col min="13" max="13" width="12.5" customWidth="1"/>
    <col min="14" max="14" width="13.5" bestFit="1" customWidth="1"/>
    <col min="15" max="15" width="16.6640625" bestFit="1" customWidth="1"/>
  </cols>
  <sheetData>
    <row r="1" spans="1:16" ht="19.5" customHeight="1" thickBot="1" x14ac:dyDescent="0.3">
      <c r="A1" s="166" t="s">
        <v>290</v>
      </c>
      <c r="B1" s="167" t="s">
        <v>470</v>
      </c>
      <c r="C1" s="167" t="s">
        <v>285</v>
      </c>
      <c r="D1" s="167" t="s">
        <v>286</v>
      </c>
      <c r="E1" s="167" t="s">
        <v>488</v>
      </c>
      <c r="F1" s="167" t="s">
        <v>489</v>
      </c>
      <c r="G1" s="239" t="s">
        <v>490</v>
      </c>
      <c r="H1" s="237" t="s">
        <v>282</v>
      </c>
      <c r="I1" s="217" t="s">
        <v>582</v>
      </c>
      <c r="J1" s="427" t="s">
        <v>626</v>
      </c>
      <c r="K1" s="428"/>
      <c r="L1" s="218"/>
      <c r="M1" s="427" t="s">
        <v>576</v>
      </c>
      <c r="N1" s="428"/>
      <c r="O1" s="427" t="s">
        <v>602</v>
      </c>
      <c r="P1" s="428"/>
    </row>
    <row r="2" spans="1:16" x14ac:dyDescent="0.2">
      <c r="A2" s="429" t="s">
        <v>627</v>
      </c>
      <c r="B2" s="430"/>
      <c r="C2" s="430"/>
      <c r="D2" s="430"/>
      <c r="E2" s="430"/>
      <c r="F2" s="430"/>
      <c r="G2" s="431"/>
      <c r="I2" s="211" t="s">
        <v>583</v>
      </c>
      <c r="J2" t="s">
        <v>610</v>
      </c>
      <c r="M2" t="s">
        <v>598</v>
      </c>
      <c r="N2">
        <v>100000</v>
      </c>
      <c r="O2" t="s">
        <v>523</v>
      </c>
      <c r="P2" t="s">
        <v>597</v>
      </c>
    </row>
    <row r="3" spans="1:16" ht="16" x14ac:dyDescent="0.2">
      <c r="A3" s="240">
        <v>1</v>
      </c>
      <c r="B3" s="48" t="s">
        <v>293</v>
      </c>
      <c r="C3" s="49">
        <v>1</v>
      </c>
      <c r="D3" s="46">
        <v>15000000</v>
      </c>
      <c r="E3" s="50">
        <f>D3*C3</f>
        <v>15000000</v>
      </c>
      <c r="F3" s="50">
        <v>0</v>
      </c>
      <c r="G3" s="241">
        <v>0</v>
      </c>
      <c r="I3" s="214" t="s">
        <v>585</v>
      </c>
      <c r="J3" t="s">
        <v>592</v>
      </c>
      <c r="M3" t="s">
        <v>599</v>
      </c>
      <c r="N3">
        <v>100000</v>
      </c>
      <c r="O3" t="s">
        <v>547</v>
      </c>
      <c r="P3" t="s">
        <v>606</v>
      </c>
    </row>
    <row r="4" spans="1:16" ht="16" x14ac:dyDescent="0.2">
      <c r="A4" s="240">
        <v>2</v>
      </c>
      <c r="B4" s="48" t="s">
        <v>464</v>
      </c>
      <c r="C4" s="45">
        <v>1</v>
      </c>
      <c r="D4" s="46">
        <v>70000000</v>
      </c>
      <c r="E4" s="50">
        <f>D4*C4</f>
        <v>70000000</v>
      </c>
      <c r="F4" s="50">
        <v>140000000</v>
      </c>
      <c r="G4" s="241">
        <v>210000000</v>
      </c>
      <c r="I4" s="213" t="s">
        <v>584</v>
      </c>
      <c r="J4">
        <f>((1200*1500)+(120*250))*2.065/100</f>
        <v>37789.5</v>
      </c>
      <c r="K4" t="s">
        <v>593</v>
      </c>
      <c r="M4" t="s">
        <v>600</v>
      </c>
      <c r="N4">
        <f>SUM(N2:N3)</f>
        <v>200000</v>
      </c>
      <c r="O4" t="s">
        <v>603</v>
      </c>
      <c r="P4" t="s">
        <v>597</v>
      </c>
    </row>
    <row r="5" spans="1:16" ht="16" x14ac:dyDescent="0.2">
      <c r="A5" s="240">
        <v>3</v>
      </c>
      <c r="B5" s="47" t="s">
        <v>466</v>
      </c>
      <c r="C5" s="45">
        <v>1</v>
      </c>
      <c r="D5" s="46">
        <v>3000000</v>
      </c>
      <c r="E5" s="212">
        <v>3000000</v>
      </c>
      <c r="F5" s="50" t="s">
        <v>649</v>
      </c>
      <c r="G5" s="241" t="s">
        <v>649</v>
      </c>
      <c r="I5" s="214" t="s">
        <v>622</v>
      </c>
      <c r="J5">
        <f>J4*10</f>
        <v>377895</v>
      </c>
      <c r="K5" t="s">
        <v>594</v>
      </c>
      <c r="M5" t="s">
        <v>601</v>
      </c>
      <c r="N5" s="50">
        <f>N4*365</f>
        <v>73000000</v>
      </c>
      <c r="O5" t="s">
        <v>276</v>
      </c>
      <c r="P5" t="s">
        <v>607</v>
      </c>
    </row>
    <row r="6" spans="1:16" ht="16" x14ac:dyDescent="0.2">
      <c r="A6" s="240">
        <v>4</v>
      </c>
      <c r="B6" s="47" t="s">
        <v>483</v>
      </c>
      <c r="C6" s="45">
        <v>7</v>
      </c>
      <c r="D6" s="46">
        <v>400000</v>
      </c>
      <c r="E6" s="50">
        <v>1100000</v>
      </c>
      <c r="F6" s="50" t="s">
        <v>649</v>
      </c>
      <c r="G6" s="241" t="s">
        <v>649</v>
      </c>
      <c r="I6" t="s">
        <v>586</v>
      </c>
      <c r="J6">
        <f>J5*7</f>
        <v>2645265</v>
      </c>
      <c r="K6" t="s">
        <v>595</v>
      </c>
      <c r="O6" t="s">
        <v>149</v>
      </c>
      <c r="P6" t="s">
        <v>608</v>
      </c>
    </row>
    <row r="7" spans="1:16" x14ac:dyDescent="0.2">
      <c r="A7" s="240">
        <v>5</v>
      </c>
      <c r="B7" s="47" t="s">
        <v>487</v>
      </c>
      <c r="C7" s="45">
        <v>1</v>
      </c>
      <c r="D7" s="46">
        <v>50000000</v>
      </c>
      <c r="E7" s="50">
        <f>D7*C7</f>
        <v>50000000</v>
      </c>
      <c r="F7" s="50">
        <f>D7*2</f>
        <v>100000000</v>
      </c>
      <c r="G7" s="241">
        <f>D7*3</f>
        <v>150000000</v>
      </c>
    </row>
    <row r="8" spans="1:16" hidden="1" x14ac:dyDescent="0.2">
      <c r="A8" s="240">
        <v>6</v>
      </c>
      <c r="B8" s="47" t="s">
        <v>462</v>
      </c>
      <c r="C8" s="45">
        <v>1</v>
      </c>
      <c r="D8" s="46">
        <v>0</v>
      </c>
      <c r="E8" s="50">
        <f>D8*C8</f>
        <v>0</v>
      </c>
      <c r="F8" s="50">
        <v>0</v>
      </c>
      <c r="G8" s="241">
        <v>0</v>
      </c>
    </row>
    <row r="9" spans="1:16" hidden="1" x14ac:dyDescent="0.2">
      <c r="A9" s="240">
        <v>7</v>
      </c>
      <c r="B9" s="47" t="s">
        <v>630</v>
      </c>
      <c r="C9" s="45">
        <v>1</v>
      </c>
      <c r="D9" s="46">
        <v>0</v>
      </c>
      <c r="E9" s="50">
        <f>D9*C9</f>
        <v>0</v>
      </c>
      <c r="F9" s="50">
        <v>0</v>
      </c>
      <c r="G9" s="241">
        <v>0</v>
      </c>
    </row>
    <row r="10" spans="1:16" hidden="1" x14ac:dyDescent="0.2">
      <c r="A10" s="240">
        <v>8</v>
      </c>
      <c r="B10" s="47" t="s">
        <v>465</v>
      </c>
      <c r="C10" s="45">
        <v>150</v>
      </c>
      <c r="D10" s="46">
        <v>0</v>
      </c>
      <c r="E10" s="50">
        <v>0</v>
      </c>
      <c r="F10" s="50">
        <v>0</v>
      </c>
      <c r="G10" s="241">
        <v>0</v>
      </c>
    </row>
    <row r="11" spans="1:16" x14ac:dyDescent="0.2">
      <c r="A11" s="242">
        <v>9</v>
      </c>
      <c r="B11" s="61" t="s">
        <v>414</v>
      </c>
      <c r="C11" s="59"/>
      <c r="D11" s="60"/>
      <c r="E11" s="161">
        <f>SUM(E3:E10)</f>
        <v>139100000</v>
      </c>
      <c r="F11" s="161">
        <f>SUM(F3:F10)</f>
        <v>240000000</v>
      </c>
      <c r="G11" s="243">
        <f>SUM(G3:G10)</f>
        <v>360000000</v>
      </c>
      <c r="I11" t="s">
        <v>587</v>
      </c>
      <c r="J11">
        <f>J6*2</f>
        <v>5290530</v>
      </c>
      <c r="K11">
        <v>2</v>
      </c>
      <c r="O11" t="s">
        <v>604</v>
      </c>
      <c r="P11" t="s">
        <v>607</v>
      </c>
    </row>
    <row r="12" spans="1:16" x14ac:dyDescent="0.2">
      <c r="A12" s="414" t="s">
        <v>628</v>
      </c>
      <c r="B12" s="415"/>
      <c r="C12" s="415"/>
      <c r="D12" s="415"/>
      <c r="E12" s="415"/>
      <c r="F12" s="415"/>
      <c r="G12" s="416"/>
      <c r="I12" s="214" t="s">
        <v>588</v>
      </c>
      <c r="J12">
        <f>J6*3</f>
        <v>7935795</v>
      </c>
      <c r="K12">
        <v>3</v>
      </c>
      <c r="O12" t="s">
        <v>605</v>
      </c>
      <c r="P12" t="s">
        <v>609</v>
      </c>
    </row>
    <row r="13" spans="1:16" x14ac:dyDescent="0.2">
      <c r="A13" s="240">
        <v>1</v>
      </c>
      <c r="B13" s="47" t="s">
        <v>589</v>
      </c>
      <c r="C13" s="45">
        <v>1</v>
      </c>
      <c r="D13" s="215">
        <v>475000</v>
      </c>
      <c r="E13" s="216">
        <f>D13*C13</f>
        <v>475000</v>
      </c>
      <c r="F13" s="50">
        <v>400000</v>
      </c>
      <c r="G13" s="241">
        <v>400000</v>
      </c>
      <c r="I13" s="214" t="s">
        <v>623</v>
      </c>
      <c r="J13">
        <f>J6*4</f>
        <v>10581060</v>
      </c>
      <c r="K13">
        <v>4</v>
      </c>
    </row>
    <row r="14" spans="1:16" hidden="1" x14ac:dyDescent="0.2">
      <c r="A14" s="240">
        <v>2</v>
      </c>
      <c r="B14" s="47" t="s">
        <v>298</v>
      </c>
      <c r="C14" s="45">
        <v>1</v>
      </c>
      <c r="D14" s="46">
        <v>0</v>
      </c>
      <c r="E14" s="50">
        <v>0</v>
      </c>
      <c r="F14" s="50">
        <v>0</v>
      </c>
      <c r="G14" s="241">
        <v>0</v>
      </c>
      <c r="K14">
        <v>5</v>
      </c>
    </row>
    <row r="15" spans="1:16" hidden="1" x14ac:dyDescent="0.2">
      <c r="A15" s="240">
        <v>3</v>
      </c>
      <c r="B15" s="4" t="s">
        <v>288</v>
      </c>
      <c r="C15" s="45">
        <v>1</v>
      </c>
      <c r="D15" s="46">
        <v>0</v>
      </c>
      <c r="E15" s="50">
        <v>0</v>
      </c>
      <c r="F15" s="50">
        <v>0</v>
      </c>
      <c r="G15" s="241">
        <v>0</v>
      </c>
      <c r="K15">
        <v>6</v>
      </c>
    </row>
    <row r="16" spans="1:16" hidden="1" x14ac:dyDescent="0.2">
      <c r="A16" s="240">
        <v>4</v>
      </c>
      <c r="B16" s="47" t="s">
        <v>416</v>
      </c>
      <c r="C16" s="45">
        <v>1</v>
      </c>
      <c r="D16" s="46">
        <v>0</v>
      </c>
      <c r="E16" s="50">
        <v>0</v>
      </c>
      <c r="F16" s="50">
        <v>0</v>
      </c>
      <c r="G16" s="241">
        <v>0</v>
      </c>
      <c r="K16">
        <v>7</v>
      </c>
    </row>
    <row r="17" spans="1:11" hidden="1" x14ac:dyDescent="0.2">
      <c r="A17" s="240">
        <v>5</v>
      </c>
      <c r="B17" s="47" t="s">
        <v>287</v>
      </c>
      <c r="C17" s="45">
        <v>15</v>
      </c>
      <c r="D17" s="46">
        <v>0</v>
      </c>
      <c r="E17" s="50">
        <v>0</v>
      </c>
      <c r="F17" s="50">
        <v>0</v>
      </c>
      <c r="G17" s="241">
        <v>0</v>
      </c>
      <c r="K17">
        <v>8</v>
      </c>
    </row>
    <row r="18" spans="1:11" hidden="1" x14ac:dyDescent="0.2">
      <c r="A18" s="240">
        <v>6</v>
      </c>
      <c r="B18" s="47" t="s">
        <v>415</v>
      </c>
      <c r="C18" s="45">
        <v>10</v>
      </c>
      <c r="D18" s="46">
        <v>0</v>
      </c>
      <c r="E18" s="50">
        <v>0</v>
      </c>
      <c r="F18" s="50">
        <v>0</v>
      </c>
      <c r="G18" s="241">
        <v>0</v>
      </c>
      <c r="K18">
        <v>9</v>
      </c>
    </row>
    <row r="19" spans="1:11" hidden="1" x14ac:dyDescent="0.2">
      <c r="A19" s="240">
        <v>7</v>
      </c>
      <c r="B19" s="47" t="s">
        <v>300</v>
      </c>
      <c r="C19" s="45">
        <v>1</v>
      </c>
      <c r="D19" s="46">
        <v>0</v>
      </c>
      <c r="E19" s="50">
        <v>0</v>
      </c>
      <c r="F19" s="50">
        <v>0</v>
      </c>
      <c r="G19" s="241">
        <v>0</v>
      </c>
      <c r="K19">
        <v>10</v>
      </c>
    </row>
    <row r="20" spans="1:11" x14ac:dyDescent="0.2">
      <c r="A20" s="240">
        <v>2</v>
      </c>
      <c r="B20" s="47" t="s">
        <v>484</v>
      </c>
      <c r="C20" s="45">
        <v>7</v>
      </c>
      <c r="D20" s="46">
        <v>200000</v>
      </c>
      <c r="E20" s="50">
        <f>D20*C20</f>
        <v>1400000</v>
      </c>
      <c r="F20" s="50">
        <v>2800000</v>
      </c>
      <c r="G20" s="241">
        <v>2800000</v>
      </c>
      <c r="I20" s="213" t="s">
        <v>591</v>
      </c>
      <c r="J20">
        <f>J6*5</f>
        <v>13226325</v>
      </c>
      <c r="K20">
        <v>5</v>
      </c>
    </row>
    <row r="21" spans="1:11" x14ac:dyDescent="0.2">
      <c r="A21" s="240">
        <v>3</v>
      </c>
      <c r="B21" s="424" t="s">
        <v>624</v>
      </c>
      <c r="C21" s="425">
        <v>3</v>
      </c>
      <c r="D21" s="426">
        <v>450000</v>
      </c>
      <c r="E21" s="50">
        <v>440000</v>
      </c>
      <c r="F21" s="50">
        <v>660000</v>
      </c>
      <c r="G21" s="241">
        <v>880000</v>
      </c>
      <c r="I21" s="213" t="s">
        <v>596</v>
      </c>
      <c r="J21">
        <f>J6*6</f>
        <v>15871590</v>
      </c>
      <c r="K21">
        <v>6</v>
      </c>
    </row>
    <row r="22" spans="1:11" ht="16" hidden="1" x14ac:dyDescent="0.2">
      <c r="A22" s="240">
        <v>10</v>
      </c>
      <c r="B22" s="62" t="s">
        <v>193</v>
      </c>
      <c r="C22" s="49">
        <v>3</v>
      </c>
      <c r="D22" s="46">
        <v>0</v>
      </c>
      <c r="E22" s="50">
        <f t="shared" ref="E22:E27" si="0">D22*C22</f>
        <v>0</v>
      </c>
      <c r="F22" s="50">
        <v>0</v>
      </c>
      <c r="G22" s="241">
        <v>0</v>
      </c>
      <c r="K22">
        <v>13</v>
      </c>
    </row>
    <row r="23" spans="1:11" ht="16" hidden="1" x14ac:dyDescent="0.2">
      <c r="A23" s="240">
        <v>11</v>
      </c>
      <c r="B23" s="62" t="s">
        <v>195</v>
      </c>
      <c r="C23" s="49">
        <v>2</v>
      </c>
      <c r="D23" s="46">
        <v>0</v>
      </c>
      <c r="E23" s="50">
        <f t="shared" si="0"/>
        <v>0</v>
      </c>
      <c r="F23" s="50">
        <v>0</v>
      </c>
      <c r="G23" s="241">
        <v>0</v>
      </c>
      <c r="K23">
        <v>14</v>
      </c>
    </row>
    <row r="24" spans="1:11" ht="16" hidden="1" x14ac:dyDescent="0.2">
      <c r="A24" s="240">
        <v>12</v>
      </c>
      <c r="B24" s="62" t="s">
        <v>196</v>
      </c>
      <c r="C24" s="49">
        <v>1</v>
      </c>
      <c r="D24" s="46">
        <v>0</v>
      </c>
      <c r="E24" s="50">
        <f t="shared" si="0"/>
        <v>0</v>
      </c>
      <c r="F24" s="50">
        <v>0</v>
      </c>
      <c r="G24" s="241">
        <v>0</v>
      </c>
      <c r="K24">
        <v>15</v>
      </c>
    </row>
    <row r="25" spans="1:11" ht="16" hidden="1" x14ac:dyDescent="0.2">
      <c r="A25" s="240">
        <v>13</v>
      </c>
      <c r="B25" s="62" t="s">
        <v>304</v>
      </c>
      <c r="C25" s="49">
        <v>1</v>
      </c>
      <c r="D25" s="46">
        <v>0</v>
      </c>
      <c r="E25" s="50">
        <f t="shared" si="0"/>
        <v>0</v>
      </c>
      <c r="F25" s="50">
        <v>0</v>
      </c>
      <c r="G25" s="241">
        <v>0</v>
      </c>
      <c r="K25">
        <v>16</v>
      </c>
    </row>
    <row r="26" spans="1:11" ht="16" hidden="1" x14ac:dyDescent="0.2">
      <c r="A26" s="240">
        <v>14</v>
      </c>
      <c r="B26" s="62" t="s">
        <v>198</v>
      </c>
      <c r="C26" s="49">
        <v>3</v>
      </c>
      <c r="D26" s="46">
        <v>0</v>
      </c>
      <c r="E26" s="50">
        <f t="shared" si="0"/>
        <v>0</v>
      </c>
      <c r="F26" s="50">
        <v>0</v>
      </c>
      <c r="G26" s="241">
        <v>0</v>
      </c>
      <c r="K26">
        <v>17</v>
      </c>
    </row>
    <row r="27" spans="1:11" ht="16" hidden="1" x14ac:dyDescent="0.2">
      <c r="A27" s="240">
        <v>15</v>
      </c>
      <c r="B27" s="62" t="s">
        <v>289</v>
      </c>
      <c r="C27" s="49">
        <v>1</v>
      </c>
      <c r="D27" s="46">
        <v>0</v>
      </c>
      <c r="E27" s="50">
        <f t="shared" si="0"/>
        <v>0</v>
      </c>
      <c r="F27" s="50">
        <v>0</v>
      </c>
      <c r="G27" s="241">
        <v>0</v>
      </c>
      <c r="K27">
        <v>18</v>
      </c>
    </row>
    <row r="28" spans="1:11" x14ac:dyDescent="0.2">
      <c r="A28" s="240">
        <v>4</v>
      </c>
      <c r="B28" s="424" t="s">
        <v>650</v>
      </c>
      <c r="C28" s="425"/>
      <c r="D28" s="426"/>
      <c r="E28" s="168">
        <f>SUM(E13:E27)</f>
        <v>2315000</v>
      </c>
      <c r="F28" s="168">
        <f>SUM(F13:F27)</f>
        <v>3860000</v>
      </c>
      <c r="G28" s="244">
        <f>SUM(G13:G27)</f>
        <v>4080000</v>
      </c>
      <c r="J28">
        <f>J6*7</f>
        <v>18516855</v>
      </c>
      <c r="K28">
        <v>7</v>
      </c>
    </row>
    <row r="29" spans="1:11" x14ac:dyDescent="0.2">
      <c r="A29" s="240">
        <v>5</v>
      </c>
      <c r="B29" s="424" t="s">
        <v>590</v>
      </c>
      <c r="C29" s="425"/>
      <c r="D29" s="426"/>
      <c r="E29" s="162">
        <f>E28*7</f>
        <v>16205000</v>
      </c>
      <c r="F29" s="162">
        <f>F28*7</f>
        <v>27020000</v>
      </c>
      <c r="G29" s="234">
        <f>G28*7</f>
        <v>28560000</v>
      </c>
      <c r="K29">
        <v>8</v>
      </c>
    </row>
    <row r="30" spans="1:11" x14ac:dyDescent="0.2">
      <c r="A30" s="240">
        <v>6</v>
      </c>
      <c r="B30" s="421" t="s">
        <v>410</v>
      </c>
      <c r="C30" s="422"/>
      <c r="D30" s="423"/>
      <c r="E30" s="163">
        <f>E29*12</f>
        <v>194460000</v>
      </c>
      <c r="F30" s="163">
        <f>F29*12</f>
        <v>324240000</v>
      </c>
      <c r="G30" s="245">
        <f>G29*12</f>
        <v>342720000</v>
      </c>
      <c r="J30">
        <f>J6*9</f>
        <v>23807385</v>
      </c>
      <c r="K30">
        <v>9</v>
      </c>
    </row>
    <row r="31" spans="1:11" x14ac:dyDescent="0.2">
      <c r="A31" s="414" t="s">
        <v>629</v>
      </c>
      <c r="B31" s="415"/>
      <c r="C31" s="415"/>
      <c r="D31" s="415"/>
      <c r="E31" s="415"/>
      <c r="F31" s="415"/>
      <c r="G31" s="416"/>
      <c r="J31">
        <f>J6*10</f>
        <v>26452650</v>
      </c>
      <c r="K31">
        <v>10</v>
      </c>
    </row>
    <row r="32" spans="1:11" ht="16" x14ac:dyDescent="0.2">
      <c r="A32" s="240">
        <v>1</v>
      </c>
      <c r="B32" s="48" t="s">
        <v>463</v>
      </c>
      <c r="C32" s="49">
        <v>1</v>
      </c>
      <c r="D32" s="50">
        <v>5000000</v>
      </c>
      <c r="E32" s="50">
        <v>0</v>
      </c>
      <c r="F32" s="50">
        <v>5000000</v>
      </c>
      <c r="G32" s="241">
        <v>7500000</v>
      </c>
      <c r="H32" s="238">
        <f>E32/12</f>
        <v>0</v>
      </c>
      <c r="J32">
        <f>J6*11</f>
        <v>29097915</v>
      </c>
      <c r="K32">
        <v>11</v>
      </c>
    </row>
    <row r="33" spans="1:11" ht="16" x14ac:dyDescent="0.2">
      <c r="A33" s="240">
        <v>2</v>
      </c>
      <c r="B33" s="48" t="s">
        <v>467</v>
      </c>
      <c r="C33" s="49">
        <v>1</v>
      </c>
      <c r="D33" s="50">
        <f>1*1200*840</f>
        <v>1008000</v>
      </c>
      <c r="E33" s="50">
        <f>D33*C33</f>
        <v>1008000</v>
      </c>
      <c r="F33" s="50">
        <f>E33*2</f>
        <v>2016000</v>
      </c>
      <c r="G33" s="241">
        <f>E33*3</f>
        <v>3024000</v>
      </c>
      <c r="H33" s="238">
        <f>E33/12</f>
        <v>84000</v>
      </c>
      <c r="J33">
        <f>J6*12</f>
        <v>31743180</v>
      </c>
      <c r="K33">
        <v>12</v>
      </c>
    </row>
    <row r="34" spans="1:11" ht="16" x14ac:dyDescent="0.2">
      <c r="A34" s="240">
        <v>3</v>
      </c>
      <c r="B34" s="54" t="s">
        <v>468</v>
      </c>
      <c r="C34" s="45">
        <v>1</v>
      </c>
      <c r="D34" s="50">
        <v>210000000</v>
      </c>
      <c r="E34" s="50">
        <f>D34</f>
        <v>210000000</v>
      </c>
      <c r="F34" s="50">
        <f>E34*2</f>
        <v>420000000</v>
      </c>
      <c r="G34" s="241">
        <f>E34*3</f>
        <v>630000000</v>
      </c>
      <c r="H34" s="238">
        <v>0</v>
      </c>
      <c r="J34" s="50">
        <f>SUM(J6:J33)</f>
        <v>185168550</v>
      </c>
    </row>
    <row r="35" spans="1:11" x14ac:dyDescent="0.2">
      <c r="A35" s="240">
        <v>4</v>
      </c>
      <c r="B35" s="4" t="s">
        <v>326</v>
      </c>
      <c r="C35" s="45">
        <v>1</v>
      </c>
      <c r="D35" s="90">
        <v>5000000</v>
      </c>
      <c r="E35" s="164">
        <v>0</v>
      </c>
      <c r="F35" s="50">
        <v>10000000</v>
      </c>
      <c r="G35" s="241">
        <v>30000000</v>
      </c>
      <c r="H35" s="238">
        <f>+H34</f>
        <v>0</v>
      </c>
    </row>
    <row r="36" spans="1:11" x14ac:dyDescent="0.2">
      <c r="A36" s="240">
        <v>5</v>
      </c>
      <c r="B36" s="4" t="s">
        <v>486</v>
      </c>
      <c r="C36" s="45">
        <v>1</v>
      </c>
      <c r="D36" s="164">
        <v>80000000</v>
      </c>
      <c r="E36" s="164">
        <v>80000000</v>
      </c>
      <c r="F36" s="50">
        <v>100000000</v>
      </c>
      <c r="G36" s="241">
        <v>100000000</v>
      </c>
      <c r="H36" s="238">
        <f>E36/12</f>
        <v>6666666.666666667</v>
      </c>
    </row>
    <row r="37" spans="1:11" x14ac:dyDescent="0.2">
      <c r="A37" s="240">
        <v>6</v>
      </c>
      <c r="B37" s="4" t="s">
        <v>482</v>
      </c>
      <c r="C37" s="45">
        <v>1</v>
      </c>
      <c r="D37" s="90">
        <v>36000000</v>
      </c>
      <c r="E37" s="164">
        <v>36000000</v>
      </c>
      <c r="F37" s="164">
        <v>50000000</v>
      </c>
      <c r="G37" s="241">
        <v>60000000</v>
      </c>
      <c r="H37" s="238">
        <f>E37/12</f>
        <v>3000000</v>
      </c>
    </row>
    <row r="38" spans="1:11" x14ac:dyDescent="0.2">
      <c r="A38" s="240">
        <v>7</v>
      </c>
      <c r="B38" s="421" t="s">
        <v>410</v>
      </c>
      <c r="C38" s="422"/>
      <c r="D38" s="423"/>
      <c r="E38" s="161">
        <f>SUM(E32:E37)</f>
        <v>327008000</v>
      </c>
      <c r="F38" s="161">
        <f>SUM(F32:F37)</f>
        <v>587016000</v>
      </c>
      <c r="G38" s="243">
        <f>SUM(G32:G37)</f>
        <v>830524000</v>
      </c>
    </row>
    <row r="39" spans="1:11" ht="16" x14ac:dyDescent="0.2">
      <c r="A39" s="246"/>
      <c r="B39" s="417" t="s">
        <v>469</v>
      </c>
      <c r="C39" s="418"/>
      <c r="D39" s="418"/>
      <c r="E39" s="165">
        <f>E38+E30</f>
        <v>521468000</v>
      </c>
      <c r="F39" s="165">
        <f>F38+F30</f>
        <v>911256000</v>
      </c>
      <c r="G39" s="247">
        <f>G38+G30</f>
        <v>1173244000</v>
      </c>
    </row>
    <row r="40" spans="1:11" ht="17" thickBot="1" x14ac:dyDescent="0.25">
      <c r="A40" s="248"/>
      <c r="B40" s="419" t="s">
        <v>424</v>
      </c>
      <c r="C40" s="420"/>
      <c r="D40" s="420"/>
      <c r="E40" s="249">
        <f>E39+E11</f>
        <v>660568000</v>
      </c>
      <c r="F40" s="249">
        <f>F39+F11</f>
        <v>1151256000</v>
      </c>
      <c r="G40" s="250">
        <f>G39+G11</f>
        <v>1533244000</v>
      </c>
    </row>
    <row r="43" spans="1:11" x14ac:dyDescent="0.2">
      <c r="C43" s="43">
        <f>1200*7*12</f>
        <v>100800</v>
      </c>
    </row>
    <row r="44" spans="1:11" x14ac:dyDescent="0.2">
      <c r="E44" s="43">
        <f>((1200*1500)+(120*250))/1320</f>
        <v>1386.3636363636363</v>
      </c>
    </row>
  </sheetData>
  <mergeCells count="13">
    <mergeCell ref="J1:K1"/>
    <mergeCell ref="M1:N1"/>
    <mergeCell ref="O1:P1"/>
    <mergeCell ref="B21:D21"/>
    <mergeCell ref="A2:G2"/>
    <mergeCell ref="A12:G12"/>
    <mergeCell ref="A31:G31"/>
    <mergeCell ref="B39:D39"/>
    <mergeCell ref="B40:D40"/>
    <mergeCell ref="B38:D38"/>
    <mergeCell ref="B28:D28"/>
    <mergeCell ref="B29:D29"/>
    <mergeCell ref="B30:D30"/>
  </mergeCells>
  <hyperlinks>
    <hyperlink ref="I2" r:id="rId1" xr:uid="{00000000-0004-0000-12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
  <sheetViews>
    <sheetView topLeftCell="A11" workbookViewId="0">
      <selection activeCell="J32" sqref="J32"/>
    </sheetView>
  </sheetViews>
  <sheetFormatPr baseColWidth="10" defaultColWidth="8.83203125" defaultRowHeight="15" x14ac:dyDescent="0.2"/>
  <cols>
    <col min="1" max="1" width="9.33203125" bestFit="1" customWidth="1"/>
    <col min="2" max="2" width="90.33203125" bestFit="1" customWidth="1"/>
    <col min="3" max="3" width="11.1640625" style="43" bestFit="1" customWidth="1"/>
    <col min="4" max="4" width="12.33203125" customWidth="1"/>
    <col min="5" max="5" width="18.5" customWidth="1"/>
    <col min="6" max="6" width="13.5" bestFit="1" customWidth="1"/>
  </cols>
  <sheetData>
    <row r="1" spans="1:5" ht="16" thickBot="1" x14ac:dyDescent="0.25">
      <c r="A1" s="368" t="s">
        <v>318</v>
      </c>
      <c r="B1" s="368"/>
      <c r="C1" s="368"/>
      <c r="D1" s="368"/>
      <c r="E1" s="368"/>
    </row>
    <row r="2" spans="1:5" ht="16" thickBot="1" x14ac:dyDescent="0.25">
      <c r="A2" s="51" t="s">
        <v>290</v>
      </c>
      <c r="B2" s="52" t="s">
        <v>284</v>
      </c>
      <c r="C2" s="52" t="s">
        <v>285</v>
      </c>
      <c r="D2" s="52" t="s">
        <v>286</v>
      </c>
      <c r="E2" s="52" t="s">
        <v>411</v>
      </c>
    </row>
    <row r="3" spans="1:5" ht="16" x14ac:dyDescent="0.2">
      <c r="A3" s="45" t="s">
        <v>291</v>
      </c>
      <c r="B3" s="48" t="s">
        <v>293</v>
      </c>
      <c r="C3" s="49">
        <v>1</v>
      </c>
      <c r="D3" s="46">
        <v>15000000</v>
      </c>
      <c r="E3" s="46">
        <f>D3*C3</f>
        <v>15000000</v>
      </c>
    </row>
    <row r="4" spans="1:5" ht="16" x14ac:dyDescent="0.2">
      <c r="A4" s="45" t="s">
        <v>292</v>
      </c>
      <c r="B4" s="48" t="s">
        <v>423</v>
      </c>
      <c r="C4" s="45">
        <v>1</v>
      </c>
      <c r="D4" s="46">
        <v>40000000</v>
      </c>
      <c r="E4" s="46">
        <f>D4*C4</f>
        <v>40000000</v>
      </c>
    </row>
    <row r="5" spans="1:5" ht="16" x14ac:dyDescent="0.2">
      <c r="A5" s="45" t="s">
        <v>302</v>
      </c>
      <c r="B5" s="48" t="s">
        <v>319</v>
      </c>
      <c r="C5" s="45">
        <v>1</v>
      </c>
      <c r="D5" s="46">
        <v>20000000</v>
      </c>
      <c r="E5" s="46">
        <f>D5*C5</f>
        <v>20000000</v>
      </c>
    </row>
    <row r="6" spans="1:5" x14ac:dyDescent="0.2">
      <c r="A6" s="45" t="s">
        <v>305</v>
      </c>
      <c r="B6" s="47" t="s">
        <v>299</v>
      </c>
      <c r="C6" s="45" t="s">
        <v>309</v>
      </c>
      <c r="D6" s="4"/>
      <c r="E6" s="4"/>
    </row>
    <row r="7" spans="1:5" x14ac:dyDescent="0.2">
      <c r="A7" s="45" t="s">
        <v>306</v>
      </c>
      <c r="B7" s="47" t="s">
        <v>328</v>
      </c>
      <c r="C7" s="45" t="s">
        <v>309</v>
      </c>
      <c r="D7" s="4"/>
      <c r="E7" s="4"/>
    </row>
    <row r="8" spans="1:5" x14ac:dyDescent="0.2">
      <c r="A8" s="45" t="s">
        <v>307</v>
      </c>
      <c r="B8" s="47" t="s">
        <v>294</v>
      </c>
      <c r="C8" s="45">
        <v>1</v>
      </c>
      <c r="D8" s="46">
        <v>175000</v>
      </c>
      <c r="E8" s="46">
        <f>D8*C8</f>
        <v>175000</v>
      </c>
    </row>
    <row r="9" spans="1:5" x14ac:dyDescent="0.2">
      <c r="A9" s="45" t="s">
        <v>308</v>
      </c>
      <c r="B9" s="47" t="s">
        <v>320</v>
      </c>
      <c r="C9" s="45">
        <v>1</v>
      </c>
      <c r="D9" s="46">
        <f>1200000*10</f>
        <v>12000000</v>
      </c>
      <c r="E9" s="46">
        <f>D9*C9</f>
        <v>12000000</v>
      </c>
    </row>
    <row r="10" spans="1:5" x14ac:dyDescent="0.2">
      <c r="A10" s="45" t="s">
        <v>412</v>
      </c>
      <c r="B10" s="47" t="s">
        <v>283</v>
      </c>
      <c r="C10" s="45">
        <v>150</v>
      </c>
      <c r="D10" s="46">
        <v>50000</v>
      </c>
      <c r="E10" s="46">
        <f>D10*C10</f>
        <v>7500000</v>
      </c>
    </row>
    <row r="11" spans="1:5" x14ac:dyDescent="0.2">
      <c r="A11" s="58" t="s">
        <v>413</v>
      </c>
      <c r="B11" s="61" t="s">
        <v>414</v>
      </c>
      <c r="C11" s="59"/>
      <c r="D11" s="60"/>
      <c r="E11" s="63">
        <f>SUM(E3:E10)</f>
        <v>94675000</v>
      </c>
    </row>
    <row r="12" spans="1:5" ht="16" thickBot="1" x14ac:dyDescent="0.25">
      <c r="A12" s="368" t="s">
        <v>321</v>
      </c>
      <c r="B12" s="368"/>
      <c r="C12" s="368"/>
      <c r="D12" s="368"/>
      <c r="E12" s="368"/>
    </row>
    <row r="13" spans="1:5" ht="16" thickBot="1" x14ac:dyDescent="0.25">
      <c r="A13" s="51" t="s">
        <v>290</v>
      </c>
      <c r="B13" s="52" t="s">
        <v>284</v>
      </c>
      <c r="C13" s="52" t="s">
        <v>285</v>
      </c>
      <c r="D13" s="52" t="s">
        <v>286</v>
      </c>
      <c r="E13" s="52" t="s">
        <v>282</v>
      </c>
    </row>
    <row r="14" spans="1:5" x14ac:dyDescent="0.2">
      <c r="A14" s="45">
        <v>1</v>
      </c>
      <c r="B14" s="47" t="s">
        <v>295</v>
      </c>
      <c r="C14" s="45">
        <v>1</v>
      </c>
      <c r="D14" s="46">
        <v>100000</v>
      </c>
      <c r="E14" s="46">
        <f>D14*C14</f>
        <v>100000</v>
      </c>
    </row>
    <row r="15" spans="1:5" x14ac:dyDescent="0.2">
      <c r="A15" s="45">
        <v>2</v>
      </c>
      <c r="B15" s="47" t="s">
        <v>298</v>
      </c>
      <c r="C15" s="45">
        <v>1</v>
      </c>
      <c r="D15" s="46">
        <v>15000</v>
      </c>
      <c r="E15" s="46">
        <f t="shared" ref="E15:E21" si="0">D15*C15</f>
        <v>15000</v>
      </c>
    </row>
    <row r="16" spans="1:5" x14ac:dyDescent="0.2">
      <c r="A16" s="45">
        <v>3</v>
      </c>
      <c r="B16" s="4" t="s">
        <v>288</v>
      </c>
      <c r="C16" s="45">
        <v>1</v>
      </c>
      <c r="D16" s="46">
        <v>10000</v>
      </c>
      <c r="E16" s="46">
        <f t="shared" si="0"/>
        <v>10000</v>
      </c>
    </row>
    <row r="17" spans="1:5" x14ac:dyDescent="0.2">
      <c r="A17" s="45">
        <v>4</v>
      </c>
      <c r="B17" s="47" t="s">
        <v>416</v>
      </c>
      <c r="C17" s="45">
        <v>1</v>
      </c>
      <c r="D17" s="46">
        <v>20000</v>
      </c>
      <c r="E17" s="46">
        <f t="shared" si="0"/>
        <v>20000</v>
      </c>
    </row>
    <row r="18" spans="1:5" x14ac:dyDescent="0.2">
      <c r="A18" s="45">
        <v>5</v>
      </c>
      <c r="B18" s="47" t="s">
        <v>287</v>
      </c>
      <c r="C18" s="45">
        <v>15</v>
      </c>
      <c r="D18" s="46">
        <v>3000</v>
      </c>
      <c r="E18" s="46">
        <f t="shared" si="0"/>
        <v>45000</v>
      </c>
    </row>
    <row r="19" spans="1:5" x14ac:dyDescent="0.2">
      <c r="A19" s="45">
        <v>6</v>
      </c>
      <c r="B19" s="47" t="s">
        <v>415</v>
      </c>
      <c r="C19" s="45">
        <v>10</v>
      </c>
      <c r="D19" s="46">
        <v>10000</v>
      </c>
      <c r="E19" s="46">
        <f t="shared" si="0"/>
        <v>100000</v>
      </c>
    </row>
    <row r="20" spans="1:5" x14ac:dyDescent="0.2">
      <c r="A20" s="45">
        <v>7</v>
      </c>
      <c r="B20" s="47" t="s">
        <v>300</v>
      </c>
      <c r="C20" s="45">
        <v>1</v>
      </c>
      <c r="D20" s="46">
        <v>20000</v>
      </c>
      <c r="E20" s="46">
        <f t="shared" si="0"/>
        <v>20000</v>
      </c>
    </row>
    <row r="21" spans="1:5" x14ac:dyDescent="0.2">
      <c r="A21" s="45">
        <v>8</v>
      </c>
      <c r="B21" s="47" t="s">
        <v>301</v>
      </c>
      <c r="C21" s="45">
        <v>1</v>
      </c>
      <c r="D21" s="46">
        <v>100000</v>
      </c>
      <c r="E21" s="46">
        <f t="shared" si="0"/>
        <v>100000</v>
      </c>
    </row>
    <row r="22" spans="1:5" ht="16" x14ac:dyDescent="0.2">
      <c r="A22" s="45">
        <v>9</v>
      </c>
      <c r="B22" s="62" t="s">
        <v>329</v>
      </c>
      <c r="C22" s="49">
        <v>3</v>
      </c>
      <c r="D22" s="46">
        <v>20000</v>
      </c>
      <c r="E22" s="46">
        <f t="shared" ref="E22:E28" si="1">D22*C22</f>
        <v>60000</v>
      </c>
    </row>
    <row r="23" spans="1:5" ht="16" x14ac:dyDescent="0.2">
      <c r="A23" s="45">
        <v>10</v>
      </c>
      <c r="B23" s="62" t="s">
        <v>193</v>
      </c>
      <c r="C23" s="49">
        <v>3</v>
      </c>
      <c r="D23" s="46">
        <v>35000</v>
      </c>
      <c r="E23" s="46">
        <f t="shared" si="1"/>
        <v>105000</v>
      </c>
    </row>
    <row r="24" spans="1:5" ht="16" x14ac:dyDescent="0.2">
      <c r="A24" s="45">
        <v>11</v>
      </c>
      <c r="B24" s="62" t="s">
        <v>195</v>
      </c>
      <c r="C24" s="49">
        <v>2</v>
      </c>
      <c r="D24" s="46">
        <v>20000</v>
      </c>
      <c r="E24" s="46">
        <f t="shared" si="1"/>
        <v>40000</v>
      </c>
    </row>
    <row r="25" spans="1:5" ht="16" x14ac:dyDescent="0.2">
      <c r="A25" s="45">
        <v>12</v>
      </c>
      <c r="B25" s="62" t="s">
        <v>196</v>
      </c>
      <c r="C25" s="49">
        <v>1</v>
      </c>
      <c r="D25" s="46">
        <v>35000</v>
      </c>
      <c r="E25" s="46">
        <f t="shared" si="1"/>
        <v>35000</v>
      </c>
    </row>
    <row r="26" spans="1:5" ht="16" x14ac:dyDescent="0.2">
      <c r="A26" s="45">
        <v>13</v>
      </c>
      <c r="B26" s="62" t="s">
        <v>304</v>
      </c>
      <c r="C26" s="49">
        <v>1</v>
      </c>
      <c r="D26" s="46">
        <v>60000</v>
      </c>
      <c r="E26" s="46">
        <f t="shared" si="1"/>
        <v>60000</v>
      </c>
    </row>
    <row r="27" spans="1:5" ht="16" x14ac:dyDescent="0.2">
      <c r="A27" s="45">
        <v>14</v>
      </c>
      <c r="B27" s="62" t="s">
        <v>198</v>
      </c>
      <c r="C27" s="49">
        <v>3</v>
      </c>
      <c r="D27" s="46">
        <v>30000</v>
      </c>
      <c r="E27" s="46">
        <f t="shared" si="1"/>
        <v>90000</v>
      </c>
    </row>
    <row r="28" spans="1:5" ht="16" x14ac:dyDescent="0.2">
      <c r="A28" s="45">
        <v>15</v>
      </c>
      <c r="B28" s="62" t="s">
        <v>289</v>
      </c>
      <c r="C28" s="49">
        <v>1</v>
      </c>
      <c r="D28" s="46">
        <v>50000</v>
      </c>
      <c r="E28" s="46">
        <f t="shared" si="1"/>
        <v>50000</v>
      </c>
    </row>
    <row r="29" spans="1:5" x14ac:dyDescent="0.2">
      <c r="A29" s="45">
        <v>16</v>
      </c>
      <c r="B29" s="373" t="s">
        <v>322</v>
      </c>
      <c r="C29" s="374"/>
      <c r="D29" s="375"/>
      <c r="E29" s="46">
        <f>SUM(E14:E28)</f>
        <v>850000</v>
      </c>
    </row>
    <row r="30" spans="1:5" x14ac:dyDescent="0.2">
      <c r="A30" s="45">
        <v>17</v>
      </c>
      <c r="B30" s="373" t="s">
        <v>323</v>
      </c>
      <c r="C30" s="374"/>
      <c r="D30" s="375"/>
      <c r="E30" s="95">
        <f>E29*10</f>
        <v>8500000</v>
      </c>
    </row>
    <row r="31" spans="1:5" x14ac:dyDescent="0.2">
      <c r="A31" s="45">
        <v>18</v>
      </c>
      <c r="B31" s="373" t="s">
        <v>410</v>
      </c>
      <c r="C31" s="374"/>
      <c r="D31" s="375"/>
      <c r="E31" s="96">
        <f>E30*12</f>
        <v>102000000</v>
      </c>
    </row>
    <row r="32" spans="1:5" ht="16" thickBot="1" x14ac:dyDescent="0.25">
      <c r="A32" s="368" t="s">
        <v>324</v>
      </c>
      <c r="B32" s="368"/>
      <c r="C32" s="368"/>
      <c r="D32" s="368"/>
      <c r="E32" s="368"/>
    </row>
    <row r="33" spans="1:6" ht="16" thickBot="1" x14ac:dyDescent="0.25">
      <c r="A33" s="51" t="s">
        <v>290</v>
      </c>
      <c r="B33" s="52" t="s">
        <v>284</v>
      </c>
      <c r="C33" s="52" t="s">
        <v>285</v>
      </c>
      <c r="D33" s="52" t="s">
        <v>286</v>
      </c>
      <c r="E33" s="52" t="s">
        <v>409</v>
      </c>
    </row>
    <row r="34" spans="1:6" ht="16" x14ac:dyDescent="0.2">
      <c r="A34" s="45">
        <v>1</v>
      </c>
      <c r="B34" s="48" t="s">
        <v>330</v>
      </c>
      <c r="C34" s="49">
        <v>1</v>
      </c>
      <c r="D34" s="50">
        <v>5000000</v>
      </c>
      <c r="E34" s="46">
        <f>D34*C34</f>
        <v>5000000</v>
      </c>
    </row>
    <row r="35" spans="1:6" ht="16" x14ac:dyDescent="0.2">
      <c r="A35" s="45">
        <v>2</v>
      </c>
      <c r="B35" s="48" t="s">
        <v>191</v>
      </c>
      <c r="C35" s="49">
        <v>1</v>
      </c>
      <c r="D35" s="50">
        <v>2500000</v>
      </c>
      <c r="E35" s="46">
        <f>D35*C35*12</f>
        <v>30000000</v>
      </c>
    </row>
    <row r="36" spans="1:6" ht="16" x14ac:dyDescent="0.2">
      <c r="A36" s="45">
        <v>3</v>
      </c>
      <c r="B36" s="54" t="s">
        <v>296</v>
      </c>
      <c r="C36" s="45">
        <v>800</v>
      </c>
      <c r="D36" s="55">
        <v>100000</v>
      </c>
      <c r="E36" s="46">
        <f>D36*C36</f>
        <v>80000000</v>
      </c>
    </row>
    <row r="37" spans="1:6" x14ac:dyDescent="0.2">
      <c r="A37" s="45">
        <v>4</v>
      </c>
      <c r="B37" s="4" t="s">
        <v>326</v>
      </c>
      <c r="C37" s="45">
        <v>1</v>
      </c>
      <c r="D37" s="90">
        <v>3000000</v>
      </c>
      <c r="E37" s="90">
        <f>D37</f>
        <v>3000000</v>
      </c>
      <c r="F37" s="64"/>
    </row>
    <row r="38" spans="1:6" x14ac:dyDescent="0.2">
      <c r="A38" s="45">
        <v>5</v>
      </c>
      <c r="B38" s="4" t="s">
        <v>166</v>
      </c>
      <c r="C38" s="45"/>
      <c r="D38" s="46"/>
      <c r="E38" s="63">
        <f>SUM(E34:E37)</f>
        <v>118000000</v>
      </c>
      <c r="F38" s="64"/>
    </row>
    <row r="39" spans="1:6" ht="19" x14ac:dyDescent="0.25">
      <c r="A39" s="91">
        <v>6</v>
      </c>
      <c r="B39" s="369" t="s">
        <v>408</v>
      </c>
      <c r="C39" s="370"/>
      <c r="D39" s="370"/>
      <c r="E39" s="92">
        <f>E38+E31</f>
        <v>220000000</v>
      </c>
      <c r="F39" s="64"/>
    </row>
    <row r="40" spans="1:6" ht="19" x14ac:dyDescent="0.25">
      <c r="A40" s="93">
        <v>7</v>
      </c>
      <c r="B40" s="371" t="s">
        <v>424</v>
      </c>
      <c r="C40" s="372"/>
      <c r="D40" s="372"/>
      <c r="E40" s="94">
        <f>E39+E11</f>
        <v>314675000</v>
      </c>
      <c r="F40" s="64"/>
    </row>
    <row r="41" spans="1:6" x14ac:dyDescent="0.2">
      <c r="A41" s="368" t="s">
        <v>327</v>
      </c>
      <c r="B41" s="368"/>
      <c r="C41" s="368"/>
      <c r="D41" s="368"/>
      <c r="E41" s="368"/>
    </row>
    <row r="42" spans="1:6" ht="16" x14ac:dyDescent="0.2">
      <c r="A42" s="45">
        <v>1</v>
      </c>
      <c r="B42" s="54" t="s">
        <v>297</v>
      </c>
      <c r="C42" s="45">
        <v>50</v>
      </c>
      <c r="D42" s="46">
        <f>2/100*Budgeting!C29</f>
        <v>3660100.0000000005</v>
      </c>
      <c r="E42" s="46">
        <f>D42</f>
        <v>3660100.0000000005</v>
      </c>
    </row>
    <row r="43" spans="1:6" x14ac:dyDescent="0.2">
      <c r="A43" s="45">
        <v>2</v>
      </c>
      <c r="B43" s="56" t="s">
        <v>303</v>
      </c>
      <c r="C43" s="45">
        <v>50</v>
      </c>
      <c r="D43" s="46">
        <v>0</v>
      </c>
      <c r="E43" s="46">
        <f>D43/12</f>
        <v>0</v>
      </c>
    </row>
  </sheetData>
  <mergeCells count="9">
    <mergeCell ref="A1:E1"/>
    <mergeCell ref="A12:E12"/>
    <mergeCell ref="A32:E32"/>
    <mergeCell ref="A41:E41"/>
    <mergeCell ref="B39:D39"/>
    <mergeCell ref="B40:D40"/>
    <mergeCell ref="B29:D29"/>
    <mergeCell ref="B30:D30"/>
    <mergeCell ref="B31:D3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45"/>
  <sheetViews>
    <sheetView zoomScale="155" zoomScaleNormal="155" workbookViewId="0">
      <pane ySplit="1" topLeftCell="A27" activePane="bottomLeft" state="frozen"/>
      <selection activeCell="J32" sqref="J32"/>
      <selection pane="bottomLeft" activeCell="E42" sqref="E42"/>
    </sheetView>
  </sheetViews>
  <sheetFormatPr baseColWidth="10" defaultColWidth="8.83203125" defaultRowHeight="15" x14ac:dyDescent="0.2"/>
  <cols>
    <col min="1" max="1" width="31.83203125" style="3" bestFit="1" customWidth="1"/>
    <col min="2" max="2" width="41.5" bestFit="1" customWidth="1"/>
    <col min="3" max="3" width="13.83203125" style="43" bestFit="1" customWidth="1"/>
    <col min="4" max="4" width="17.1640625" style="43" customWidth="1"/>
    <col min="5" max="5" width="18.83203125" style="43" customWidth="1"/>
    <col min="6" max="6" width="49.33203125" customWidth="1"/>
    <col min="7" max="7" width="18.83203125" customWidth="1"/>
    <col min="8" max="8" width="18.5" customWidth="1"/>
    <col min="21" max="21" width="12.33203125" bestFit="1" customWidth="1"/>
  </cols>
  <sheetData>
    <row r="1" spans="1:9" ht="16" x14ac:dyDescent="0.2">
      <c r="A1" s="219" t="s">
        <v>237</v>
      </c>
      <c r="B1" s="220" t="s">
        <v>238</v>
      </c>
      <c r="C1" s="221" t="s">
        <v>334</v>
      </c>
      <c r="D1" s="221" t="s">
        <v>380</v>
      </c>
      <c r="E1" s="221" t="s">
        <v>538</v>
      </c>
      <c r="F1" s="222" t="s">
        <v>104</v>
      </c>
      <c r="G1" s="148" t="s">
        <v>443</v>
      </c>
      <c r="H1" s="148" t="s">
        <v>444</v>
      </c>
    </row>
    <row r="2" spans="1:9" ht="16" x14ac:dyDescent="0.2">
      <c r="A2" s="202" t="s">
        <v>239</v>
      </c>
      <c r="B2" s="100" t="s">
        <v>240</v>
      </c>
      <c r="C2" s="101">
        <v>8000</v>
      </c>
      <c r="D2" s="101"/>
      <c r="E2" s="101"/>
      <c r="F2" s="102" t="s">
        <v>425</v>
      </c>
      <c r="G2" t="s">
        <v>453</v>
      </c>
      <c r="H2" t="s">
        <v>454</v>
      </c>
      <c r="I2" s="149" t="s">
        <v>455</v>
      </c>
    </row>
    <row r="3" spans="1:9" ht="16" x14ac:dyDescent="0.2">
      <c r="A3" s="202" t="s">
        <v>361</v>
      </c>
      <c r="B3" s="209" t="s">
        <v>231</v>
      </c>
      <c r="C3" s="208">
        <f>C2*0.15</f>
        <v>1200</v>
      </c>
      <c r="D3" s="101">
        <f>120*1200</f>
        <v>144000</v>
      </c>
      <c r="E3" s="101"/>
      <c r="F3" s="102" t="s">
        <v>426</v>
      </c>
      <c r="G3" t="s">
        <v>456</v>
      </c>
      <c r="H3" t="s">
        <v>457</v>
      </c>
      <c r="I3" s="149" t="s">
        <v>459</v>
      </c>
    </row>
    <row r="4" spans="1:9" ht="16" x14ac:dyDescent="0.2">
      <c r="A4" s="402" t="s">
        <v>386</v>
      </c>
      <c r="B4" s="100" t="s">
        <v>362</v>
      </c>
      <c r="C4" s="101">
        <f>C3/4</f>
        <v>300</v>
      </c>
      <c r="D4" s="101"/>
      <c r="E4" s="101"/>
      <c r="F4" s="102"/>
      <c r="G4" t="s">
        <v>460</v>
      </c>
      <c r="H4" t="s">
        <v>457</v>
      </c>
      <c r="I4" s="149" t="s">
        <v>458</v>
      </c>
    </row>
    <row r="5" spans="1:9" x14ac:dyDescent="0.2">
      <c r="A5" s="436"/>
      <c r="B5" s="100" t="s">
        <v>363</v>
      </c>
      <c r="C5" s="101">
        <f>ROUNDDOWN((C2-C3)*0.103, 0)</f>
        <v>700</v>
      </c>
      <c r="D5" s="101"/>
      <c r="E5" s="101"/>
      <c r="F5" s="102"/>
    </row>
    <row r="6" spans="1:9" ht="17" thickBot="1" x14ac:dyDescent="0.25">
      <c r="A6" s="437"/>
      <c r="B6" s="109" t="s">
        <v>631</v>
      </c>
      <c r="C6" s="142">
        <v>200</v>
      </c>
      <c r="D6" s="142" t="s">
        <v>648</v>
      </c>
      <c r="E6" s="142"/>
      <c r="F6" s="143"/>
    </row>
    <row r="7" spans="1:9" ht="15.75" customHeight="1" x14ac:dyDescent="0.2">
      <c r="A7" s="357" t="s">
        <v>367</v>
      </c>
      <c r="B7" s="139" t="s">
        <v>232</v>
      </c>
      <c r="C7" s="140">
        <v>1200</v>
      </c>
      <c r="D7" s="139"/>
      <c r="E7" s="139"/>
      <c r="F7" s="141" t="s">
        <v>241</v>
      </c>
      <c r="G7">
        <v>1180</v>
      </c>
      <c r="H7">
        <v>1050</v>
      </c>
      <c r="I7" t="s">
        <v>446</v>
      </c>
    </row>
    <row r="8" spans="1:9" x14ac:dyDescent="0.2">
      <c r="A8" s="358"/>
      <c r="B8" s="125" t="s">
        <v>233</v>
      </c>
      <c r="C8" s="210">
        <v>1500</v>
      </c>
      <c r="D8" s="125"/>
      <c r="E8" s="125"/>
      <c r="F8" s="127" t="s">
        <v>647</v>
      </c>
      <c r="G8">
        <v>1000</v>
      </c>
      <c r="H8">
        <v>1000</v>
      </c>
      <c r="I8" t="s">
        <v>445</v>
      </c>
    </row>
    <row r="9" spans="1:9" x14ac:dyDescent="0.2">
      <c r="A9" s="358"/>
      <c r="B9" s="125" t="s">
        <v>234</v>
      </c>
      <c r="C9" s="126">
        <f>C8*C7</f>
        <v>1800000</v>
      </c>
      <c r="D9" s="160"/>
      <c r="E9" s="125"/>
      <c r="F9" s="127"/>
    </row>
    <row r="10" spans="1:9" x14ac:dyDescent="0.2">
      <c r="A10" s="128" t="s">
        <v>368</v>
      </c>
      <c r="B10" s="129">
        <v>0.18</v>
      </c>
      <c r="C10" s="126">
        <f>C9*B10</f>
        <v>324000</v>
      </c>
      <c r="D10" s="125"/>
      <c r="E10" s="125"/>
      <c r="F10" s="127"/>
    </row>
    <row r="11" spans="1:9" x14ac:dyDescent="0.2">
      <c r="A11" s="128" t="s">
        <v>365</v>
      </c>
      <c r="B11" s="129">
        <v>0.12</v>
      </c>
      <c r="C11" s="126">
        <f>C10*B11/B10</f>
        <v>216000</v>
      </c>
      <c r="D11" s="125"/>
      <c r="E11" s="125"/>
      <c r="F11" s="355" t="s">
        <v>366</v>
      </c>
      <c r="G11">
        <v>820</v>
      </c>
      <c r="H11">
        <v>820</v>
      </c>
      <c r="I11" t="s">
        <v>447</v>
      </c>
    </row>
    <row r="12" spans="1:9" ht="16" thickBot="1" x14ac:dyDescent="0.25">
      <c r="A12" s="130" t="s">
        <v>625</v>
      </c>
      <c r="B12" s="131">
        <v>0.06</v>
      </c>
      <c r="C12" s="132">
        <f>C10-C11</f>
        <v>108000</v>
      </c>
      <c r="D12" s="133"/>
      <c r="E12" s="133"/>
      <c r="F12" s="356"/>
      <c r="G12">
        <f>G11*1.18</f>
        <v>967.59999999999991</v>
      </c>
      <c r="H12">
        <f>H11*1.05</f>
        <v>861</v>
      </c>
      <c r="I12" t="s">
        <v>448</v>
      </c>
    </row>
    <row r="13" spans="1:9" ht="15" customHeight="1" x14ac:dyDescent="0.2">
      <c r="A13" s="360" t="s">
        <v>369</v>
      </c>
      <c r="B13" s="150" t="s">
        <v>370</v>
      </c>
      <c r="C13" s="108">
        <f>C7*0.05</f>
        <v>60</v>
      </c>
      <c r="D13" s="97"/>
      <c r="E13" s="97"/>
      <c r="F13" s="103"/>
      <c r="G13">
        <v>100</v>
      </c>
      <c r="H13" t="s">
        <v>581</v>
      </c>
      <c r="I13" t="s">
        <v>449</v>
      </c>
    </row>
    <row r="14" spans="1:9" x14ac:dyDescent="0.2">
      <c r="A14" s="361"/>
      <c r="B14" s="151" t="s">
        <v>371</v>
      </c>
      <c r="C14" s="104">
        <v>400</v>
      </c>
      <c r="D14" s="100"/>
      <c r="E14" s="100"/>
      <c r="F14" s="105" t="s">
        <v>632</v>
      </c>
      <c r="G14">
        <f>20*1.18</f>
        <v>23.599999999999998</v>
      </c>
      <c r="H14">
        <v>23.6</v>
      </c>
      <c r="I14" t="s">
        <v>296</v>
      </c>
    </row>
    <row r="15" spans="1:9" ht="16" thickBot="1" x14ac:dyDescent="0.25">
      <c r="A15" s="362"/>
      <c r="B15" s="151" t="s">
        <v>373</v>
      </c>
      <c r="C15" s="104">
        <f>C14*C13</f>
        <v>24000</v>
      </c>
      <c r="D15" s="100"/>
      <c r="E15" s="100"/>
      <c r="F15" s="203"/>
    </row>
    <row r="16" spans="1:9" x14ac:dyDescent="0.2">
      <c r="A16" s="152" t="s">
        <v>372</v>
      </c>
      <c r="B16" s="107">
        <v>1</v>
      </c>
      <c r="C16" s="104">
        <v>24000</v>
      </c>
      <c r="D16" s="100"/>
      <c r="E16" s="100"/>
      <c r="F16" s="105" t="s">
        <v>376</v>
      </c>
    </row>
    <row r="17" spans="1:21" x14ac:dyDescent="0.2">
      <c r="A17" s="106" t="s">
        <v>374</v>
      </c>
      <c r="B17" s="107">
        <v>0.626</v>
      </c>
      <c r="C17" s="104">
        <f>C16*B17</f>
        <v>15024</v>
      </c>
      <c r="D17" s="100"/>
      <c r="E17" s="100"/>
      <c r="F17" s="105" t="s">
        <v>375</v>
      </c>
      <c r="G17">
        <f>SUM(G12:G14)</f>
        <v>1091.1999999999998</v>
      </c>
      <c r="H17">
        <f>SUM(H12:H14)</f>
        <v>884.6</v>
      </c>
    </row>
    <row r="18" spans="1:21" ht="16" thickBot="1" x14ac:dyDescent="0.25">
      <c r="A18" s="153" t="s">
        <v>625</v>
      </c>
      <c r="B18" s="154">
        <v>0.374</v>
      </c>
      <c r="C18" s="155">
        <f>C16-C17</f>
        <v>8976</v>
      </c>
      <c r="D18" s="109"/>
      <c r="E18" s="109"/>
      <c r="F18" s="156" t="s">
        <v>427</v>
      </c>
      <c r="G18">
        <f>G7-G17</f>
        <v>88.800000000000182</v>
      </c>
      <c r="H18">
        <f>H7-H17</f>
        <v>165.39999999999998</v>
      </c>
      <c r="I18" t="s">
        <v>452</v>
      </c>
      <c r="M18">
        <v>10</v>
      </c>
      <c r="N18">
        <v>12</v>
      </c>
      <c r="O18">
        <v>7</v>
      </c>
      <c r="P18">
        <f>O18*N18*M18</f>
        <v>840</v>
      </c>
    </row>
    <row r="19" spans="1:21" ht="15" customHeight="1" x14ac:dyDescent="0.2">
      <c r="A19" s="363" t="s">
        <v>379</v>
      </c>
      <c r="B19" s="123" t="s">
        <v>377</v>
      </c>
      <c r="C19" s="134">
        <v>120</v>
      </c>
      <c r="D19" s="123"/>
      <c r="E19" s="123"/>
      <c r="F19" s="124" t="s">
        <v>634</v>
      </c>
      <c r="G19">
        <v>28.8</v>
      </c>
      <c r="H19">
        <v>5.4</v>
      </c>
      <c r="I19" t="s">
        <v>450</v>
      </c>
    </row>
    <row r="20" spans="1:21" x14ac:dyDescent="0.2">
      <c r="A20" s="358"/>
      <c r="B20" s="125" t="s">
        <v>371</v>
      </c>
      <c r="C20" s="126">
        <v>250</v>
      </c>
      <c r="D20" s="125"/>
      <c r="E20" s="125"/>
      <c r="F20" s="127"/>
      <c r="G20">
        <f>G18-G19</f>
        <v>60.000000000000185</v>
      </c>
      <c r="H20">
        <v>60</v>
      </c>
      <c r="I20" t="s">
        <v>451</v>
      </c>
    </row>
    <row r="21" spans="1:21" ht="15" customHeight="1" x14ac:dyDescent="0.2">
      <c r="A21" s="358"/>
      <c r="B21" s="125" t="s">
        <v>234</v>
      </c>
      <c r="C21" s="126">
        <f>C20*C19</f>
        <v>30000</v>
      </c>
      <c r="D21" s="125"/>
      <c r="E21" s="125"/>
      <c r="F21" s="127" t="s">
        <v>633</v>
      </c>
    </row>
    <row r="22" spans="1:21" x14ac:dyDescent="0.2">
      <c r="A22" s="128" t="s">
        <v>368</v>
      </c>
      <c r="B22" s="129">
        <v>0.12</v>
      </c>
      <c r="C22" s="126">
        <f>C21*B22</f>
        <v>3600</v>
      </c>
      <c r="D22" s="125"/>
      <c r="E22" s="125"/>
      <c r="F22" s="127"/>
      <c r="G22">
        <v>1100</v>
      </c>
      <c r="H22" t="s">
        <v>563</v>
      </c>
    </row>
    <row r="23" spans="1:21" x14ac:dyDescent="0.2">
      <c r="A23" s="128" t="s">
        <v>365</v>
      </c>
      <c r="B23" s="129">
        <v>0.06</v>
      </c>
      <c r="C23" s="126">
        <f>C22*B23/B22</f>
        <v>1800</v>
      </c>
      <c r="D23" s="125"/>
      <c r="E23" s="125"/>
      <c r="F23" s="355" t="s">
        <v>378</v>
      </c>
      <c r="G23" t="s">
        <v>564</v>
      </c>
      <c r="H23" t="s">
        <v>565</v>
      </c>
    </row>
    <row r="24" spans="1:21" ht="16" thickBot="1" x14ac:dyDescent="0.25">
      <c r="A24" s="135" t="s">
        <v>625</v>
      </c>
      <c r="B24" s="136">
        <v>0.06</v>
      </c>
      <c r="C24" s="137">
        <f>C22-C23</f>
        <v>1800</v>
      </c>
      <c r="D24" s="138"/>
      <c r="E24" s="138"/>
      <c r="F24" s="359"/>
      <c r="G24">
        <v>1</v>
      </c>
      <c r="H24">
        <v>100</v>
      </c>
      <c r="I24" t="s">
        <v>566</v>
      </c>
    </row>
    <row r="25" spans="1:21" ht="15" customHeight="1" x14ac:dyDescent="0.2">
      <c r="A25" s="364" t="s">
        <v>417</v>
      </c>
      <c r="B25" s="97" t="s">
        <v>635</v>
      </c>
      <c r="C25" s="98"/>
      <c r="D25" s="98">
        <v>2000</v>
      </c>
      <c r="E25" s="110">
        <f t="shared" ref="E25:E30" si="0">D25*5</f>
        <v>10000</v>
      </c>
      <c r="F25" s="205" t="s">
        <v>579</v>
      </c>
      <c r="G25">
        <v>2</v>
      </c>
      <c r="H25">
        <v>170</v>
      </c>
      <c r="I25" t="s">
        <v>567</v>
      </c>
    </row>
    <row r="26" spans="1:21" x14ac:dyDescent="0.2">
      <c r="A26" s="365"/>
      <c r="B26" s="100" t="s">
        <v>636</v>
      </c>
      <c r="C26" s="104"/>
      <c r="D26" s="206">
        <v>2000</v>
      </c>
      <c r="E26" s="104">
        <f t="shared" si="0"/>
        <v>10000</v>
      </c>
      <c r="F26" s="105" t="s">
        <v>637</v>
      </c>
      <c r="G26">
        <v>3</v>
      </c>
      <c r="H26">
        <v>240</v>
      </c>
      <c r="I26" t="s">
        <v>568</v>
      </c>
    </row>
    <row r="27" spans="1:21" ht="15" customHeight="1" x14ac:dyDescent="0.2">
      <c r="A27" s="365"/>
      <c r="B27" s="100" t="s">
        <v>234</v>
      </c>
      <c r="C27" s="104"/>
      <c r="D27" s="104">
        <f>D26*D25</f>
        <v>4000000</v>
      </c>
      <c r="E27" s="104">
        <f t="shared" si="0"/>
        <v>20000000</v>
      </c>
      <c r="F27" s="105"/>
      <c r="G27">
        <v>4</v>
      </c>
      <c r="H27">
        <v>310</v>
      </c>
    </row>
    <row r="28" spans="1:21" x14ac:dyDescent="0.2">
      <c r="A28" s="106" t="s">
        <v>368</v>
      </c>
      <c r="B28" s="107">
        <v>0.18</v>
      </c>
      <c r="C28" s="104"/>
      <c r="D28" s="104">
        <f>D27*B28</f>
        <v>720000</v>
      </c>
      <c r="E28" s="104">
        <f t="shared" si="0"/>
        <v>3600000</v>
      </c>
      <c r="F28" s="105"/>
      <c r="G28">
        <v>5</v>
      </c>
      <c r="H28">
        <v>380</v>
      </c>
    </row>
    <row r="29" spans="1:21" x14ac:dyDescent="0.2">
      <c r="A29" s="106" t="s">
        <v>419</v>
      </c>
      <c r="B29" s="107">
        <v>0.06</v>
      </c>
      <c r="C29" s="104"/>
      <c r="D29" s="104">
        <f>D27*B29</f>
        <v>240000</v>
      </c>
      <c r="E29" s="104">
        <f t="shared" si="0"/>
        <v>1200000</v>
      </c>
      <c r="F29" s="366" t="s">
        <v>441</v>
      </c>
      <c r="G29">
        <v>6</v>
      </c>
      <c r="H29">
        <v>450</v>
      </c>
    </row>
    <row r="30" spans="1:21" ht="16" thickBot="1" x14ac:dyDescent="0.25">
      <c r="A30" s="223" t="s">
        <v>364</v>
      </c>
      <c r="B30" s="224">
        <v>0.12</v>
      </c>
      <c r="C30" s="225"/>
      <c r="D30" s="225">
        <f>D28-D29</f>
        <v>480000</v>
      </c>
      <c r="E30" s="226">
        <f t="shared" si="0"/>
        <v>2400000</v>
      </c>
      <c r="F30" s="432"/>
      <c r="G30">
        <v>7</v>
      </c>
      <c r="H30">
        <v>520</v>
      </c>
      <c r="T30">
        <v>10500000</v>
      </c>
      <c r="U30">
        <f>T30/T31</f>
        <v>600</v>
      </c>
    </row>
    <row r="31" spans="1:21" x14ac:dyDescent="0.2">
      <c r="A31" s="364" t="s">
        <v>576</v>
      </c>
      <c r="B31" s="207" t="s">
        <v>578</v>
      </c>
      <c r="C31" s="98"/>
      <c r="D31" s="98">
        <v>1</v>
      </c>
      <c r="E31" s="110">
        <f>D31*7</f>
        <v>7</v>
      </c>
      <c r="F31" s="103" t="s">
        <v>580</v>
      </c>
      <c r="H31" s="64"/>
      <c r="J31">
        <f>((1500*2000)+(500*200))/(2100)</f>
        <v>1476.1904761904761</v>
      </c>
      <c r="T31" s="204">
        <v>17500</v>
      </c>
      <c r="U31">
        <f>U30/70</f>
        <v>8.5714285714285712</v>
      </c>
    </row>
    <row r="32" spans="1:21" ht="16" thickBot="1" x14ac:dyDescent="0.25">
      <c r="A32" s="433"/>
      <c r="B32" s="227" t="s">
        <v>577</v>
      </c>
      <c r="C32" s="228"/>
      <c r="D32" s="228">
        <v>35000</v>
      </c>
      <c r="E32" s="228">
        <f>D32*7</f>
        <v>245000</v>
      </c>
      <c r="F32" s="156"/>
      <c r="G32">
        <f>D32*10*0.5</f>
        <v>175000</v>
      </c>
      <c r="U32">
        <f>U31*T30</f>
        <v>90000000</v>
      </c>
    </row>
    <row r="33" spans="1:9" s="28" customFormat="1" ht="16" thickBot="1" x14ac:dyDescent="0.25">
      <c r="A33" s="434" t="s">
        <v>242</v>
      </c>
      <c r="B33" s="435"/>
      <c r="C33" s="157">
        <f>C24+C18+C12</f>
        <v>118776</v>
      </c>
      <c r="D33" s="157"/>
      <c r="E33" s="157"/>
      <c r="F33" s="158" t="s">
        <v>440</v>
      </c>
      <c r="G33" s="28">
        <v>8</v>
      </c>
      <c r="H33">
        <v>590</v>
      </c>
    </row>
    <row r="34" spans="1:9" ht="16" x14ac:dyDescent="0.2">
      <c r="A34" s="111" t="s">
        <v>473</v>
      </c>
      <c r="B34" s="112" t="s">
        <v>339</v>
      </c>
      <c r="C34" s="113">
        <f>C24+C18+C12</f>
        <v>118776</v>
      </c>
      <c r="D34" s="113">
        <f>(C34+D32*0.3)*10+(D30)</f>
        <v>1772760</v>
      </c>
      <c r="E34" s="113">
        <f t="shared" ref="E34:E39" si="1">D34*7</f>
        <v>12409320</v>
      </c>
      <c r="F34" s="112" t="s">
        <v>433</v>
      </c>
      <c r="G34" s="28">
        <v>9</v>
      </c>
      <c r="H34">
        <v>660</v>
      </c>
    </row>
    <row r="35" spans="1:9" ht="32" x14ac:dyDescent="0.2">
      <c r="A35" s="100" t="s">
        <v>474</v>
      </c>
      <c r="B35" s="114" t="s">
        <v>338</v>
      </c>
      <c r="C35" s="115">
        <f>C24+C18+C12</f>
        <v>118776</v>
      </c>
      <c r="D35" s="115">
        <f>(C35+D32*0.3)*20+(D30)</f>
        <v>3065520</v>
      </c>
      <c r="E35" s="113">
        <f t="shared" si="1"/>
        <v>21458640</v>
      </c>
      <c r="F35" s="112" t="s">
        <v>382</v>
      </c>
      <c r="G35" s="199">
        <v>10</v>
      </c>
      <c r="H35">
        <v>730</v>
      </c>
    </row>
    <row r="36" spans="1:9" ht="32" x14ac:dyDescent="0.2">
      <c r="A36" s="100" t="s">
        <v>475</v>
      </c>
      <c r="B36" s="114" t="s">
        <v>337</v>
      </c>
      <c r="C36" s="115">
        <f>C24+C18+C12</f>
        <v>118776</v>
      </c>
      <c r="D36" s="115">
        <f>(C36+D32*0.3)*30+(D30)</f>
        <v>4358280</v>
      </c>
      <c r="E36" s="113">
        <f t="shared" si="1"/>
        <v>30507960</v>
      </c>
      <c r="F36" s="112" t="s">
        <v>383</v>
      </c>
      <c r="G36" s="199">
        <v>11</v>
      </c>
      <c r="H36">
        <v>800</v>
      </c>
    </row>
    <row r="37" spans="1:9" ht="32" x14ac:dyDescent="0.2">
      <c r="A37" s="100" t="s">
        <v>476</v>
      </c>
      <c r="B37" s="114" t="s">
        <v>336</v>
      </c>
      <c r="C37" s="115">
        <f>C24+C18+C12</f>
        <v>118776</v>
      </c>
      <c r="D37" s="115">
        <f>(C37+D32*0.3)*40+(D30)</f>
        <v>5651040</v>
      </c>
      <c r="E37" s="113">
        <f t="shared" si="1"/>
        <v>39557280</v>
      </c>
      <c r="F37" s="112" t="s">
        <v>384</v>
      </c>
      <c r="G37" s="199">
        <v>12</v>
      </c>
      <c r="H37">
        <v>870</v>
      </c>
      <c r="I37" t="s">
        <v>569</v>
      </c>
    </row>
    <row r="38" spans="1:9" ht="32" x14ac:dyDescent="0.2">
      <c r="A38" s="100" t="s">
        <v>477</v>
      </c>
      <c r="B38" s="114" t="s">
        <v>335</v>
      </c>
      <c r="C38" s="115">
        <f>C24+C18+C12</f>
        <v>118776</v>
      </c>
      <c r="D38" s="115">
        <f>(C38+D32*0.3)*50+(D30)</f>
        <v>6943800</v>
      </c>
      <c r="E38" s="113">
        <f t="shared" si="1"/>
        <v>48606600</v>
      </c>
      <c r="F38" s="112" t="s">
        <v>385</v>
      </c>
      <c r="H38">
        <f>H37*G22</f>
        <v>957000</v>
      </c>
      <c r="I38" t="s">
        <v>570</v>
      </c>
    </row>
    <row r="39" spans="1:9" ht="16" x14ac:dyDescent="0.2">
      <c r="A39" s="100" t="s">
        <v>478</v>
      </c>
      <c r="B39" s="114" t="s">
        <v>437</v>
      </c>
      <c r="C39" s="115">
        <f>C24+C18+C12</f>
        <v>118776</v>
      </c>
      <c r="D39" s="115">
        <f>(C38+D32*0.3)*60+(D30)</f>
        <v>8236560</v>
      </c>
      <c r="E39" s="113">
        <f t="shared" si="1"/>
        <v>57655920</v>
      </c>
      <c r="F39" s="112" t="s">
        <v>431</v>
      </c>
      <c r="H39">
        <f>H38*2</f>
        <v>1914000</v>
      </c>
      <c r="I39" t="s">
        <v>571</v>
      </c>
    </row>
    <row r="40" spans="1:9" s="1" customFormat="1" ht="16" x14ac:dyDescent="0.2">
      <c r="A40" s="114" t="s">
        <v>479</v>
      </c>
      <c r="B40" s="114" t="s">
        <v>436</v>
      </c>
      <c r="C40" s="104">
        <f>C24+C18+C12</f>
        <v>118776</v>
      </c>
      <c r="D40" s="104">
        <f>D39*2</f>
        <v>16473120</v>
      </c>
      <c r="E40" s="104">
        <f>E39*2</f>
        <v>115311840</v>
      </c>
      <c r="F40" s="112" t="s">
        <v>432</v>
      </c>
      <c r="H40" s="104">
        <f>H39*1500*0.02</f>
        <v>57420000</v>
      </c>
      <c r="I40" s="28" t="s">
        <v>572</v>
      </c>
    </row>
    <row r="41" spans="1:9" ht="16" x14ac:dyDescent="0.2">
      <c r="A41" s="114" t="s">
        <v>480</v>
      </c>
      <c r="B41" s="114" t="s">
        <v>435</v>
      </c>
      <c r="C41" s="115">
        <f>C24+C18+C12</f>
        <v>118776</v>
      </c>
      <c r="D41" s="115">
        <f>D39*4</f>
        <v>32946240</v>
      </c>
      <c r="E41" s="115">
        <f>E40*2</f>
        <v>230623680</v>
      </c>
      <c r="F41" s="112" t="s">
        <v>434</v>
      </c>
      <c r="H41">
        <f>870*1100</f>
        <v>957000</v>
      </c>
      <c r="I41" s="28" t="s">
        <v>573</v>
      </c>
    </row>
    <row r="42" spans="1:9" ht="16" x14ac:dyDescent="0.2">
      <c r="A42" s="120" t="s">
        <v>481</v>
      </c>
      <c r="B42" s="120" t="s">
        <v>438</v>
      </c>
      <c r="C42" s="121">
        <f>C24+C18+C12</f>
        <v>118776</v>
      </c>
      <c r="D42" s="121">
        <f>D39*6</f>
        <v>49419360</v>
      </c>
      <c r="E42" s="121">
        <f>E39*6+(E30)+(E30)</f>
        <v>350735520</v>
      </c>
      <c r="F42" s="122" t="s">
        <v>439</v>
      </c>
    </row>
    <row r="43" spans="1:9" x14ac:dyDescent="0.2">
      <c r="A43" s="41"/>
      <c r="B43" s="41"/>
      <c r="C43" s="42"/>
      <c r="D43" s="42"/>
      <c r="E43" s="42"/>
      <c r="F43" s="41"/>
    </row>
    <row r="44" spans="1:9" x14ac:dyDescent="0.2">
      <c r="A44" s="41"/>
      <c r="B44" s="41"/>
      <c r="C44" s="42"/>
      <c r="D44" s="42"/>
      <c r="E44" s="42"/>
      <c r="F44" s="41"/>
    </row>
    <row r="45" spans="1:9" x14ac:dyDescent="0.2">
      <c r="A45" s="41"/>
      <c r="B45" s="41"/>
      <c r="C45" s="42"/>
      <c r="D45" s="42"/>
      <c r="E45" s="42"/>
      <c r="F45" s="41"/>
    </row>
  </sheetData>
  <mergeCells count="10">
    <mergeCell ref="A25:A27"/>
    <mergeCell ref="F29:F30"/>
    <mergeCell ref="A31:A32"/>
    <mergeCell ref="A33:B33"/>
    <mergeCell ref="A4:A6"/>
    <mergeCell ref="A7:A9"/>
    <mergeCell ref="F11:F12"/>
    <mergeCell ref="A13:A15"/>
    <mergeCell ref="A19:A21"/>
    <mergeCell ref="F23:F24"/>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AB53F-C3AA-134B-B741-3040B144E515}">
  <dimension ref="A1:P60"/>
  <sheetViews>
    <sheetView zoomScale="160" zoomScaleNormal="160" workbookViewId="0">
      <pane ySplit="1" topLeftCell="A2" activePane="bottomLeft" state="frozen"/>
      <selection activeCell="J32" sqref="J32"/>
      <selection pane="bottomLeft" activeCell="H41" sqref="H41"/>
    </sheetView>
  </sheetViews>
  <sheetFormatPr baseColWidth="10" defaultColWidth="8.83203125" defaultRowHeight="15" x14ac:dyDescent="0.2"/>
  <cols>
    <col min="1" max="1" width="9.33203125" bestFit="1" customWidth="1"/>
    <col min="2" max="2" width="66.5" customWidth="1"/>
    <col min="3" max="3" width="18.6640625" style="253" customWidth="1"/>
    <col min="4" max="4" width="13.5" bestFit="1" customWidth="1"/>
    <col min="5" max="5" width="18.5" style="253" customWidth="1"/>
    <col min="6" max="6" width="23.1640625" style="253" bestFit="1" customWidth="1"/>
    <col min="7" max="7" width="16.6640625" style="253" bestFit="1" customWidth="1"/>
    <col min="8" max="8" width="12.33203125" bestFit="1" customWidth="1"/>
    <col min="9" max="9" width="25.5" customWidth="1"/>
    <col min="10" max="10" width="31.5" bestFit="1" customWidth="1"/>
    <col min="13" max="13" width="12.5" customWidth="1"/>
    <col min="14" max="14" width="13.5" bestFit="1" customWidth="1"/>
    <col min="15" max="15" width="16.6640625" bestFit="1" customWidth="1"/>
  </cols>
  <sheetData>
    <row r="1" spans="1:16" ht="19.5" customHeight="1" thickBot="1" x14ac:dyDescent="0.3">
      <c r="A1" s="166" t="s">
        <v>290</v>
      </c>
      <c r="B1" s="167" t="s">
        <v>470</v>
      </c>
      <c r="C1" s="167" t="s">
        <v>285</v>
      </c>
      <c r="D1" s="167" t="s">
        <v>286</v>
      </c>
      <c r="E1" s="167" t="s">
        <v>488</v>
      </c>
      <c r="F1" s="167" t="s">
        <v>489</v>
      </c>
      <c r="G1" s="239" t="s">
        <v>490</v>
      </c>
      <c r="H1" s="237" t="s">
        <v>282</v>
      </c>
      <c r="I1" s="217" t="s">
        <v>582</v>
      </c>
      <c r="J1" s="427" t="s">
        <v>626</v>
      </c>
      <c r="K1" s="428"/>
      <c r="L1" s="218"/>
      <c r="M1" s="427" t="s">
        <v>576</v>
      </c>
      <c r="N1" s="428"/>
      <c r="O1" s="427" t="s">
        <v>602</v>
      </c>
      <c r="P1" s="428"/>
    </row>
    <row r="2" spans="1:16" x14ac:dyDescent="0.2">
      <c r="A2" s="429" t="s">
        <v>627</v>
      </c>
      <c r="B2" s="430"/>
      <c r="C2" s="430"/>
      <c r="D2" s="430"/>
      <c r="E2" s="430"/>
      <c r="F2" s="430"/>
      <c r="G2" s="431"/>
      <c r="I2" s="211" t="s">
        <v>583</v>
      </c>
      <c r="J2" t="s">
        <v>610</v>
      </c>
      <c r="M2" t="s">
        <v>598</v>
      </c>
      <c r="N2">
        <v>100000</v>
      </c>
      <c r="O2" t="s">
        <v>523</v>
      </c>
      <c r="P2" t="s">
        <v>597</v>
      </c>
    </row>
    <row r="3" spans="1:16" ht="16" x14ac:dyDescent="0.2">
      <c r="A3" s="240">
        <v>1</v>
      </c>
      <c r="B3" s="48" t="s">
        <v>293</v>
      </c>
      <c r="C3" s="49">
        <v>1</v>
      </c>
      <c r="D3" s="46">
        <v>15000000</v>
      </c>
      <c r="E3" s="50">
        <f>D3*C3</f>
        <v>15000000</v>
      </c>
      <c r="F3" s="50">
        <v>0</v>
      </c>
      <c r="G3" s="241">
        <v>0</v>
      </c>
      <c r="I3" s="214" t="s">
        <v>585</v>
      </c>
      <c r="J3" t="s">
        <v>592</v>
      </c>
      <c r="M3" t="s">
        <v>599</v>
      </c>
      <c r="N3">
        <v>100000</v>
      </c>
      <c r="O3" t="s">
        <v>547</v>
      </c>
      <c r="P3" t="s">
        <v>606</v>
      </c>
    </row>
    <row r="4" spans="1:16" ht="16" x14ac:dyDescent="0.2">
      <c r="A4" s="240">
        <v>2</v>
      </c>
      <c r="B4" s="48" t="s">
        <v>464</v>
      </c>
      <c r="C4" s="45">
        <v>1</v>
      </c>
      <c r="D4" s="46">
        <v>70000000</v>
      </c>
      <c r="E4" s="50">
        <f>D4*C4</f>
        <v>70000000</v>
      </c>
      <c r="F4" s="50">
        <v>140000000</v>
      </c>
      <c r="G4" s="241">
        <v>210000000</v>
      </c>
      <c r="I4" s="213" t="s">
        <v>584</v>
      </c>
      <c r="J4">
        <f>((1200*1500)+(120*250))*2.065/100</f>
        <v>37789.5</v>
      </c>
      <c r="K4" t="s">
        <v>593</v>
      </c>
      <c r="M4" t="s">
        <v>600</v>
      </c>
      <c r="N4">
        <f>SUM(N2:N3)</f>
        <v>200000</v>
      </c>
      <c r="O4" t="s">
        <v>603</v>
      </c>
      <c r="P4" t="s">
        <v>597</v>
      </c>
    </row>
    <row r="5" spans="1:16" ht="16" x14ac:dyDescent="0.2">
      <c r="A5" s="240">
        <v>3</v>
      </c>
      <c r="B5" s="47" t="s">
        <v>466</v>
      </c>
      <c r="C5" s="45">
        <v>1</v>
      </c>
      <c r="D5" s="46">
        <v>3000000</v>
      </c>
      <c r="E5" s="256">
        <v>3000000</v>
      </c>
      <c r="F5" s="50" t="s">
        <v>649</v>
      </c>
      <c r="G5" s="241" t="s">
        <v>649</v>
      </c>
      <c r="I5" s="214" t="s">
        <v>622</v>
      </c>
      <c r="J5">
        <f>J4*10</f>
        <v>377895</v>
      </c>
      <c r="K5" t="s">
        <v>594</v>
      </c>
      <c r="M5" t="s">
        <v>601</v>
      </c>
      <c r="N5" s="50">
        <f>N4*365</f>
        <v>73000000</v>
      </c>
      <c r="O5" t="s">
        <v>276</v>
      </c>
      <c r="P5" t="s">
        <v>607</v>
      </c>
    </row>
    <row r="6" spans="1:16" ht="16" x14ac:dyDescent="0.2">
      <c r="A6" s="240">
        <v>4</v>
      </c>
      <c r="B6" s="47" t="s">
        <v>651</v>
      </c>
      <c r="C6" s="45">
        <v>7</v>
      </c>
      <c r="D6" s="46">
        <v>800000</v>
      </c>
      <c r="E6" s="50">
        <v>5000000</v>
      </c>
      <c r="F6" s="50" t="s">
        <v>649</v>
      </c>
      <c r="G6" s="241" t="s">
        <v>649</v>
      </c>
      <c r="I6" t="s">
        <v>586</v>
      </c>
      <c r="J6">
        <f>J5*7</f>
        <v>2645265</v>
      </c>
      <c r="K6" t="s">
        <v>595</v>
      </c>
      <c r="O6" t="s">
        <v>149</v>
      </c>
      <c r="P6" t="s">
        <v>608</v>
      </c>
    </row>
    <row r="7" spans="1:16" x14ac:dyDescent="0.2">
      <c r="A7" s="240">
        <v>5</v>
      </c>
      <c r="B7" s="47" t="s">
        <v>487</v>
      </c>
      <c r="C7" s="45">
        <v>1</v>
      </c>
      <c r="D7" s="46">
        <v>50000000</v>
      </c>
      <c r="E7" s="50">
        <f>D7*C7</f>
        <v>50000000</v>
      </c>
      <c r="F7" s="50">
        <f>D7*2</f>
        <v>100000000</v>
      </c>
      <c r="G7" s="241">
        <f>D7*3</f>
        <v>150000000</v>
      </c>
      <c r="H7">
        <f>11/7</f>
        <v>1.5714285714285714</v>
      </c>
    </row>
    <row r="8" spans="1:16" x14ac:dyDescent="0.2">
      <c r="A8" s="240">
        <v>6</v>
      </c>
      <c r="B8" s="47" t="s">
        <v>652</v>
      </c>
      <c r="C8" s="45">
        <v>1</v>
      </c>
      <c r="D8" s="46">
        <v>70000000</v>
      </c>
      <c r="E8" s="50">
        <f>D8*C8</f>
        <v>70000000</v>
      </c>
      <c r="F8" s="50">
        <f>D8*2</f>
        <v>140000000</v>
      </c>
      <c r="G8" s="241">
        <f>D8*3</f>
        <v>210000000</v>
      </c>
    </row>
    <row r="9" spans="1:16" hidden="1" x14ac:dyDescent="0.2">
      <c r="A9" s="240">
        <v>6</v>
      </c>
      <c r="B9" s="47" t="s">
        <v>462</v>
      </c>
      <c r="C9" s="45">
        <v>1</v>
      </c>
      <c r="D9" s="46">
        <v>0</v>
      </c>
      <c r="E9" s="50">
        <f>D9*C9</f>
        <v>0</v>
      </c>
      <c r="F9" s="50">
        <v>0</v>
      </c>
      <c r="G9" s="241">
        <v>0</v>
      </c>
    </row>
    <row r="10" spans="1:16" hidden="1" x14ac:dyDescent="0.2">
      <c r="A10" s="240">
        <v>7</v>
      </c>
      <c r="B10" s="47" t="s">
        <v>630</v>
      </c>
      <c r="C10" s="45">
        <v>1</v>
      </c>
      <c r="D10" s="46">
        <v>0</v>
      </c>
      <c r="E10" s="50">
        <f>D10*C10</f>
        <v>0</v>
      </c>
      <c r="F10" s="50">
        <v>0</v>
      </c>
      <c r="G10" s="241">
        <v>0</v>
      </c>
    </row>
    <row r="11" spans="1:16" hidden="1" x14ac:dyDescent="0.2">
      <c r="A11" s="240">
        <v>8</v>
      </c>
      <c r="B11" s="47" t="s">
        <v>465</v>
      </c>
      <c r="C11" s="45">
        <v>150</v>
      </c>
      <c r="D11" s="46">
        <v>0</v>
      </c>
      <c r="E11" s="50">
        <v>0</v>
      </c>
      <c r="F11" s="50">
        <v>0</v>
      </c>
      <c r="G11" s="241">
        <v>0</v>
      </c>
    </row>
    <row r="12" spans="1:16" x14ac:dyDescent="0.2">
      <c r="A12" s="242">
        <v>7</v>
      </c>
      <c r="B12" s="61" t="s">
        <v>737</v>
      </c>
      <c r="C12" s="59"/>
      <c r="D12" s="60"/>
      <c r="E12" s="341">
        <f>SUM(E3:E11)</f>
        <v>213000000</v>
      </c>
      <c r="F12" s="341">
        <f>SUM(F3:F11)</f>
        <v>380000000</v>
      </c>
      <c r="G12" s="342">
        <f>SUM(G3:G11)</f>
        <v>570000000</v>
      </c>
      <c r="I12" t="s">
        <v>587</v>
      </c>
      <c r="J12">
        <f>J6*2</f>
        <v>5290530</v>
      </c>
      <c r="K12">
        <v>2</v>
      </c>
      <c r="O12" t="s">
        <v>604</v>
      </c>
      <c r="P12" t="s">
        <v>607</v>
      </c>
    </row>
    <row r="13" spans="1:16" x14ac:dyDescent="0.2">
      <c r="A13" s="414" t="s">
        <v>628</v>
      </c>
      <c r="B13" s="415"/>
      <c r="C13" s="415"/>
      <c r="D13" s="415"/>
      <c r="E13" s="415"/>
      <c r="F13" s="415"/>
      <c r="G13" s="416"/>
      <c r="I13" s="214" t="s">
        <v>735</v>
      </c>
      <c r="J13">
        <f>J6*3</f>
        <v>7935795</v>
      </c>
      <c r="K13">
        <v>3</v>
      </c>
      <c r="O13" t="s">
        <v>605</v>
      </c>
      <c r="P13" t="s">
        <v>609</v>
      </c>
    </row>
    <row r="14" spans="1:16" x14ac:dyDescent="0.2">
      <c r="A14" s="240">
        <v>1</v>
      </c>
      <c r="B14" s="47" t="s">
        <v>589</v>
      </c>
      <c r="C14" s="45">
        <v>1</v>
      </c>
      <c r="D14" s="215">
        <v>150000</v>
      </c>
      <c r="E14" s="216">
        <f>D14*C14</f>
        <v>150000</v>
      </c>
      <c r="F14" s="50">
        <v>400000</v>
      </c>
      <c r="G14" s="241">
        <v>400000</v>
      </c>
      <c r="I14" s="214" t="s">
        <v>736</v>
      </c>
      <c r="J14">
        <f>J6*4</f>
        <v>10581060</v>
      </c>
      <c r="K14">
        <v>4</v>
      </c>
    </row>
    <row r="15" spans="1:16" hidden="1" x14ac:dyDescent="0.2">
      <c r="A15" s="240">
        <v>2</v>
      </c>
      <c r="B15" s="47" t="s">
        <v>298</v>
      </c>
      <c r="C15" s="45">
        <v>1</v>
      </c>
      <c r="D15" s="46">
        <v>0</v>
      </c>
      <c r="E15" s="50">
        <v>0</v>
      </c>
      <c r="F15" s="50">
        <v>0</v>
      </c>
      <c r="G15" s="241">
        <v>0</v>
      </c>
      <c r="K15">
        <v>5</v>
      </c>
    </row>
    <row r="16" spans="1:16" hidden="1" x14ac:dyDescent="0.2">
      <c r="A16" s="240">
        <v>3</v>
      </c>
      <c r="B16" s="4" t="s">
        <v>288</v>
      </c>
      <c r="C16" s="45">
        <v>1</v>
      </c>
      <c r="D16" s="46">
        <v>0</v>
      </c>
      <c r="E16" s="50">
        <v>0</v>
      </c>
      <c r="F16" s="50">
        <v>0</v>
      </c>
      <c r="G16" s="241">
        <v>0</v>
      </c>
      <c r="K16">
        <v>6</v>
      </c>
    </row>
    <row r="17" spans="1:11" hidden="1" x14ac:dyDescent="0.2">
      <c r="A17" s="240">
        <v>4</v>
      </c>
      <c r="B17" s="47" t="s">
        <v>416</v>
      </c>
      <c r="C17" s="45">
        <v>1</v>
      </c>
      <c r="D17" s="46">
        <v>0</v>
      </c>
      <c r="E17" s="50">
        <v>0</v>
      </c>
      <c r="F17" s="50">
        <v>0</v>
      </c>
      <c r="G17" s="241">
        <v>0</v>
      </c>
      <c r="K17">
        <v>7</v>
      </c>
    </row>
    <row r="18" spans="1:11" hidden="1" x14ac:dyDescent="0.2">
      <c r="A18" s="240">
        <v>5</v>
      </c>
      <c r="B18" s="47" t="s">
        <v>287</v>
      </c>
      <c r="C18" s="45">
        <v>15</v>
      </c>
      <c r="D18" s="46">
        <v>0</v>
      </c>
      <c r="E18" s="50">
        <v>0</v>
      </c>
      <c r="F18" s="50">
        <v>0</v>
      </c>
      <c r="G18" s="241">
        <v>0</v>
      </c>
      <c r="K18">
        <v>8</v>
      </c>
    </row>
    <row r="19" spans="1:11" hidden="1" x14ac:dyDescent="0.2">
      <c r="A19" s="240">
        <v>6</v>
      </c>
      <c r="B19" s="47" t="s">
        <v>415</v>
      </c>
      <c r="C19" s="45">
        <v>10</v>
      </c>
      <c r="D19" s="46">
        <v>0</v>
      </c>
      <c r="E19" s="50">
        <v>0</v>
      </c>
      <c r="F19" s="50">
        <v>0</v>
      </c>
      <c r="G19" s="241">
        <v>0</v>
      </c>
      <c r="K19">
        <v>9</v>
      </c>
    </row>
    <row r="20" spans="1:11" hidden="1" x14ac:dyDescent="0.2">
      <c r="A20" s="240">
        <v>7</v>
      </c>
      <c r="B20" s="47" t="s">
        <v>300</v>
      </c>
      <c r="C20" s="45">
        <v>1</v>
      </c>
      <c r="D20" s="46">
        <v>0</v>
      </c>
      <c r="E20" s="50">
        <v>0</v>
      </c>
      <c r="F20" s="50">
        <v>0</v>
      </c>
      <c r="G20" s="241">
        <v>0</v>
      </c>
      <c r="K20">
        <v>10</v>
      </c>
    </row>
    <row r="21" spans="1:11" x14ac:dyDescent="0.2">
      <c r="A21" s="240">
        <v>2</v>
      </c>
      <c r="B21" s="47" t="s">
        <v>484</v>
      </c>
      <c r="C21" s="45">
        <v>1</v>
      </c>
      <c r="D21" s="46">
        <v>200000</v>
      </c>
      <c r="E21" s="50">
        <f>D21*C21</f>
        <v>200000</v>
      </c>
      <c r="F21" s="50">
        <v>2800000</v>
      </c>
      <c r="G21" s="241">
        <v>2800000</v>
      </c>
      <c r="I21" s="213" t="s">
        <v>591</v>
      </c>
      <c r="J21">
        <f>J6*5</f>
        <v>13226325</v>
      </c>
      <c r="K21">
        <v>5</v>
      </c>
    </row>
    <row r="22" spans="1:11" x14ac:dyDescent="0.2">
      <c r="A22" s="240">
        <v>3</v>
      </c>
      <c r="B22" s="424" t="s">
        <v>624</v>
      </c>
      <c r="C22" s="425">
        <v>3</v>
      </c>
      <c r="D22" s="426">
        <v>450000</v>
      </c>
      <c r="E22" s="50">
        <v>1000000</v>
      </c>
      <c r="F22" s="50">
        <v>660000</v>
      </c>
      <c r="G22" s="241">
        <v>880000</v>
      </c>
      <c r="I22" s="213" t="s">
        <v>596</v>
      </c>
      <c r="J22">
        <f>J6*6</f>
        <v>15871590</v>
      </c>
      <c r="K22">
        <v>6</v>
      </c>
    </row>
    <row r="23" spans="1:11" ht="16" hidden="1" x14ac:dyDescent="0.2">
      <c r="A23" s="240">
        <v>10</v>
      </c>
      <c r="B23" s="62" t="s">
        <v>193</v>
      </c>
      <c r="C23" s="49">
        <v>3</v>
      </c>
      <c r="D23" s="46">
        <v>0</v>
      </c>
      <c r="E23" s="50">
        <f t="shared" ref="E23:E28" si="0">D23*C23</f>
        <v>0</v>
      </c>
      <c r="F23" s="50">
        <v>0</v>
      </c>
      <c r="G23" s="241">
        <v>0</v>
      </c>
      <c r="K23">
        <v>13</v>
      </c>
    </row>
    <row r="24" spans="1:11" ht="16" hidden="1" x14ac:dyDescent="0.2">
      <c r="A24" s="240">
        <v>11</v>
      </c>
      <c r="B24" s="62" t="s">
        <v>195</v>
      </c>
      <c r="C24" s="49">
        <v>2</v>
      </c>
      <c r="D24" s="46">
        <v>0</v>
      </c>
      <c r="E24" s="50">
        <f t="shared" si="0"/>
        <v>0</v>
      </c>
      <c r="F24" s="50">
        <v>0</v>
      </c>
      <c r="G24" s="241">
        <v>0</v>
      </c>
      <c r="K24">
        <v>14</v>
      </c>
    </row>
    <row r="25" spans="1:11" ht="16" hidden="1" x14ac:dyDescent="0.2">
      <c r="A25" s="240">
        <v>12</v>
      </c>
      <c r="B25" s="62" t="s">
        <v>196</v>
      </c>
      <c r="C25" s="49">
        <v>1</v>
      </c>
      <c r="D25" s="46">
        <v>0</v>
      </c>
      <c r="E25" s="50">
        <f t="shared" si="0"/>
        <v>0</v>
      </c>
      <c r="F25" s="50">
        <v>0</v>
      </c>
      <c r="G25" s="241">
        <v>0</v>
      </c>
      <c r="K25">
        <v>15</v>
      </c>
    </row>
    <row r="26" spans="1:11" ht="16" hidden="1" x14ac:dyDescent="0.2">
      <c r="A26" s="240">
        <v>13</v>
      </c>
      <c r="B26" s="62" t="s">
        <v>304</v>
      </c>
      <c r="C26" s="49">
        <v>1</v>
      </c>
      <c r="D26" s="46">
        <v>0</v>
      </c>
      <c r="E26" s="50">
        <f t="shared" si="0"/>
        <v>0</v>
      </c>
      <c r="F26" s="50">
        <v>0</v>
      </c>
      <c r="G26" s="241">
        <v>0</v>
      </c>
      <c r="K26">
        <v>16</v>
      </c>
    </row>
    <row r="27" spans="1:11" ht="16" hidden="1" x14ac:dyDescent="0.2">
      <c r="A27" s="240">
        <v>14</v>
      </c>
      <c r="B27" s="62" t="s">
        <v>198</v>
      </c>
      <c r="C27" s="49">
        <v>3</v>
      </c>
      <c r="D27" s="46">
        <v>0</v>
      </c>
      <c r="E27" s="50">
        <f t="shared" si="0"/>
        <v>0</v>
      </c>
      <c r="F27" s="50">
        <v>0</v>
      </c>
      <c r="G27" s="241">
        <v>0</v>
      </c>
      <c r="K27">
        <v>17</v>
      </c>
    </row>
    <row r="28" spans="1:11" ht="16" hidden="1" x14ac:dyDescent="0.2">
      <c r="A28" s="240">
        <v>15</v>
      </c>
      <c r="B28" s="62" t="s">
        <v>289</v>
      </c>
      <c r="C28" s="49">
        <v>1</v>
      </c>
      <c r="D28" s="46">
        <v>0</v>
      </c>
      <c r="E28" s="50">
        <f t="shared" si="0"/>
        <v>0</v>
      </c>
      <c r="F28" s="50">
        <v>0</v>
      </c>
      <c r="G28" s="241">
        <v>0</v>
      </c>
      <c r="K28">
        <v>18</v>
      </c>
    </row>
    <row r="29" spans="1:11" x14ac:dyDescent="0.2">
      <c r="A29" s="240">
        <v>4</v>
      </c>
      <c r="B29" s="424" t="s">
        <v>650</v>
      </c>
      <c r="C29" s="425"/>
      <c r="D29" s="426"/>
      <c r="E29" s="168">
        <f>SUM(E14:E28)</f>
        <v>1350000</v>
      </c>
      <c r="F29" s="168">
        <f>SUM(F14:F28)</f>
        <v>3860000</v>
      </c>
      <c r="G29" s="244">
        <f>SUM(G14:G28)</f>
        <v>4080000</v>
      </c>
      <c r="J29">
        <f>J6*7</f>
        <v>18516855</v>
      </c>
      <c r="K29">
        <v>7</v>
      </c>
    </row>
    <row r="30" spans="1:11" x14ac:dyDescent="0.2">
      <c r="A30" s="240">
        <v>5</v>
      </c>
      <c r="B30" s="424" t="s">
        <v>590</v>
      </c>
      <c r="C30" s="425"/>
      <c r="D30" s="426"/>
      <c r="E30" s="162">
        <f>E29*7</f>
        <v>9450000</v>
      </c>
      <c r="F30" s="162">
        <f>F29*7</f>
        <v>27020000</v>
      </c>
      <c r="G30" s="234">
        <f>G29*7</f>
        <v>28560000</v>
      </c>
      <c r="K30">
        <v>8</v>
      </c>
    </row>
    <row r="31" spans="1:11" x14ac:dyDescent="0.2">
      <c r="A31" s="240">
        <v>6</v>
      </c>
      <c r="B31" s="421" t="s">
        <v>410</v>
      </c>
      <c r="C31" s="422"/>
      <c r="D31" s="423"/>
      <c r="E31" s="343">
        <f>E30*12</f>
        <v>113400000</v>
      </c>
      <c r="F31" s="343">
        <f>F30*12</f>
        <v>324240000</v>
      </c>
      <c r="G31" s="344">
        <f>G30*12</f>
        <v>342720000</v>
      </c>
      <c r="J31">
        <f>J6*9</f>
        <v>23807385</v>
      </c>
      <c r="K31">
        <v>9</v>
      </c>
    </row>
    <row r="32" spans="1:11" x14ac:dyDescent="0.2">
      <c r="A32" s="414" t="s">
        <v>629</v>
      </c>
      <c r="B32" s="415"/>
      <c r="C32" s="415"/>
      <c r="D32" s="415"/>
      <c r="E32" s="415"/>
      <c r="F32" s="415"/>
      <c r="G32" s="416"/>
      <c r="J32">
        <f>J6*10</f>
        <v>26452650</v>
      </c>
      <c r="K32">
        <v>10</v>
      </c>
    </row>
    <row r="33" spans="1:11" ht="16" x14ac:dyDescent="0.2">
      <c r="A33" s="240">
        <v>1</v>
      </c>
      <c r="B33" s="48" t="s">
        <v>463</v>
      </c>
      <c r="C33" s="49">
        <v>1</v>
      </c>
      <c r="D33" s="50">
        <v>5000000</v>
      </c>
      <c r="E33" s="50">
        <v>0</v>
      </c>
      <c r="F33" s="50">
        <v>5000000</v>
      </c>
      <c r="G33" s="241">
        <v>7500000</v>
      </c>
      <c r="H33" s="238">
        <f>E33/12</f>
        <v>0</v>
      </c>
      <c r="J33">
        <f>J6*11</f>
        <v>29097915</v>
      </c>
      <c r="K33">
        <v>11</v>
      </c>
    </row>
    <row r="34" spans="1:11" ht="16" x14ac:dyDescent="0.2">
      <c r="A34" s="240">
        <v>2</v>
      </c>
      <c r="B34" s="48" t="s">
        <v>467</v>
      </c>
      <c r="C34" s="49">
        <v>1</v>
      </c>
      <c r="D34" s="50">
        <f>1*1200*840</f>
        <v>1008000</v>
      </c>
      <c r="E34" s="50">
        <f>D34*C34</f>
        <v>1008000</v>
      </c>
      <c r="F34" s="50">
        <f>E34*2</f>
        <v>2016000</v>
      </c>
      <c r="G34" s="241">
        <f>E34*3</f>
        <v>3024000</v>
      </c>
      <c r="H34" s="238">
        <f>E34/12</f>
        <v>84000</v>
      </c>
      <c r="J34">
        <f>J6*12</f>
        <v>31743180</v>
      </c>
      <c r="K34">
        <v>12</v>
      </c>
    </row>
    <row r="35" spans="1:11" ht="16" x14ac:dyDescent="0.2">
      <c r="A35" s="240">
        <v>3</v>
      </c>
      <c r="B35" s="54" t="s">
        <v>468</v>
      </c>
      <c r="C35" s="45">
        <v>1</v>
      </c>
      <c r="D35" s="50">
        <v>210000000</v>
      </c>
      <c r="E35" s="50">
        <f>D35</f>
        <v>210000000</v>
      </c>
      <c r="F35" s="50">
        <f>E35*2</f>
        <v>420000000</v>
      </c>
      <c r="G35" s="241">
        <f>E35*3</f>
        <v>630000000</v>
      </c>
      <c r="H35" s="238">
        <v>0</v>
      </c>
      <c r="J35" s="50">
        <f>SUM(J6:J34)</f>
        <v>185168550</v>
      </c>
    </row>
    <row r="36" spans="1:11" hidden="1" x14ac:dyDescent="0.2">
      <c r="A36" s="240">
        <v>4</v>
      </c>
      <c r="B36" s="4" t="s">
        <v>326</v>
      </c>
      <c r="C36" s="45">
        <v>1</v>
      </c>
      <c r="D36" s="90">
        <v>5000000</v>
      </c>
      <c r="E36" s="164">
        <v>0</v>
      </c>
      <c r="F36" s="50">
        <v>0</v>
      </c>
      <c r="G36" s="241">
        <v>0</v>
      </c>
      <c r="H36" s="238">
        <f>+H35</f>
        <v>0</v>
      </c>
    </row>
    <row r="37" spans="1:11" x14ac:dyDescent="0.2">
      <c r="A37" s="240">
        <v>4</v>
      </c>
      <c r="B37" s="4" t="s">
        <v>482</v>
      </c>
      <c r="C37" s="45">
        <v>1</v>
      </c>
      <c r="D37" s="90">
        <v>36000000</v>
      </c>
      <c r="E37" s="164">
        <v>36000000</v>
      </c>
      <c r="F37" s="164">
        <v>50000000</v>
      </c>
      <c r="G37" s="241">
        <v>60000000</v>
      </c>
      <c r="H37" s="238">
        <f>E37/12</f>
        <v>3000000</v>
      </c>
    </row>
    <row r="38" spans="1:11" x14ac:dyDescent="0.2">
      <c r="A38" s="240">
        <v>5</v>
      </c>
      <c r="B38" s="421" t="s">
        <v>410</v>
      </c>
      <c r="C38" s="422"/>
      <c r="D38" s="423"/>
      <c r="E38" s="341">
        <f>SUM(E33:E37)</f>
        <v>247008000</v>
      </c>
      <c r="F38" s="341">
        <f>SUM(F33:F37)</f>
        <v>477016000</v>
      </c>
      <c r="G38" s="342">
        <f>SUM(G33:G37)</f>
        <v>700524000</v>
      </c>
    </row>
    <row r="39" spans="1:11" ht="16" x14ac:dyDescent="0.2">
      <c r="A39" s="246"/>
      <c r="B39" s="417" t="s">
        <v>469</v>
      </c>
      <c r="C39" s="418"/>
      <c r="D39" s="418"/>
      <c r="E39" s="165">
        <f>E38+E31</f>
        <v>360408000</v>
      </c>
      <c r="F39" s="165">
        <f>F38+F31</f>
        <v>801256000</v>
      </c>
      <c r="G39" s="247">
        <f>G38+G31</f>
        <v>1043244000</v>
      </c>
    </row>
    <row r="40" spans="1:11" ht="17" thickBot="1" x14ac:dyDescent="0.25">
      <c r="A40" s="248"/>
      <c r="B40" s="419" t="s">
        <v>424</v>
      </c>
      <c r="C40" s="420"/>
      <c r="D40" s="420"/>
      <c r="E40" s="249">
        <f>E39+E12</f>
        <v>573408000</v>
      </c>
      <c r="F40" s="249">
        <f>F39+F12</f>
        <v>1181256000</v>
      </c>
      <c r="G40" s="250">
        <f>G39+G12</f>
        <v>1613244000</v>
      </c>
    </row>
    <row r="41" spans="1:11" ht="16" x14ac:dyDescent="0.2">
      <c r="A41" t="s">
        <v>772</v>
      </c>
      <c r="B41" s="48" t="s">
        <v>293</v>
      </c>
      <c r="C41" s="90">
        <v>5000000</v>
      </c>
    </row>
    <row r="42" spans="1:11" ht="16" x14ac:dyDescent="0.2">
      <c r="B42" s="48" t="s">
        <v>464</v>
      </c>
      <c r="C42" s="90">
        <v>20000000</v>
      </c>
    </row>
    <row r="43" spans="1:11" x14ac:dyDescent="0.2">
      <c r="B43" s="47" t="s">
        <v>466</v>
      </c>
      <c r="C43" s="90">
        <v>25000000</v>
      </c>
    </row>
    <row r="44" spans="1:11" x14ac:dyDescent="0.2">
      <c r="B44" s="47" t="s">
        <v>651</v>
      </c>
      <c r="C44" s="90">
        <v>500000</v>
      </c>
      <c r="E44" s="253">
        <f>((1200*1500)+(120*250))/1320</f>
        <v>1386.3636363636363</v>
      </c>
    </row>
    <row r="45" spans="1:11" x14ac:dyDescent="0.2">
      <c r="B45" s="47" t="s">
        <v>487</v>
      </c>
      <c r="C45" s="90">
        <v>0</v>
      </c>
    </row>
    <row r="46" spans="1:11" x14ac:dyDescent="0.2">
      <c r="B46" s="47" t="s">
        <v>652</v>
      </c>
      <c r="C46" s="90">
        <v>12000000</v>
      </c>
    </row>
    <row r="47" spans="1:11" x14ac:dyDescent="0.2">
      <c r="B47" s="293" t="s">
        <v>774</v>
      </c>
      <c r="C47" s="90">
        <v>15000000</v>
      </c>
      <c r="D47" t="s">
        <v>777</v>
      </c>
    </row>
    <row r="48" spans="1:11" x14ac:dyDescent="0.2">
      <c r="B48" s="293" t="s">
        <v>775</v>
      </c>
      <c r="C48" s="90"/>
      <c r="D48" t="s">
        <v>776</v>
      </c>
    </row>
    <row r="49" spans="2:3" ht="16" x14ac:dyDescent="0.2">
      <c r="B49" s="293" t="s">
        <v>773</v>
      </c>
      <c r="C49" s="90" t="s">
        <v>648</v>
      </c>
    </row>
    <row r="50" spans="2:3" x14ac:dyDescent="0.2">
      <c r="B50" s="293" t="s">
        <v>778</v>
      </c>
      <c r="C50" s="90">
        <v>20000000</v>
      </c>
    </row>
    <row r="51" spans="2:3" x14ac:dyDescent="0.2">
      <c r="B51" s="293" t="s">
        <v>781</v>
      </c>
    </row>
    <row r="52" spans="2:3" x14ac:dyDescent="0.2">
      <c r="B52" s="294" t="s">
        <v>779</v>
      </c>
      <c r="C52" s="253" t="s">
        <v>780</v>
      </c>
    </row>
    <row r="53" spans="2:3" x14ac:dyDescent="0.2">
      <c r="B53" s="294" t="s">
        <v>782</v>
      </c>
    </row>
    <row r="54" spans="2:3" x14ac:dyDescent="0.2">
      <c r="B54" s="294" t="s">
        <v>783</v>
      </c>
    </row>
    <row r="55" spans="2:3" x14ac:dyDescent="0.2">
      <c r="B55" s="294" t="s">
        <v>784</v>
      </c>
    </row>
    <row r="56" spans="2:3" x14ac:dyDescent="0.2">
      <c r="B56" s="294" t="s">
        <v>785</v>
      </c>
    </row>
    <row r="57" spans="2:3" x14ac:dyDescent="0.2">
      <c r="B57" s="294" t="s">
        <v>808</v>
      </c>
    </row>
    <row r="58" spans="2:3" x14ac:dyDescent="0.2">
      <c r="B58" s="294" t="s">
        <v>809</v>
      </c>
    </row>
    <row r="59" spans="2:3" x14ac:dyDescent="0.2">
      <c r="B59" s="294" t="s">
        <v>810</v>
      </c>
    </row>
    <row r="60" spans="2:3" x14ac:dyDescent="0.2">
      <c r="B60" s="294" t="s">
        <v>811</v>
      </c>
    </row>
  </sheetData>
  <mergeCells count="13">
    <mergeCell ref="B22:D22"/>
    <mergeCell ref="J1:K1"/>
    <mergeCell ref="M1:N1"/>
    <mergeCell ref="O1:P1"/>
    <mergeCell ref="A2:G2"/>
    <mergeCell ref="A13:G13"/>
    <mergeCell ref="B40:D40"/>
    <mergeCell ref="B29:D29"/>
    <mergeCell ref="B30:D30"/>
    <mergeCell ref="B31:D31"/>
    <mergeCell ref="A32:G32"/>
    <mergeCell ref="B38:D38"/>
    <mergeCell ref="B39:D39"/>
  </mergeCells>
  <hyperlinks>
    <hyperlink ref="I2" r:id="rId1" xr:uid="{FA6CF2F7-3168-6146-8BA7-3B10A28BE9C6}"/>
  </hyperlinks>
  <pageMargins left="0.7" right="0.7" top="0.75" bottom="0.75" header="0.3" footer="0.3"/>
  <pageSetup orientation="portrait"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A02DD-AADA-6747-BF72-54292FC96D9F}">
  <dimension ref="A1:U45"/>
  <sheetViews>
    <sheetView zoomScale="140" zoomScaleNormal="140" workbookViewId="0">
      <pane ySplit="1" topLeftCell="A2" activePane="bottomLeft" state="frozen"/>
      <selection activeCell="J32" sqref="J32"/>
      <selection pane="bottomLeft" activeCell="F38" sqref="F38"/>
    </sheetView>
  </sheetViews>
  <sheetFormatPr baseColWidth="10" defaultColWidth="8.83203125" defaultRowHeight="15" x14ac:dyDescent="0.2"/>
  <cols>
    <col min="1" max="1" width="31.83203125" style="3" bestFit="1" customWidth="1"/>
    <col min="2" max="2" width="41.5" bestFit="1" customWidth="1"/>
    <col min="3" max="3" width="13.83203125" style="253" bestFit="1" customWidth="1"/>
    <col min="4" max="4" width="17.1640625" style="253" customWidth="1"/>
    <col min="5" max="5" width="18.83203125" style="253" customWidth="1"/>
    <col min="6" max="6" width="49.33203125" customWidth="1"/>
    <col min="7" max="7" width="18.83203125" customWidth="1"/>
    <col min="8" max="8" width="18.5" customWidth="1"/>
    <col min="21" max="21" width="12.33203125" bestFit="1" customWidth="1"/>
  </cols>
  <sheetData>
    <row r="1" spans="1:9" ht="16" x14ac:dyDescent="0.2">
      <c r="A1" s="219" t="s">
        <v>237</v>
      </c>
      <c r="B1" s="220" t="s">
        <v>238</v>
      </c>
      <c r="C1" s="221" t="s">
        <v>334</v>
      </c>
      <c r="D1" s="221" t="s">
        <v>380</v>
      </c>
      <c r="E1" s="221" t="s">
        <v>538</v>
      </c>
      <c r="F1" s="222" t="s">
        <v>104</v>
      </c>
      <c r="G1" s="148" t="s">
        <v>443</v>
      </c>
      <c r="H1" s="148" t="s">
        <v>444</v>
      </c>
    </row>
    <row r="2" spans="1:9" ht="16" x14ac:dyDescent="0.2">
      <c r="A2" s="251" t="s">
        <v>239</v>
      </c>
      <c r="B2" s="100" t="s">
        <v>240</v>
      </c>
      <c r="C2" s="101">
        <v>8000</v>
      </c>
      <c r="D2" s="440"/>
      <c r="E2" s="441"/>
      <c r="F2" s="102" t="s">
        <v>425</v>
      </c>
      <c r="G2" t="s">
        <v>453</v>
      </c>
      <c r="H2" t="s">
        <v>454</v>
      </c>
      <c r="I2" s="149" t="s">
        <v>455</v>
      </c>
    </row>
    <row r="3" spans="1:9" ht="16" x14ac:dyDescent="0.2">
      <c r="A3" s="251" t="s">
        <v>361</v>
      </c>
      <c r="B3" s="339" t="s">
        <v>231</v>
      </c>
      <c r="C3" s="340">
        <f>C2*0.15</f>
        <v>1200</v>
      </c>
      <c r="D3" s="442"/>
      <c r="E3" s="443"/>
      <c r="F3" s="102" t="s">
        <v>426</v>
      </c>
      <c r="G3" t="s">
        <v>456</v>
      </c>
      <c r="H3" t="s">
        <v>457</v>
      </c>
      <c r="I3" s="149" t="s">
        <v>459</v>
      </c>
    </row>
    <row r="4" spans="1:9" ht="16" x14ac:dyDescent="0.2">
      <c r="A4" s="402" t="s">
        <v>386</v>
      </c>
      <c r="B4" s="100" t="s">
        <v>362</v>
      </c>
      <c r="C4" s="101">
        <f>C3/4</f>
        <v>300</v>
      </c>
      <c r="D4" s="442"/>
      <c r="E4" s="443"/>
      <c r="F4" s="102"/>
      <c r="G4" t="s">
        <v>460</v>
      </c>
      <c r="H4" t="s">
        <v>457</v>
      </c>
      <c r="I4" s="149" t="s">
        <v>458</v>
      </c>
    </row>
    <row r="5" spans="1:9" x14ac:dyDescent="0.2">
      <c r="A5" s="436"/>
      <c r="B5" s="100" t="s">
        <v>363</v>
      </c>
      <c r="C5" s="101">
        <f>ROUNDDOWN((C2-C3)*0.103, 0)</f>
        <v>700</v>
      </c>
      <c r="D5" s="442"/>
      <c r="E5" s="443"/>
      <c r="F5" s="102"/>
    </row>
    <row r="6" spans="1:9" ht="16" thickBot="1" x14ac:dyDescent="0.25">
      <c r="A6" s="437"/>
      <c r="B6" s="109" t="s">
        <v>631</v>
      </c>
      <c r="C6" s="142">
        <v>200</v>
      </c>
      <c r="D6" s="444"/>
      <c r="E6" s="445"/>
      <c r="F6" s="143"/>
    </row>
    <row r="7" spans="1:9" ht="15.75" customHeight="1" x14ac:dyDescent="0.2">
      <c r="A7" s="357" t="s">
        <v>367</v>
      </c>
      <c r="B7" s="139" t="s">
        <v>232</v>
      </c>
      <c r="C7" s="140">
        <v>1200</v>
      </c>
      <c r="D7" s="446"/>
      <c r="E7" s="447"/>
      <c r="F7" s="141" t="s">
        <v>241</v>
      </c>
      <c r="G7">
        <v>1180</v>
      </c>
      <c r="H7">
        <v>1050</v>
      </c>
      <c r="I7" t="s">
        <v>446</v>
      </c>
    </row>
    <row r="8" spans="1:9" x14ac:dyDescent="0.2">
      <c r="A8" s="358"/>
      <c r="B8" s="125" t="s">
        <v>233</v>
      </c>
      <c r="C8" s="126">
        <v>1500</v>
      </c>
      <c r="D8" s="448"/>
      <c r="E8" s="449"/>
      <c r="F8" s="127" t="s">
        <v>647</v>
      </c>
      <c r="G8">
        <v>1000</v>
      </c>
      <c r="H8">
        <v>1000</v>
      </c>
      <c r="I8" t="s">
        <v>445</v>
      </c>
    </row>
    <row r="9" spans="1:9" x14ac:dyDescent="0.2">
      <c r="A9" s="358"/>
      <c r="B9" s="125" t="s">
        <v>234</v>
      </c>
      <c r="C9" s="126">
        <f>C8*C7</f>
        <v>1800000</v>
      </c>
      <c r="D9" s="448"/>
      <c r="E9" s="449"/>
      <c r="F9" s="127"/>
    </row>
    <row r="10" spans="1:9" x14ac:dyDescent="0.2">
      <c r="A10" s="128" t="s">
        <v>368</v>
      </c>
      <c r="B10" s="129">
        <v>0.15</v>
      </c>
      <c r="C10" s="126">
        <f>C9*B10</f>
        <v>270000</v>
      </c>
      <c r="D10" s="448"/>
      <c r="E10" s="449"/>
      <c r="F10" s="127"/>
    </row>
    <row r="11" spans="1:9" x14ac:dyDescent="0.2">
      <c r="A11" s="128" t="s">
        <v>365</v>
      </c>
      <c r="B11" s="129">
        <v>0.1</v>
      </c>
      <c r="C11" s="126">
        <f>C10*B11/B10</f>
        <v>180000</v>
      </c>
      <c r="D11" s="448"/>
      <c r="E11" s="449"/>
      <c r="F11" s="355"/>
      <c r="G11">
        <v>820</v>
      </c>
      <c r="H11">
        <v>820</v>
      </c>
      <c r="I11" t="s">
        <v>447</v>
      </c>
    </row>
    <row r="12" spans="1:9" ht="16" thickBot="1" x14ac:dyDescent="0.25">
      <c r="A12" s="130" t="s">
        <v>658</v>
      </c>
      <c r="B12" s="131">
        <v>0.05</v>
      </c>
      <c r="C12" s="132">
        <f>C10-C11</f>
        <v>90000</v>
      </c>
      <c r="D12" s="450"/>
      <c r="E12" s="451"/>
      <c r="F12" s="356"/>
      <c r="G12">
        <f>G11*1.18</f>
        <v>967.59999999999991</v>
      </c>
      <c r="H12">
        <f>H11*1.05</f>
        <v>861</v>
      </c>
      <c r="I12" t="s">
        <v>448</v>
      </c>
    </row>
    <row r="13" spans="1:9" ht="15" hidden="1" customHeight="1" x14ac:dyDescent="0.2">
      <c r="A13" s="360" t="s">
        <v>369</v>
      </c>
      <c r="B13" s="150" t="s">
        <v>370</v>
      </c>
      <c r="C13" s="108">
        <f>C7*0.05</f>
        <v>60</v>
      </c>
      <c r="D13" s="97"/>
      <c r="E13" s="97"/>
      <c r="F13" s="103"/>
      <c r="G13">
        <v>100</v>
      </c>
      <c r="H13" t="s">
        <v>581</v>
      </c>
      <c r="I13" t="s">
        <v>449</v>
      </c>
    </row>
    <row r="14" spans="1:9" hidden="1" x14ac:dyDescent="0.2">
      <c r="A14" s="361"/>
      <c r="B14" s="151" t="s">
        <v>371</v>
      </c>
      <c r="C14" s="104">
        <v>400</v>
      </c>
      <c r="D14" s="100"/>
      <c r="E14" s="100"/>
      <c r="F14" s="105" t="s">
        <v>632</v>
      </c>
      <c r="G14">
        <f>20*1.18</f>
        <v>23.599999999999998</v>
      </c>
      <c r="H14">
        <v>23.6</v>
      </c>
      <c r="I14" t="s">
        <v>296</v>
      </c>
    </row>
    <row r="15" spans="1:9" ht="16" hidden="1" thickBot="1" x14ac:dyDescent="0.25">
      <c r="A15" s="362"/>
      <c r="B15" s="151" t="s">
        <v>373</v>
      </c>
      <c r="C15" s="104">
        <f>C14*C13</f>
        <v>24000</v>
      </c>
      <c r="D15" s="100"/>
      <c r="E15" s="100"/>
      <c r="F15" s="252"/>
    </row>
    <row r="16" spans="1:9" hidden="1" x14ac:dyDescent="0.2">
      <c r="A16" s="152" t="s">
        <v>372</v>
      </c>
      <c r="B16" s="107">
        <v>1</v>
      </c>
      <c r="C16" s="104">
        <v>24000</v>
      </c>
      <c r="D16" s="100"/>
      <c r="E16" s="100"/>
      <c r="F16" s="105" t="s">
        <v>376</v>
      </c>
    </row>
    <row r="17" spans="1:21" hidden="1" x14ac:dyDescent="0.2">
      <c r="A17" s="106" t="s">
        <v>374</v>
      </c>
      <c r="B17" s="107">
        <v>0.626</v>
      </c>
      <c r="C17" s="104">
        <f>C16*B17</f>
        <v>15024</v>
      </c>
      <c r="D17" s="100"/>
      <c r="E17" s="100"/>
      <c r="F17" s="105" t="s">
        <v>654</v>
      </c>
      <c r="G17">
        <f>SUM(G12:G14)</f>
        <v>1091.1999999999998</v>
      </c>
      <c r="H17">
        <f>SUM(H12:H14)</f>
        <v>884.6</v>
      </c>
    </row>
    <row r="18" spans="1:21" ht="16" thickBot="1" x14ac:dyDescent="0.25">
      <c r="A18" s="153" t="s">
        <v>657</v>
      </c>
      <c r="B18" s="154">
        <v>0.374</v>
      </c>
      <c r="C18" s="155">
        <f>C16-C17</f>
        <v>8976</v>
      </c>
      <c r="D18" s="452"/>
      <c r="E18" s="453"/>
      <c r="F18" s="156" t="s">
        <v>655</v>
      </c>
      <c r="G18">
        <f>G7-G17</f>
        <v>88.800000000000182</v>
      </c>
      <c r="H18">
        <f>H7-H17</f>
        <v>165.39999999999998</v>
      </c>
      <c r="I18" t="s">
        <v>452</v>
      </c>
      <c r="M18">
        <v>10</v>
      </c>
      <c r="N18">
        <v>12</v>
      </c>
      <c r="O18">
        <v>7</v>
      </c>
      <c r="P18">
        <f>O18*N18*M18</f>
        <v>840</v>
      </c>
    </row>
    <row r="19" spans="1:21" ht="15" hidden="1" customHeight="1" x14ac:dyDescent="0.2">
      <c r="A19" s="363" t="s">
        <v>379</v>
      </c>
      <c r="B19" s="123" t="s">
        <v>377</v>
      </c>
      <c r="C19" s="134">
        <v>120</v>
      </c>
      <c r="D19" s="123"/>
      <c r="E19" s="123"/>
      <c r="F19" s="124" t="s">
        <v>634</v>
      </c>
      <c r="G19">
        <v>28.8</v>
      </c>
      <c r="H19">
        <v>5.4</v>
      </c>
      <c r="I19" t="s">
        <v>450</v>
      </c>
    </row>
    <row r="20" spans="1:21" hidden="1" x14ac:dyDescent="0.2">
      <c r="A20" s="358"/>
      <c r="B20" s="125" t="s">
        <v>371</v>
      </c>
      <c r="C20" s="126">
        <v>250</v>
      </c>
      <c r="D20" s="125"/>
      <c r="E20" s="125"/>
      <c r="F20" s="127"/>
      <c r="G20">
        <f>G18-G19</f>
        <v>60.000000000000185</v>
      </c>
      <c r="H20">
        <v>60</v>
      </c>
      <c r="I20" t="s">
        <v>451</v>
      </c>
    </row>
    <row r="21" spans="1:21" ht="15" hidden="1" customHeight="1" x14ac:dyDescent="0.2">
      <c r="A21" s="358"/>
      <c r="B21" s="125" t="s">
        <v>234</v>
      </c>
      <c r="C21" s="126">
        <f>C20*C19</f>
        <v>30000</v>
      </c>
      <c r="D21" s="125"/>
      <c r="E21" s="125"/>
      <c r="F21" s="127" t="s">
        <v>656</v>
      </c>
    </row>
    <row r="22" spans="1:21" hidden="1" x14ac:dyDescent="0.2">
      <c r="A22" s="128" t="s">
        <v>368</v>
      </c>
      <c r="B22" s="129">
        <v>0.1</v>
      </c>
      <c r="C22" s="126">
        <f>C21*B22</f>
        <v>3000</v>
      </c>
      <c r="D22" s="125"/>
      <c r="E22" s="125"/>
      <c r="F22" s="127"/>
      <c r="G22">
        <v>1100</v>
      </c>
      <c r="H22" t="s">
        <v>563</v>
      </c>
    </row>
    <row r="23" spans="1:21" hidden="1" x14ac:dyDescent="0.2">
      <c r="A23" s="128" t="s">
        <v>365</v>
      </c>
      <c r="B23" s="129">
        <v>0.05</v>
      </c>
      <c r="C23" s="126">
        <f>C22*B23/B22</f>
        <v>1500</v>
      </c>
      <c r="D23" s="125"/>
      <c r="E23" s="125"/>
      <c r="F23" s="355"/>
      <c r="G23" t="s">
        <v>564</v>
      </c>
      <c r="H23" t="s">
        <v>565</v>
      </c>
    </row>
    <row r="24" spans="1:21" ht="16" thickBot="1" x14ac:dyDescent="0.25">
      <c r="A24" s="135" t="s">
        <v>659</v>
      </c>
      <c r="B24" s="136">
        <v>0.05</v>
      </c>
      <c r="C24" s="137">
        <f>C22-C23</f>
        <v>1500</v>
      </c>
      <c r="D24" s="138"/>
      <c r="E24" s="138"/>
      <c r="F24" s="359"/>
      <c r="G24">
        <v>1</v>
      </c>
      <c r="H24">
        <v>100</v>
      </c>
      <c r="I24" t="s">
        <v>566</v>
      </c>
    </row>
    <row r="25" spans="1:21" ht="15" hidden="1" customHeight="1" x14ac:dyDescent="0.2">
      <c r="A25" s="364" t="s">
        <v>493</v>
      </c>
      <c r="B25" s="97" t="s">
        <v>635</v>
      </c>
      <c r="C25" s="98"/>
      <c r="D25" s="98">
        <v>0</v>
      </c>
      <c r="E25" s="110">
        <f t="shared" ref="E25:E30" si="0">D25*7</f>
        <v>0</v>
      </c>
      <c r="F25" s="205" t="s">
        <v>579</v>
      </c>
      <c r="G25">
        <v>2</v>
      </c>
      <c r="H25">
        <v>170</v>
      </c>
      <c r="I25" t="s">
        <v>567</v>
      </c>
    </row>
    <row r="26" spans="1:21" hidden="1" x14ac:dyDescent="0.2">
      <c r="A26" s="365"/>
      <c r="B26" s="100" t="s">
        <v>636</v>
      </c>
      <c r="C26" s="104"/>
      <c r="D26" s="257">
        <v>4000</v>
      </c>
      <c r="E26" s="104">
        <f t="shared" si="0"/>
        <v>28000</v>
      </c>
      <c r="F26" s="105" t="s">
        <v>637</v>
      </c>
      <c r="G26">
        <v>3</v>
      </c>
      <c r="H26">
        <v>240</v>
      </c>
      <c r="I26" t="s">
        <v>568</v>
      </c>
    </row>
    <row r="27" spans="1:21" ht="15" hidden="1" customHeight="1" x14ac:dyDescent="0.2">
      <c r="A27" s="365"/>
      <c r="B27" s="100" t="s">
        <v>234</v>
      </c>
      <c r="C27" s="104"/>
      <c r="D27" s="104">
        <f>D26*D25</f>
        <v>0</v>
      </c>
      <c r="E27" s="104">
        <f t="shared" si="0"/>
        <v>0</v>
      </c>
      <c r="F27" s="105"/>
      <c r="G27">
        <v>4</v>
      </c>
      <c r="H27">
        <v>310</v>
      </c>
    </row>
    <row r="28" spans="1:21" hidden="1" x14ac:dyDescent="0.2">
      <c r="A28" s="106" t="s">
        <v>368</v>
      </c>
      <c r="B28" s="107">
        <v>0.15</v>
      </c>
      <c r="C28" s="104"/>
      <c r="D28" s="104">
        <f>D27*B28</f>
        <v>0</v>
      </c>
      <c r="E28" s="104">
        <f t="shared" si="0"/>
        <v>0</v>
      </c>
      <c r="F28" s="105"/>
      <c r="G28">
        <v>5</v>
      </c>
      <c r="H28">
        <v>380</v>
      </c>
    </row>
    <row r="29" spans="1:21" hidden="1" x14ac:dyDescent="0.2">
      <c r="A29" s="106" t="s">
        <v>419</v>
      </c>
      <c r="B29" s="107">
        <v>0.05</v>
      </c>
      <c r="C29" s="104"/>
      <c r="D29" s="104">
        <f>D27*B29</f>
        <v>0</v>
      </c>
      <c r="E29" s="104">
        <f t="shared" si="0"/>
        <v>0</v>
      </c>
      <c r="F29" s="366" t="s">
        <v>441</v>
      </c>
      <c r="G29">
        <v>6</v>
      </c>
      <c r="H29">
        <v>450</v>
      </c>
    </row>
    <row r="30" spans="1:21" ht="16" hidden="1" thickBot="1" x14ac:dyDescent="0.25">
      <c r="A30" s="223" t="s">
        <v>364</v>
      </c>
      <c r="B30" s="224">
        <v>0.1</v>
      </c>
      <c r="C30" s="225"/>
      <c r="D30" s="225">
        <f>D28-D29</f>
        <v>0</v>
      </c>
      <c r="E30" s="226">
        <f t="shared" si="0"/>
        <v>0</v>
      </c>
      <c r="F30" s="432"/>
      <c r="G30">
        <v>7</v>
      </c>
      <c r="H30">
        <v>520</v>
      </c>
      <c r="T30">
        <v>10500000</v>
      </c>
      <c r="U30">
        <f>T30/T31</f>
        <v>600</v>
      </c>
    </row>
    <row r="31" spans="1:21" hidden="1" x14ac:dyDescent="0.2">
      <c r="A31" s="438" t="s">
        <v>576</v>
      </c>
      <c r="B31" s="207" t="s">
        <v>578</v>
      </c>
      <c r="C31" s="98"/>
      <c r="D31" s="98">
        <v>0</v>
      </c>
      <c r="E31" s="110">
        <v>0</v>
      </c>
      <c r="F31" s="103" t="s">
        <v>653</v>
      </c>
      <c r="H31" s="64"/>
      <c r="J31">
        <f>((1500*2000)+(500*200))/(2100)</f>
        <v>1476.1904761904761</v>
      </c>
      <c r="T31" s="204">
        <v>17500</v>
      </c>
      <c r="U31">
        <f>U30/70</f>
        <v>8.5714285714285712</v>
      </c>
    </row>
    <row r="32" spans="1:21" ht="16" hidden="1" thickBot="1" x14ac:dyDescent="0.25">
      <c r="A32" s="439"/>
      <c r="B32" s="227" t="s">
        <v>577</v>
      </c>
      <c r="C32" s="228"/>
      <c r="D32" s="228">
        <v>0</v>
      </c>
      <c r="E32" s="228">
        <v>0</v>
      </c>
      <c r="F32" s="156"/>
      <c r="G32">
        <f>D32*10*0.5</f>
        <v>0</v>
      </c>
      <c r="U32">
        <f>U31*T30</f>
        <v>90000000</v>
      </c>
    </row>
    <row r="33" spans="1:9" s="28" customFormat="1" ht="16" thickBot="1" x14ac:dyDescent="0.25">
      <c r="A33" s="434" t="s">
        <v>242</v>
      </c>
      <c r="B33" s="435"/>
      <c r="C33" s="157">
        <f>C24+C18+C12</f>
        <v>100476</v>
      </c>
      <c r="D33" s="157"/>
      <c r="E33" s="157"/>
      <c r="F33" s="158" t="s">
        <v>440</v>
      </c>
      <c r="G33" s="28">
        <v>8</v>
      </c>
      <c r="H33">
        <v>590</v>
      </c>
    </row>
    <row r="34" spans="1:9" ht="16" x14ac:dyDescent="0.2">
      <c r="A34" s="111" t="s">
        <v>473</v>
      </c>
      <c r="B34" s="112" t="s">
        <v>339</v>
      </c>
      <c r="C34" s="113">
        <f>C24+C18+C12</f>
        <v>100476</v>
      </c>
      <c r="D34" s="113">
        <f>(C34+D32*0.3)*10+(D30)</f>
        <v>1004760</v>
      </c>
      <c r="E34" s="113">
        <f t="shared" ref="E34:E39" si="1">D34*7</f>
        <v>7033320</v>
      </c>
      <c r="F34" s="112" t="s">
        <v>660</v>
      </c>
      <c r="G34" s="28">
        <v>9</v>
      </c>
      <c r="H34">
        <v>660</v>
      </c>
    </row>
    <row r="35" spans="1:9" ht="32" x14ac:dyDescent="0.2">
      <c r="A35" s="100" t="s">
        <v>474</v>
      </c>
      <c r="B35" s="114" t="s">
        <v>338</v>
      </c>
      <c r="C35" s="115">
        <f>C24+C18+C12</f>
        <v>100476</v>
      </c>
      <c r="D35" s="115">
        <f>(C35+D32*0.3)*20+(D30)</f>
        <v>2009520</v>
      </c>
      <c r="E35" s="113">
        <f t="shared" si="1"/>
        <v>14066640</v>
      </c>
      <c r="F35" s="112" t="s">
        <v>661</v>
      </c>
      <c r="G35" s="199">
        <v>10</v>
      </c>
      <c r="H35">
        <v>730</v>
      </c>
    </row>
    <row r="36" spans="1:9" ht="32" x14ac:dyDescent="0.2">
      <c r="A36" s="100" t="s">
        <v>475</v>
      </c>
      <c r="B36" s="114" t="s">
        <v>337</v>
      </c>
      <c r="C36" s="115">
        <f>C24+C18+C12</f>
        <v>100476</v>
      </c>
      <c r="D36" s="115">
        <f>(C36+D32*0.3)*30+(D30)</f>
        <v>3014280</v>
      </c>
      <c r="E36" s="113">
        <f t="shared" si="1"/>
        <v>21099960</v>
      </c>
      <c r="F36" s="112" t="s">
        <v>662</v>
      </c>
      <c r="G36" s="199">
        <v>11</v>
      </c>
      <c r="H36">
        <v>800</v>
      </c>
    </row>
    <row r="37" spans="1:9" ht="32" x14ac:dyDescent="0.2">
      <c r="A37" s="100" t="s">
        <v>476</v>
      </c>
      <c r="B37" s="114" t="s">
        <v>336</v>
      </c>
      <c r="C37" s="115">
        <f>C24+C18+C12</f>
        <v>100476</v>
      </c>
      <c r="D37" s="115">
        <f>(C37+D32*0.3)*40+(D30)</f>
        <v>4019040</v>
      </c>
      <c r="E37" s="113">
        <f t="shared" si="1"/>
        <v>28133280</v>
      </c>
      <c r="F37" s="112" t="s">
        <v>663</v>
      </c>
      <c r="G37" s="199">
        <v>12</v>
      </c>
      <c r="H37">
        <v>870</v>
      </c>
      <c r="I37" t="s">
        <v>569</v>
      </c>
    </row>
    <row r="38" spans="1:9" ht="32" x14ac:dyDescent="0.2">
      <c r="A38" s="100" t="s">
        <v>477</v>
      </c>
      <c r="B38" s="114" t="s">
        <v>335</v>
      </c>
      <c r="C38" s="115">
        <f>C24+C18+C12</f>
        <v>100476</v>
      </c>
      <c r="D38" s="115">
        <f>(C38+D32*0.3)*50+(D30)</f>
        <v>5023800</v>
      </c>
      <c r="E38" s="113">
        <f t="shared" si="1"/>
        <v>35166600</v>
      </c>
      <c r="F38" s="112" t="s">
        <v>664</v>
      </c>
      <c r="H38">
        <f>H37*G22</f>
        <v>957000</v>
      </c>
      <c r="I38" t="s">
        <v>570</v>
      </c>
    </row>
    <row r="39" spans="1:9" ht="16" x14ac:dyDescent="0.2">
      <c r="A39" s="100" t="s">
        <v>478</v>
      </c>
      <c r="B39" s="114" t="s">
        <v>437</v>
      </c>
      <c r="C39" s="115">
        <f>C24+C18+C12</f>
        <v>100476</v>
      </c>
      <c r="D39" s="115">
        <f>(C38+D32*0.3)*60+(D30)</f>
        <v>6028560</v>
      </c>
      <c r="E39" s="113">
        <f t="shared" si="1"/>
        <v>42199920</v>
      </c>
      <c r="F39" s="112" t="s">
        <v>665</v>
      </c>
      <c r="H39">
        <f>H38*2</f>
        <v>1914000</v>
      </c>
      <c r="I39" t="s">
        <v>571</v>
      </c>
    </row>
    <row r="40" spans="1:9" s="1" customFormat="1" ht="16" x14ac:dyDescent="0.2">
      <c r="A40" s="114" t="s">
        <v>479</v>
      </c>
      <c r="B40" s="114" t="s">
        <v>436</v>
      </c>
      <c r="C40" s="104">
        <f>C24+C18+C12</f>
        <v>100476</v>
      </c>
      <c r="D40" s="104">
        <f>D39*2</f>
        <v>12057120</v>
      </c>
      <c r="E40" s="104">
        <f>E39*2</f>
        <v>84399840</v>
      </c>
      <c r="F40" s="112" t="s">
        <v>666</v>
      </c>
      <c r="H40" s="104">
        <f>H39*1500*0.02</f>
        <v>57420000</v>
      </c>
      <c r="I40" s="28" t="s">
        <v>572</v>
      </c>
    </row>
    <row r="41" spans="1:9" ht="16" x14ac:dyDescent="0.2">
      <c r="A41" s="114" t="s">
        <v>480</v>
      </c>
      <c r="B41" s="114" t="s">
        <v>435</v>
      </c>
      <c r="C41" s="115">
        <f>C24+C18+C12</f>
        <v>100476</v>
      </c>
      <c r="D41" s="115">
        <f>D39*4</f>
        <v>24114240</v>
      </c>
      <c r="E41" s="115">
        <f>E40*2</f>
        <v>168799680</v>
      </c>
      <c r="F41" s="112" t="s">
        <v>667</v>
      </c>
      <c r="H41">
        <f>870*1100</f>
        <v>957000</v>
      </c>
      <c r="I41" s="28" t="s">
        <v>573</v>
      </c>
    </row>
    <row r="42" spans="1:9" ht="16" x14ac:dyDescent="0.2">
      <c r="A42" s="120" t="s">
        <v>481</v>
      </c>
      <c r="B42" s="120" t="s">
        <v>438</v>
      </c>
      <c r="C42" s="121">
        <f>C24+C18+C12</f>
        <v>100476</v>
      </c>
      <c r="D42" s="121">
        <f>D39*6</f>
        <v>36171360</v>
      </c>
      <c r="E42" s="121">
        <f>E39*6+(E30)+(E30)</f>
        <v>253199520</v>
      </c>
      <c r="F42" s="122" t="s">
        <v>668</v>
      </c>
    </row>
    <row r="43" spans="1:9" x14ac:dyDescent="0.2">
      <c r="A43" s="41"/>
      <c r="B43" s="41"/>
      <c r="C43" s="42"/>
      <c r="D43" s="42"/>
      <c r="E43" s="42"/>
      <c r="F43" s="41"/>
    </row>
    <row r="44" spans="1:9" x14ac:dyDescent="0.2">
      <c r="A44" s="41"/>
      <c r="B44" s="41"/>
      <c r="C44" s="42"/>
      <c r="D44" s="42"/>
      <c r="E44" s="42"/>
      <c r="F44" s="41"/>
    </row>
    <row r="45" spans="1:9" x14ac:dyDescent="0.2">
      <c r="A45" s="41"/>
      <c r="B45" s="41"/>
      <c r="C45" s="42"/>
      <c r="D45" s="42"/>
      <c r="E45" s="42"/>
      <c r="F45" s="41"/>
    </row>
  </sheetData>
  <mergeCells count="13">
    <mergeCell ref="A25:A27"/>
    <mergeCell ref="F29:F30"/>
    <mergeCell ref="A31:A32"/>
    <mergeCell ref="A33:B33"/>
    <mergeCell ref="D2:E6"/>
    <mergeCell ref="D7:E12"/>
    <mergeCell ref="D18:E18"/>
    <mergeCell ref="A4:A6"/>
    <mergeCell ref="A7:A9"/>
    <mergeCell ref="F11:F12"/>
    <mergeCell ref="A13:A15"/>
    <mergeCell ref="A19:A21"/>
    <mergeCell ref="F23:F24"/>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AD95A-94E6-FB4C-9BAA-11A4F0AB26B5}">
  <dimension ref="A1:G32"/>
  <sheetViews>
    <sheetView zoomScale="180" zoomScaleNormal="180" workbookViewId="0">
      <selection activeCell="A2" sqref="A2:G8"/>
    </sheetView>
  </sheetViews>
  <sheetFormatPr baseColWidth="10" defaultRowHeight="15" x14ac:dyDescent="0.2"/>
  <cols>
    <col min="1" max="1" width="5.33203125" bestFit="1" customWidth="1"/>
    <col min="2" max="2" width="17.1640625" customWidth="1"/>
    <col min="3" max="3" width="41.1640625" bestFit="1" customWidth="1"/>
    <col min="4" max="4" width="23.6640625" bestFit="1" customWidth="1"/>
    <col min="5" max="5" width="11.5" customWidth="1"/>
    <col min="6" max="6" width="18.5" bestFit="1" customWidth="1"/>
    <col min="7" max="7" width="58.6640625" bestFit="1" customWidth="1"/>
  </cols>
  <sheetData>
    <row r="1" spans="1:7" x14ac:dyDescent="0.2">
      <c r="E1" s="403" t="s">
        <v>699</v>
      </c>
      <c r="F1" s="403"/>
    </row>
    <row r="2" spans="1:7" x14ac:dyDescent="0.2">
      <c r="A2" t="s">
        <v>669</v>
      </c>
      <c r="B2" t="s">
        <v>671</v>
      </c>
      <c r="C2" t="s">
        <v>672</v>
      </c>
      <c r="D2" t="s">
        <v>687</v>
      </c>
      <c r="E2" t="s">
        <v>444</v>
      </c>
      <c r="F2" t="s">
        <v>701</v>
      </c>
      <c r="G2" t="s">
        <v>104</v>
      </c>
    </row>
    <row r="3" spans="1:7" x14ac:dyDescent="0.2">
      <c r="A3">
        <v>1</v>
      </c>
      <c r="B3" t="s">
        <v>691</v>
      </c>
      <c r="C3" t="s">
        <v>700</v>
      </c>
      <c r="D3" t="s">
        <v>693</v>
      </c>
    </row>
    <row r="4" spans="1:7" x14ac:dyDescent="0.2">
      <c r="A4">
        <v>2</v>
      </c>
      <c r="B4" t="s">
        <v>690</v>
      </c>
      <c r="C4" t="s">
        <v>694</v>
      </c>
      <c r="D4" t="s">
        <v>692</v>
      </c>
      <c r="E4" t="s">
        <v>702</v>
      </c>
      <c r="F4">
        <v>6</v>
      </c>
    </row>
    <row r="5" spans="1:7" x14ac:dyDescent="0.2">
      <c r="A5">
        <v>3</v>
      </c>
      <c r="B5" t="s">
        <v>670</v>
      </c>
      <c r="C5" t="s">
        <v>684</v>
      </c>
      <c r="D5" t="s">
        <v>695</v>
      </c>
      <c r="E5" t="s">
        <v>702</v>
      </c>
      <c r="F5">
        <v>7</v>
      </c>
      <c r="G5" s="204" t="s">
        <v>682</v>
      </c>
    </row>
    <row r="6" spans="1:7" ht="128" x14ac:dyDescent="0.2">
      <c r="A6">
        <v>4</v>
      </c>
      <c r="B6" t="s">
        <v>683</v>
      </c>
      <c r="C6" s="1" t="s">
        <v>720</v>
      </c>
      <c r="D6" s="1" t="s">
        <v>688</v>
      </c>
      <c r="E6" s="1" t="s">
        <v>702</v>
      </c>
      <c r="F6">
        <v>7</v>
      </c>
    </row>
    <row r="7" spans="1:7" ht="32" x14ac:dyDescent="0.2">
      <c r="A7">
        <v>5</v>
      </c>
      <c r="B7" t="s">
        <v>685</v>
      </c>
      <c r="C7" s="260" t="s">
        <v>697</v>
      </c>
      <c r="D7" s="260" t="s">
        <v>689</v>
      </c>
      <c r="E7" s="260"/>
    </row>
    <row r="8" spans="1:7" ht="64" x14ac:dyDescent="0.2">
      <c r="A8">
        <v>6</v>
      </c>
      <c r="B8" t="s">
        <v>696</v>
      </c>
      <c r="C8" s="260" t="s">
        <v>698</v>
      </c>
      <c r="D8" t="s">
        <v>689</v>
      </c>
      <c r="E8" t="s">
        <v>718</v>
      </c>
      <c r="F8" t="s">
        <v>719</v>
      </c>
      <c r="G8" t="s">
        <v>673</v>
      </c>
    </row>
    <row r="14" spans="1:7" x14ac:dyDescent="0.2">
      <c r="B14" t="s">
        <v>675</v>
      </c>
    </row>
    <row r="15" spans="1:7" x14ac:dyDescent="0.2">
      <c r="A15">
        <v>1</v>
      </c>
      <c r="B15" t="s">
        <v>674</v>
      </c>
    </row>
    <row r="16" spans="1:7" x14ac:dyDescent="0.2">
      <c r="A16">
        <v>2</v>
      </c>
      <c r="B16" t="s">
        <v>678</v>
      </c>
    </row>
    <row r="17" spans="1:6" x14ac:dyDescent="0.2">
      <c r="A17">
        <v>3</v>
      </c>
      <c r="B17" t="s">
        <v>677</v>
      </c>
    </row>
    <row r="18" spans="1:6" x14ac:dyDescent="0.2">
      <c r="A18">
        <v>4</v>
      </c>
      <c r="B18" t="s">
        <v>681</v>
      </c>
    </row>
    <row r="19" spans="1:6" x14ac:dyDescent="0.2">
      <c r="A19">
        <v>5</v>
      </c>
      <c r="B19" t="s">
        <v>680</v>
      </c>
    </row>
    <row r="20" spans="1:6" x14ac:dyDescent="0.2">
      <c r="A20">
        <v>6</v>
      </c>
      <c r="B20" t="s">
        <v>676</v>
      </c>
    </row>
    <row r="21" spans="1:6" x14ac:dyDescent="0.2">
      <c r="A21">
        <v>7</v>
      </c>
      <c r="B21" t="s">
        <v>679</v>
      </c>
    </row>
    <row r="23" spans="1:6" x14ac:dyDescent="0.2">
      <c r="D23" t="s">
        <v>712</v>
      </c>
      <c r="E23" t="s">
        <v>713</v>
      </c>
    </row>
    <row r="24" spans="1:6" x14ac:dyDescent="0.2">
      <c r="B24" t="s">
        <v>703</v>
      </c>
      <c r="D24" t="s">
        <v>715</v>
      </c>
      <c r="E24" t="s">
        <v>714</v>
      </c>
    </row>
    <row r="25" spans="1:6" x14ac:dyDescent="0.2">
      <c r="B25" t="s">
        <v>704</v>
      </c>
      <c r="D25">
        <v>100000000</v>
      </c>
    </row>
    <row r="26" spans="1:6" x14ac:dyDescent="0.2">
      <c r="B26" t="s">
        <v>705</v>
      </c>
      <c r="D26">
        <v>7500000</v>
      </c>
      <c r="E26">
        <f>5000*365*12</f>
        <v>21900000</v>
      </c>
      <c r="F26">
        <f>20000*365</f>
        <v>7300000</v>
      </c>
    </row>
    <row r="27" spans="1:6" x14ac:dyDescent="0.2">
      <c r="B27" t="s">
        <v>716</v>
      </c>
      <c r="D27">
        <v>1000000</v>
      </c>
    </row>
    <row r="28" spans="1:6" x14ac:dyDescent="0.2">
      <c r="B28" t="s">
        <v>706</v>
      </c>
      <c r="D28">
        <v>10000000</v>
      </c>
    </row>
    <row r="29" spans="1:6" x14ac:dyDescent="0.2">
      <c r="B29" t="s">
        <v>707</v>
      </c>
      <c r="C29" t="s">
        <v>711</v>
      </c>
      <c r="D29">
        <v>0</v>
      </c>
    </row>
    <row r="30" spans="1:6" x14ac:dyDescent="0.2">
      <c r="B30" t="s">
        <v>708</v>
      </c>
      <c r="C30" t="s">
        <v>709</v>
      </c>
      <c r="D30">
        <v>0</v>
      </c>
    </row>
    <row r="31" spans="1:6" x14ac:dyDescent="0.2">
      <c r="B31" t="s">
        <v>710</v>
      </c>
      <c r="C31">
        <v>2000</v>
      </c>
    </row>
    <row r="32" spans="1:6" x14ac:dyDescent="0.2">
      <c r="D32" s="259" t="s">
        <v>717</v>
      </c>
    </row>
  </sheetData>
  <mergeCells count="1">
    <mergeCell ref="E1:F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628C1-689B-9C45-82D7-0C24B2FE069E}">
  <dimension ref="A1:H12"/>
  <sheetViews>
    <sheetView zoomScale="210" zoomScaleNormal="210" workbookViewId="0">
      <selection activeCell="E4" sqref="E4"/>
    </sheetView>
  </sheetViews>
  <sheetFormatPr baseColWidth="10" defaultRowHeight="15" x14ac:dyDescent="0.2"/>
  <cols>
    <col min="1" max="1" width="5.33203125" style="262" bestFit="1" customWidth="1"/>
    <col min="2" max="2" width="11.83203125" style="1" bestFit="1" customWidth="1"/>
    <col min="3" max="3" width="31" style="1" customWidth="1"/>
    <col min="4" max="4" width="9.83203125" style="262" bestFit="1" customWidth="1"/>
    <col min="5" max="5" width="11.6640625" style="275" bestFit="1" customWidth="1"/>
    <col min="6" max="6" width="4.6640625" style="262" bestFit="1" customWidth="1"/>
    <col min="7" max="7" width="8.83203125" style="262" bestFit="1" customWidth="1"/>
    <col min="8" max="8" width="35.6640625" style="1" customWidth="1"/>
    <col min="9" max="16384" width="10.83203125" style="1"/>
  </cols>
  <sheetData>
    <row r="1" spans="1:8" ht="32" x14ac:dyDescent="0.2">
      <c r="A1" s="263" t="s">
        <v>669</v>
      </c>
      <c r="B1" s="263" t="s">
        <v>721</v>
      </c>
      <c r="C1" s="263" t="s">
        <v>672</v>
      </c>
      <c r="D1" s="263" t="s">
        <v>722</v>
      </c>
      <c r="E1" s="272" t="s">
        <v>723</v>
      </c>
      <c r="F1" s="263" t="s">
        <v>444</v>
      </c>
      <c r="G1" s="263" t="s">
        <v>701</v>
      </c>
      <c r="H1" s="263" t="s">
        <v>104</v>
      </c>
    </row>
    <row r="2" spans="1:8" ht="32" x14ac:dyDescent="0.2">
      <c r="A2" s="49">
        <v>1</v>
      </c>
      <c r="B2" s="48" t="s">
        <v>741</v>
      </c>
      <c r="C2" s="261" t="s">
        <v>724</v>
      </c>
      <c r="D2" s="49">
        <v>0</v>
      </c>
      <c r="E2" s="273">
        <v>10000000</v>
      </c>
      <c r="F2" s="264">
        <v>0.7</v>
      </c>
      <c r="G2" s="265">
        <f t="shared" ref="G2:G7" si="0">1-F2</f>
        <v>0.30000000000000004</v>
      </c>
      <c r="H2" s="261" t="s">
        <v>732</v>
      </c>
    </row>
    <row r="3" spans="1:8" ht="96" x14ac:dyDescent="0.2">
      <c r="A3" s="49">
        <v>2</v>
      </c>
      <c r="B3" s="48" t="s">
        <v>690</v>
      </c>
      <c r="C3" s="261" t="s">
        <v>729</v>
      </c>
      <c r="D3" s="49">
        <v>6</v>
      </c>
      <c r="E3" s="273">
        <v>50000000</v>
      </c>
      <c r="F3" s="264">
        <v>0.3</v>
      </c>
      <c r="G3" s="264">
        <f t="shared" si="0"/>
        <v>0.7</v>
      </c>
      <c r="H3" s="261" t="s">
        <v>740</v>
      </c>
    </row>
    <row r="4" spans="1:8" ht="112" x14ac:dyDescent="0.2">
      <c r="A4" s="49">
        <v>3</v>
      </c>
      <c r="B4" s="48" t="s">
        <v>733</v>
      </c>
      <c r="C4" s="261" t="s">
        <v>730</v>
      </c>
      <c r="D4" s="49">
        <v>12</v>
      </c>
      <c r="E4" s="273">
        <v>200000000</v>
      </c>
      <c r="F4" s="264">
        <v>0.3</v>
      </c>
      <c r="G4" s="264">
        <f t="shared" si="0"/>
        <v>0.7</v>
      </c>
      <c r="H4" s="266" t="s">
        <v>726</v>
      </c>
    </row>
    <row r="5" spans="1:8" ht="112" x14ac:dyDescent="0.2">
      <c r="A5" s="269">
        <v>4</v>
      </c>
      <c r="B5" s="267" t="s">
        <v>734</v>
      </c>
      <c r="C5" s="268" t="s">
        <v>738</v>
      </c>
      <c r="D5" s="269">
        <v>18</v>
      </c>
      <c r="E5" s="274">
        <v>400000000</v>
      </c>
      <c r="F5" s="270">
        <v>0.2</v>
      </c>
      <c r="G5" s="270">
        <f t="shared" si="0"/>
        <v>0.8</v>
      </c>
      <c r="H5" s="268" t="s">
        <v>725</v>
      </c>
    </row>
    <row r="6" spans="1:8" ht="64" x14ac:dyDescent="0.2">
      <c r="A6" s="269">
        <v>5</v>
      </c>
      <c r="B6" s="267" t="s">
        <v>686</v>
      </c>
      <c r="C6" s="268" t="s">
        <v>731</v>
      </c>
      <c r="D6" s="271">
        <v>24</v>
      </c>
      <c r="E6" s="274">
        <v>10000000</v>
      </c>
      <c r="F6" s="270">
        <v>0.1</v>
      </c>
      <c r="G6" s="270">
        <f t="shared" si="0"/>
        <v>0.9</v>
      </c>
      <c r="H6" s="268" t="s">
        <v>727</v>
      </c>
    </row>
    <row r="7" spans="1:8" ht="64" x14ac:dyDescent="0.2">
      <c r="A7" s="269">
        <v>6</v>
      </c>
      <c r="B7" s="267" t="s">
        <v>685</v>
      </c>
      <c r="C7" s="268" t="s">
        <v>739</v>
      </c>
      <c r="D7" s="269">
        <v>30</v>
      </c>
      <c r="E7" s="274">
        <v>50000000</v>
      </c>
      <c r="F7" s="270">
        <v>0.2</v>
      </c>
      <c r="G7" s="270">
        <f t="shared" si="0"/>
        <v>0.8</v>
      </c>
      <c r="H7" s="268" t="s">
        <v>728</v>
      </c>
    </row>
    <row r="10" spans="1:8" x14ac:dyDescent="0.2">
      <c r="A10" s="255"/>
    </row>
    <row r="11" spans="1:8" x14ac:dyDescent="0.2">
      <c r="A11" s="255"/>
    </row>
    <row r="12" spans="1:8" x14ac:dyDescent="0.2">
      <c r="A12" s="25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A65CD-A926-E144-9782-FE9DDD3111DA}">
  <dimension ref="A1:G51"/>
  <sheetViews>
    <sheetView topLeftCell="A3" zoomScale="142" zoomScaleNormal="142" workbookViewId="0">
      <selection activeCell="I48" sqref="I48"/>
    </sheetView>
  </sheetViews>
  <sheetFormatPr baseColWidth="10" defaultRowHeight="15" x14ac:dyDescent="0.2"/>
  <cols>
    <col min="1" max="1" width="6.5" bestFit="1" customWidth="1"/>
    <col min="2" max="2" width="49.6640625" customWidth="1"/>
    <col min="3" max="3" width="7.1640625" bestFit="1" customWidth="1"/>
    <col min="4" max="4" width="12.1640625" bestFit="1" customWidth="1"/>
    <col min="5" max="5" width="13.33203125" bestFit="1" customWidth="1"/>
    <col min="6" max="6" width="14.33203125" bestFit="1" customWidth="1"/>
    <col min="7" max="7" width="18.1640625" customWidth="1"/>
  </cols>
  <sheetData>
    <row r="1" spans="1:7" ht="22" thickBot="1" x14ac:dyDescent="0.3">
      <c r="A1" s="454" t="s">
        <v>770</v>
      </c>
      <c r="B1" s="454"/>
      <c r="C1" s="454"/>
      <c r="D1" s="454"/>
      <c r="E1" s="454"/>
      <c r="F1" s="454"/>
      <c r="G1" s="454"/>
    </row>
    <row r="2" spans="1:7" ht="20" thickBot="1" x14ac:dyDescent="0.3">
      <c r="A2" s="166" t="s">
        <v>290</v>
      </c>
      <c r="B2" s="167" t="s">
        <v>470</v>
      </c>
      <c r="C2" s="167" t="s">
        <v>285</v>
      </c>
      <c r="D2" s="167" t="s">
        <v>286</v>
      </c>
      <c r="E2" s="167" t="s">
        <v>488</v>
      </c>
      <c r="F2" s="167" t="s">
        <v>489</v>
      </c>
      <c r="G2" s="239" t="s">
        <v>490</v>
      </c>
    </row>
    <row r="3" spans="1:7" x14ac:dyDescent="0.2">
      <c r="A3" s="429" t="s">
        <v>627</v>
      </c>
      <c r="B3" s="430"/>
      <c r="C3" s="430"/>
      <c r="D3" s="430"/>
      <c r="E3" s="430"/>
      <c r="F3" s="430"/>
      <c r="G3" s="431"/>
    </row>
    <row r="4" spans="1:7" ht="16" hidden="1" x14ac:dyDescent="0.2">
      <c r="A4" s="240">
        <v>1</v>
      </c>
      <c r="B4" s="48" t="s">
        <v>293</v>
      </c>
      <c r="C4" s="49">
        <v>1</v>
      </c>
      <c r="D4" s="46">
        <v>15000000</v>
      </c>
      <c r="E4" s="50">
        <f>D4*C4</f>
        <v>15000000</v>
      </c>
      <c r="F4" s="50">
        <v>0</v>
      </c>
      <c r="G4" s="241">
        <v>0</v>
      </c>
    </row>
    <row r="5" spans="1:7" ht="16" hidden="1" x14ac:dyDescent="0.2">
      <c r="A5" s="240">
        <v>2</v>
      </c>
      <c r="B5" s="48" t="s">
        <v>464</v>
      </c>
      <c r="C5" s="45">
        <v>1</v>
      </c>
      <c r="D5" s="46">
        <v>70000000</v>
      </c>
      <c r="E5" s="50">
        <f>D5*C5</f>
        <v>70000000</v>
      </c>
      <c r="F5" s="50">
        <v>140000000</v>
      </c>
      <c r="G5" s="241">
        <v>210000000</v>
      </c>
    </row>
    <row r="6" spans="1:7" ht="16" hidden="1" x14ac:dyDescent="0.2">
      <c r="A6" s="240">
        <v>3</v>
      </c>
      <c r="B6" s="47" t="s">
        <v>466</v>
      </c>
      <c r="C6" s="45">
        <v>1</v>
      </c>
      <c r="D6" s="46">
        <v>3000000</v>
      </c>
      <c r="E6" s="256">
        <v>3000000</v>
      </c>
      <c r="F6" s="50" t="s">
        <v>649</v>
      </c>
      <c r="G6" s="241" t="s">
        <v>649</v>
      </c>
    </row>
    <row r="7" spans="1:7" ht="16" hidden="1" x14ac:dyDescent="0.2">
      <c r="A7" s="240">
        <v>4</v>
      </c>
      <c r="B7" s="47" t="s">
        <v>651</v>
      </c>
      <c r="C7" s="45">
        <v>7</v>
      </c>
      <c r="D7" s="46">
        <v>800000</v>
      </c>
      <c r="E7" s="50">
        <v>5000000</v>
      </c>
      <c r="F7" s="50" t="s">
        <v>649</v>
      </c>
      <c r="G7" s="241" t="s">
        <v>649</v>
      </c>
    </row>
    <row r="8" spans="1:7" hidden="1" x14ac:dyDescent="0.2">
      <c r="A8" s="240">
        <v>5</v>
      </c>
      <c r="B8" s="47" t="s">
        <v>487</v>
      </c>
      <c r="C8" s="45">
        <v>1</v>
      </c>
      <c r="D8" s="46">
        <v>50000000</v>
      </c>
      <c r="E8" s="50">
        <f>D8*C8</f>
        <v>50000000</v>
      </c>
      <c r="F8" s="50">
        <f>D8*2</f>
        <v>100000000</v>
      </c>
      <c r="G8" s="241">
        <f>D8*3</f>
        <v>150000000</v>
      </c>
    </row>
    <row r="9" spans="1:7" hidden="1" x14ac:dyDescent="0.2">
      <c r="A9" s="240">
        <v>6</v>
      </c>
      <c r="B9" s="47" t="s">
        <v>652</v>
      </c>
      <c r="C9" s="45">
        <v>1</v>
      </c>
      <c r="D9" s="46">
        <v>70000000</v>
      </c>
      <c r="E9" s="50">
        <f>D9*C9</f>
        <v>70000000</v>
      </c>
      <c r="F9" s="50">
        <f>D9*2</f>
        <v>140000000</v>
      </c>
      <c r="G9" s="241">
        <f>D9*3</f>
        <v>210000000</v>
      </c>
    </row>
    <row r="10" spans="1:7" hidden="1" x14ac:dyDescent="0.2">
      <c r="A10" s="240">
        <v>6</v>
      </c>
      <c r="B10" s="47" t="s">
        <v>462</v>
      </c>
      <c r="C10" s="45">
        <v>1</v>
      </c>
      <c r="D10" s="46">
        <v>0</v>
      </c>
      <c r="E10" s="50">
        <f>D10*C10</f>
        <v>0</v>
      </c>
      <c r="F10" s="50">
        <v>0</v>
      </c>
      <c r="G10" s="241">
        <v>0</v>
      </c>
    </row>
    <row r="11" spans="1:7" hidden="1" x14ac:dyDescent="0.2">
      <c r="A11" s="240">
        <v>7</v>
      </c>
      <c r="B11" s="47" t="s">
        <v>630</v>
      </c>
      <c r="C11" s="45">
        <v>1</v>
      </c>
      <c r="D11" s="46">
        <v>0</v>
      </c>
      <c r="E11" s="50">
        <f>D11*C11</f>
        <v>0</v>
      </c>
      <c r="F11" s="50">
        <v>0</v>
      </c>
      <c r="G11" s="241">
        <v>0</v>
      </c>
    </row>
    <row r="12" spans="1:7" hidden="1" x14ac:dyDescent="0.2">
      <c r="A12" s="240">
        <v>8</v>
      </c>
      <c r="B12" s="47" t="s">
        <v>465</v>
      </c>
      <c r="C12" s="45">
        <v>150</v>
      </c>
      <c r="D12" s="46">
        <v>0</v>
      </c>
      <c r="E12" s="50">
        <v>0</v>
      </c>
      <c r="F12" s="50">
        <v>0</v>
      </c>
      <c r="G12" s="241">
        <v>0</v>
      </c>
    </row>
    <row r="13" spans="1:7" x14ac:dyDescent="0.2">
      <c r="A13" s="242">
        <v>1</v>
      </c>
      <c r="B13" s="61" t="s">
        <v>742</v>
      </c>
      <c r="C13" s="59"/>
      <c r="D13" s="60"/>
      <c r="E13" s="161">
        <f>SUM(E4:E12)</f>
        <v>213000000</v>
      </c>
      <c r="F13" s="161">
        <f>SUM(F4:F12)</f>
        <v>380000000</v>
      </c>
      <c r="G13" s="243">
        <f>SUM(G4:G12)</f>
        <v>570000000</v>
      </c>
    </row>
    <row r="14" spans="1:7" x14ac:dyDescent="0.2">
      <c r="A14" s="414" t="s">
        <v>628</v>
      </c>
      <c r="B14" s="415"/>
      <c r="C14" s="415"/>
      <c r="D14" s="415"/>
      <c r="E14" s="415"/>
      <c r="F14" s="415"/>
      <c r="G14" s="416"/>
    </row>
    <row r="15" spans="1:7" hidden="1" x14ac:dyDescent="0.2">
      <c r="A15" s="240">
        <v>1</v>
      </c>
      <c r="B15" s="47" t="s">
        <v>589</v>
      </c>
      <c r="C15" s="45">
        <v>1</v>
      </c>
      <c r="D15" s="215">
        <v>150000</v>
      </c>
      <c r="E15" s="216">
        <f>D15*C15</f>
        <v>150000</v>
      </c>
      <c r="F15" s="50">
        <v>400000</v>
      </c>
      <c r="G15" s="241">
        <v>400000</v>
      </c>
    </row>
    <row r="16" spans="1:7" hidden="1" x14ac:dyDescent="0.2">
      <c r="A16" s="240">
        <v>2</v>
      </c>
      <c r="B16" s="47" t="s">
        <v>298</v>
      </c>
      <c r="C16" s="45">
        <v>1</v>
      </c>
      <c r="D16" s="46">
        <v>0</v>
      </c>
      <c r="E16" s="50">
        <v>0</v>
      </c>
      <c r="F16" s="50">
        <v>0</v>
      </c>
      <c r="G16" s="241">
        <v>0</v>
      </c>
    </row>
    <row r="17" spans="1:7" hidden="1" x14ac:dyDescent="0.2">
      <c r="A17" s="240">
        <v>3</v>
      </c>
      <c r="B17" s="4" t="s">
        <v>288</v>
      </c>
      <c r="C17" s="45">
        <v>1</v>
      </c>
      <c r="D17" s="46">
        <v>0</v>
      </c>
      <c r="E17" s="50">
        <v>0</v>
      </c>
      <c r="F17" s="50">
        <v>0</v>
      </c>
      <c r="G17" s="241">
        <v>0</v>
      </c>
    </row>
    <row r="18" spans="1:7" hidden="1" x14ac:dyDescent="0.2">
      <c r="A18" s="240">
        <v>4</v>
      </c>
      <c r="B18" s="47" t="s">
        <v>416</v>
      </c>
      <c r="C18" s="45">
        <v>1</v>
      </c>
      <c r="D18" s="46">
        <v>0</v>
      </c>
      <c r="E18" s="50">
        <v>0</v>
      </c>
      <c r="F18" s="50">
        <v>0</v>
      </c>
      <c r="G18" s="241">
        <v>0</v>
      </c>
    </row>
    <row r="19" spans="1:7" hidden="1" x14ac:dyDescent="0.2">
      <c r="A19" s="240">
        <v>5</v>
      </c>
      <c r="B19" s="47" t="s">
        <v>287</v>
      </c>
      <c r="C19" s="45">
        <v>15</v>
      </c>
      <c r="D19" s="46">
        <v>0</v>
      </c>
      <c r="E19" s="50">
        <v>0</v>
      </c>
      <c r="F19" s="50">
        <v>0</v>
      </c>
      <c r="G19" s="241">
        <v>0</v>
      </c>
    </row>
    <row r="20" spans="1:7" hidden="1" x14ac:dyDescent="0.2">
      <c r="A20" s="240">
        <v>6</v>
      </c>
      <c r="B20" s="47" t="s">
        <v>415</v>
      </c>
      <c r="C20" s="45">
        <v>10</v>
      </c>
      <c r="D20" s="46">
        <v>0</v>
      </c>
      <c r="E20" s="50">
        <v>0</v>
      </c>
      <c r="F20" s="50">
        <v>0</v>
      </c>
      <c r="G20" s="241">
        <v>0</v>
      </c>
    </row>
    <row r="21" spans="1:7" hidden="1" x14ac:dyDescent="0.2">
      <c r="A21" s="240">
        <v>7</v>
      </c>
      <c r="B21" s="47" t="s">
        <v>300</v>
      </c>
      <c r="C21" s="45">
        <v>1</v>
      </c>
      <c r="D21" s="46">
        <v>0</v>
      </c>
      <c r="E21" s="50">
        <v>0</v>
      </c>
      <c r="F21" s="50">
        <v>0</v>
      </c>
      <c r="G21" s="241">
        <v>0</v>
      </c>
    </row>
    <row r="22" spans="1:7" hidden="1" x14ac:dyDescent="0.2">
      <c r="A22" s="240">
        <v>2</v>
      </c>
      <c r="B22" s="47" t="s">
        <v>484</v>
      </c>
      <c r="C22" s="45">
        <v>1</v>
      </c>
      <c r="D22" s="46">
        <v>200000</v>
      </c>
      <c r="E22" s="50">
        <f>D22*C22</f>
        <v>200000</v>
      </c>
      <c r="F22" s="50">
        <v>2800000</v>
      </c>
      <c r="G22" s="241">
        <v>2800000</v>
      </c>
    </row>
    <row r="23" spans="1:7" hidden="1" x14ac:dyDescent="0.2">
      <c r="A23" s="240">
        <v>3</v>
      </c>
      <c r="B23" s="424" t="s">
        <v>624</v>
      </c>
      <c r="C23" s="425">
        <v>3</v>
      </c>
      <c r="D23" s="426">
        <v>450000</v>
      </c>
      <c r="E23" s="50">
        <v>1000000</v>
      </c>
      <c r="F23" s="50">
        <v>660000</v>
      </c>
      <c r="G23" s="241">
        <v>880000</v>
      </c>
    </row>
    <row r="24" spans="1:7" ht="16" hidden="1" x14ac:dyDescent="0.2">
      <c r="A24" s="240">
        <v>10</v>
      </c>
      <c r="B24" s="62" t="s">
        <v>193</v>
      </c>
      <c r="C24" s="49">
        <v>3</v>
      </c>
      <c r="D24" s="46">
        <v>0</v>
      </c>
      <c r="E24" s="50">
        <f t="shared" ref="E24:E29" si="0">D24*C24</f>
        <v>0</v>
      </c>
      <c r="F24" s="50">
        <v>0</v>
      </c>
      <c r="G24" s="241">
        <v>0</v>
      </c>
    </row>
    <row r="25" spans="1:7" ht="16" hidden="1" x14ac:dyDescent="0.2">
      <c r="A25" s="240">
        <v>11</v>
      </c>
      <c r="B25" s="62" t="s">
        <v>195</v>
      </c>
      <c r="C25" s="49">
        <v>2</v>
      </c>
      <c r="D25" s="46">
        <v>0</v>
      </c>
      <c r="E25" s="50">
        <f t="shared" si="0"/>
        <v>0</v>
      </c>
      <c r="F25" s="50">
        <v>0</v>
      </c>
      <c r="G25" s="241">
        <v>0</v>
      </c>
    </row>
    <row r="26" spans="1:7" ht="16" hidden="1" x14ac:dyDescent="0.2">
      <c r="A26" s="240">
        <v>12</v>
      </c>
      <c r="B26" s="62" t="s">
        <v>196</v>
      </c>
      <c r="C26" s="49">
        <v>1</v>
      </c>
      <c r="D26" s="46">
        <v>0</v>
      </c>
      <c r="E26" s="50">
        <f t="shared" si="0"/>
        <v>0</v>
      </c>
      <c r="F26" s="50">
        <v>0</v>
      </c>
      <c r="G26" s="241">
        <v>0</v>
      </c>
    </row>
    <row r="27" spans="1:7" ht="16" hidden="1" x14ac:dyDescent="0.2">
      <c r="A27" s="240">
        <v>13</v>
      </c>
      <c r="B27" s="62" t="s">
        <v>304</v>
      </c>
      <c r="C27" s="49">
        <v>1</v>
      </c>
      <c r="D27" s="46">
        <v>0</v>
      </c>
      <c r="E27" s="50">
        <f t="shared" si="0"/>
        <v>0</v>
      </c>
      <c r="F27" s="50">
        <v>0</v>
      </c>
      <c r="G27" s="241">
        <v>0</v>
      </c>
    </row>
    <row r="28" spans="1:7" ht="16" hidden="1" x14ac:dyDescent="0.2">
      <c r="A28" s="240">
        <v>14</v>
      </c>
      <c r="B28" s="62" t="s">
        <v>198</v>
      </c>
      <c r="C28" s="49">
        <v>3</v>
      </c>
      <c r="D28" s="46">
        <v>0</v>
      </c>
      <c r="E28" s="50">
        <f t="shared" si="0"/>
        <v>0</v>
      </c>
      <c r="F28" s="50">
        <v>0</v>
      </c>
      <c r="G28" s="241">
        <v>0</v>
      </c>
    </row>
    <row r="29" spans="1:7" ht="16" hidden="1" x14ac:dyDescent="0.2">
      <c r="A29" s="240">
        <v>15</v>
      </c>
      <c r="B29" s="62" t="s">
        <v>289</v>
      </c>
      <c r="C29" s="49">
        <v>1</v>
      </c>
      <c r="D29" s="46">
        <v>0</v>
      </c>
      <c r="E29" s="50">
        <f t="shared" si="0"/>
        <v>0</v>
      </c>
      <c r="F29" s="50">
        <v>0</v>
      </c>
      <c r="G29" s="241">
        <v>0</v>
      </c>
    </row>
    <row r="30" spans="1:7" hidden="1" x14ac:dyDescent="0.2">
      <c r="A30" s="240">
        <v>4</v>
      </c>
      <c r="B30" s="424" t="s">
        <v>650</v>
      </c>
      <c r="C30" s="425"/>
      <c r="D30" s="426"/>
      <c r="E30" s="168">
        <f>SUM(E15:E29)</f>
        <v>1350000</v>
      </c>
      <c r="F30" s="168">
        <f>SUM(F15:F29)</f>
        <v>3860000</v>
      </c>
      <c r="G30" s="244">
        <f>SUM(G15:G29)</f>
        <v>4080000</v>
      </c>
    </row>
    <row r="31" spans="1:7" hidden="1" x14ac:dyDescent="0.2">
      <c r="A31" s="240">
        <v>5</v>
      </c>
      <c r="B31" s="424" t="s">
        <v>590</v>
      </c>
      <c r="C31" s="425"/>
      <c r="D31" s="426"/>
      <c r="E31" s="162">
        <f>E30*7</f>
        <v>9450000</v>
      </c>
      <c r="F31" s="162">
        <f>F30*7</f>
        <v>27020000</v>
      </c>
      <c r="G31" s="234">
        <f>G30*7</f>
        <v>28560000</v>
      </c>
    </row>
    <row r="32" spans="1:7" x14ac:dyDescent="0.2">
      <c r="A32" s="240">
        <v>2</v>
      </c>
      <c r="B32" s="421" t="s">
        <v>743</v>
      </c>
      <c r="C32" s="422"/>
      <c r="D32" s="423"/>
      <c r="E32" s="163">
        <f>E31*12</f>
        <v>113400000</v>
      </c>
      <c r="F32" s="163">
        <f>F31*12</f>
        <v>324240000</v>
      </c>
      <c r="G32" s="245">
        <f>G31*12</f>
        <v>342720000</v>
      </c>
    </row>
    <row r="33" spans="1:7" x14ac:dyDescent="0.2">
      <c r="A33" s="414" t="s">
        <v>629</v>
      </c>
      <c r="B33" s="415"/>
      <c r="C33" s="415"/>
      <c r="D33" s="415"/>
      <c r="E33" s="415"/>
      <c r="F33" s="415"/>
      <c r="G33" s="416"/>
    </row>
    <row r="34" spans="1:7" ht="16" hidden="1" x14ac:dyDescent="0.2">
      <c r="A34" s="240">
        <v>1</v>
      </c>
      <c r="B34" s="48" t="s">
        <v>463</v>
      </c>
      <c r="C34" s="49">
        <v>1</v>
      </c>
      <c r="D34" s="50">
        <v>5000000</v>
      </c>
      <c r="E34" s="50">
        <v>0</v>
      </c>
      <c r="F34" s="50">
        <v>5000000</v>
      </c>
      <c r="G34" s="241">
        <v>7500000</v>
      </c>
    </row>
    <row r="35" spans="1:7" ht="16" hidden="1" x14ac:dyDescent="0.2">
      <c r="A35" s="240">
        <v>2</v>
      </c>
      <c r="B35" s="48" t="s">
        <v>467</v>
      </c>
      <c r="C35" s="49">
        <v>1</v>
      </c>
      <c r="D35" s="50">
        <f>1*1200*840</f>
        <v>1008000</v>
      </c>
      <c r="E35" s="50">
        <f>D35*C35</f>
        <v>1008000</v>
      </c>
      <c r="F35" s="50">
        <f>E35*2</f>
        <v>2016000</v>
      </c>
      <c r="G35" s="241">
        <f>E35*3</f>
        <v>3024000</v>
      </c>
    </row>
    <row r="36" spans="1:7" ht="16" hidden="1" x14ac:dyDescent="0.2">
      <c r="A36" s="240">
        <v>3</v>
      </c>
      <c r="B36" s="54" t="s">
        <v>468</v>
      </c>
      <c r="C36" s="45">
        <v>1</v>
      </c>
      <c r="D36" s="50">
        <v>210000000</v>
      </c>
      <c r="E36" s="50">
        <f>D36</f>
        <v>210000000</v>
      </c>
      <c r="F36" s="50">
        <f>E36*2</f>
        <v>420000000</v>
      </c>
      <c r="G36" s="241">
        <f>E36*3</f>
        <v>630000000</v>
      </c>
    </row>
    <row r="37" spans="1:7" hidden="1" x14ac:dyDescent="0.2">
      <c r="A37" s="240">
        <v>4</v>
      </c>
      <c r="B37" s="4" t="s">
        <v>326</v>
      </c>
      <c r="C37" s="45">
        <v>1</v>
      </c>
      <c r="D37" s="90">
        <v>5000000</v>
      </c>
      <c r="E37" s="164">
        <v>0</v>
      </c>
      <c r="F37" s="50">
        <v>0</v>
      </c>
      <c r="G37" s="241">
        <v>0</v>
      </c>
    </row>
    <row r="38" spans="1:7" hidden="1" x14ac:dyDescent="0.2">
      <c r="A38" s="240">
        <v>4</v>
      </c>
      <c r="B38" s="4" t="s">
        <v>482</v>
      </c>
      <c r="C38" s="45">
        <v>1</v>
      </c>
      <c r="D38" s="90">
        <v>36000000</v>
      </c>
      <c r="E38" s="164">
        <v>36000000</v>
      </c>
      <c r="F38" s="164">
        <v>50000000</v>
      </c>
      <c r="G38" s="241">
        <v>60000000</v>
      </c>
    </row>
    <row r="39" spans="1:7" x14ac:dyDescent="0.2">
      <c r="A39" s="240">
        <v>3</v>
      </c>
      <c r="B39" s="421" t="s">
        <v>744</v>
      </c>
      <c r="C39" s="422"/>
      <c r="D39" s="423"/>
      <c r="E39" s="161">
        <f>SUM(E34:E38)</f>
        <v>247008000</v>
      </c>
      <c r="F39" s="161">
        <f>SUM(F34:F38)</f>
        <v>477016000</v>
      </c>
      <c r="G39" s="243">
        <f>SUM(G34:G38)</f>
        <v>700524000</v>
      </c>
    </row>
    <row r="40" spans="1:7" ht="16" x14ac:dyDescent="0.2">
      <c r="A40" s="246"/>
      <c r="B40" s="417" t="s">
        <v>469</v>
      </c>
      <c r="C40" s="418"/>
      <c r="D40" s="418"/>
      <c r="E40" s="165">
        <f>E39+E32</f>
        <v>360408000</v>
      </c>
      <c r="F40" s="165">
        <f>F39+F32</f>
        <v>801256000</v>
      </c>
      <c r="G40" s="247">
        <f>G39+G32</f>
        <v>1043244000</v>
      </c>
    </row>
    <row r="41" spans="1:7" ht="17" thickBot="1" x14ac:dyDescent="0.25">
      <c r="A41" s="276"/>
      <c r="B41" s="455" t="s">
        <v>424</v>
      </c>
      <c r="C41" s="456"/>
      <c r="D41" s="456"/>
      <c r="E41" s="277">
        <f>E40+E13</f>
        <v>573408000</v>
      </c>
      <c r="F41" s="277">
        <f>F40+F13</f>
        <v>1181256000</v>
      </c>
      <c r="G41" s="278">
        <f>G40+G13</f>
        <v>1613244000</v>
      </c>
    </row>
    <row r="42" spans="1:7" ht="25" thickBot="1" x14ac:dyDescent="0.35">
      <c r="A42" s="457" t="s">
        <v>769</v>
      </c>
      <c r="B42" s="458"/>
      <c r="C42" s="458"/>
      <c r="D42" s="458"/>
      <c r="E42" s="458"/>
      <c r="F42" s="458"/>
      <c r="G42" s="459"/>
    </row>
    <row r="43" spans="1:7" ht="32" x14ac:dyDescent="0.2">
      <c r="A43" s="286">
        <v>1</v>
      </c>
      <c r="B43" s="282" t="s">
        <v>745</v>
      </c>
      <c r="C43" s="282" t="s">
        <v>754</v>
      </c>
      <c r="D43" s="283">
        <v>100476</v>
      </c>
      <c r="E43" s="283">
        <v>1004760</v>
      </c>
      <c r="F43" s="283">
        <v>7033320</v>
      </c>
      <c r="G43" s="284" t="s">
        <v>760</v>
      </c>
    </row>
    <row r="44" spans="1:7" ht="32" x14ac:dyDescent="0.2">
      <c r="A44" s="254">
        <v>2</v>
      </c>
      <c r="B44" s="279" t="s">
        <v>746</v>
      </c>
      <c r="C44" s="279" t="s">
        <v>755</v>
      </c>
      <c r="D44" s="280">
        <v>100476</v>
      </c>
      <c r="E44" s="280">
        <v>2009520</v>
      </c>
      <c r="F44" s="280">
        <v>14066640</v>
      </c>
      <c r="G44" s="285" t="s">
        <v>761</v>
      </c>
    </row>
    <row r="45" spans="1:7" ht="32" x14ac:dyDescent="0.2">
      <c r="A45" s="254">
        <v>3</v>
      </c>
      <c r="B45" s="279" t="s">
        <v>747</v>
      </c>
      <c r="C45" s="279" t="s">
        <v>756</v>
      </c>
      <c r="D45" s="280">
        <v>100476</v>
      </c>
      <c r="E45" s="280">
        <v>3014280</v>
      </c>
      <c r="F45" s="280">
        <v>21099960</v>
      </c>
      <c r="G45" s="285" t="s">
        <v>762</v>
      </c>
    </row>
    <row r="46" spans="1:7" ht="32" x14ac:dyDescent="0.2">
      <c r="A46" s="254">
        <v>4</v>
      </c>
      <c r="B46" s="279" t="s">
        <v>748</v>
      </c>
      <c r="C46" s="279" t="s">
        <v>757</v>
      </c>
      <c r="D46" s="280">
        <v>100476</v>
      </c>
      <c r="E46" s="280">
        <v>4019040</v>
      </c>
      <c r="F46" s="280">
        <v>28133280</v>
      </c>
      <c r="G46" s="285" t="s">
        <v>763</v>
      </c>
    </row>
    <row r="47" spans="1:7" ht="32" x14ac:dyDescent="0.2">
      <c r="A47" s="254">
        <v>5</v>
      </c>
      <c r="B47" s="279" t="s">
        <v>749</v>
      </c>
      <c r="C47" s="279" t="s">
        <v>758</v>
      </c>
      <c r="D47" s="280">
        <v>100476</v>
      </c>
      <c r="E47" s="280">
        <v>5023800</v>
      </c>
      <c r="F47" s="280">
        <v>35166600</v>
      </c>
      <c r="G47" s="285" t="s">
        <v>764</v>
      </c>
    </row>
    <row r="48" spans="1:7" ht="32" x14ac:dyDescent="0.2">
      <c r="A48" s="254">
        <v>6</v>
      </c>
      <c r="B48" s="279" t="s">
        <v>750</v>
      </c>
      <c r="C48" s="279" t="s">
        <v>759</v>
      </c>
      <c r="D48" s="280">
        <v>100476</v>
      </c>
      <c r="E48" s="280">
        <v>6028560</v>
      </c>
      <c r="F48" s="280">
        <v>42199920</v>
      </c>
      <c r="G48" s="285" t="s">
        <v>765</v>
      </c>
    </row>
    <row r="49" spans="1:7" ht="32" x14ac:dyDescent="0.2">
      <c r="A49" s="254">
        <v>7</v>
      </c>
      <c r="B49" s="279" t="s">
        <v>751</v>
      </c>
      <c r="C49" s="279" t="s">
        <v>488</v>
      </c>
      <c r="D49" s="281">
        <v>100476</v>
      </c>
      <c r="E49" s="281">
        <v>12057120</v>
      </c>
      <c r="F49" s="281">
        <v>84399840</v>
      </c>
      <c r="G49" s="285" t="s">
        <v>766</v>
      </c>
    </row>
    <row r="50" spans="1:7" ht="32" x14ac:dyDescent="0.2">
      <c r="A50" s="254">
        <v>8</v>
      </c>
      <c r="B50" s="279" t="s">
        <v>752</v>
      </c>
      <c r="C50" s="279" t="s">
        <v>489</v>
      </c>
      <c r="D50" s="280">
        <v>100476</v>
      </c>
      <c r="E50" s="280">
        <v>24114240</v>
      </c>
      <c r="F50" s="280">
        <v>168799680</v>
      </c>
      <c r="G50" s="285" t="s">
        <v>767</v>
      </c>
    </row>
    <row r="51" spans="1:7" ht="36" customHeight="1" thickBot="1" x14ac:dyDescent="0.25">
      <c r="A51" s="287">
        <v>9</v>
      </c>
      <c r="B51" s="288" t="s">
        <v>753</v>
      </c>
      <c r="C51" s="288" t="s">
        <v>490</v>
      </c>
      <c r="D51" s="289">
        <v>100476</v>
      </c>
      <c r="E51" s="289">
        <v>36171360</v>
      </c>
      <c r="F51" s="289">
        <v>253199520</v>
      </c>
      <c r="G51" s="290" t="s">
        <v>768</v>
      </c>
    </row>
  </sheetData>
  <mergeCells count="12">
    <mergeCell ref="A33:G33"/>
    <mergeCell ref="B39:D39"/>
    <mergeCell ref="B40:D40"/>
    <mergeCell ref="B41:D41"/>
    <mergeCell ref="A42:G42"/>
    <mergeCell ref="B31:D31"/>
    <mergeCell ref="B32:D32"/>
    <mergeCell ref="A1:G1"/>
    <mergeCell ref="A3:G3"/>
    <mergeCell ref="A14:G14"/>
    <mergeCell ref="B23:D23"/>
    <mergeCell ref="B30:D30"/>
  </mergeCell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43FA-B87B-524A-A5D3-A337B312C729}">
  <dimension ref="A1:H12"/>
  <sheetViews>
    <sheetView topLeftCell="A4" zoomScale="210" zoomScaleNormal="210" workbookViewId="0">
      <selection activeCell="C2" sqref="C2"/>
    </sheetView>
  </sheetViews>
  <sheetFormatPr baseColWidth="10" defaultRowHeight="15" x14ac:dyDescent="0.2"/>
  <cols>
    <col min="1" max="1" width="5.33203125" style="262" bestFit="1" customWidth="1"/>
    <col min="2" max="2" width="11.83203125" style="1" bestFit="1" customWidth="1"/>
    <col min="3" max="3" width="31" style="1" customWidth="1"/>
    <col min="4" max="4" width="9.83203125" style="262" bestFit="1" customWidth="1"/>
    <col min="5" max="5" width="11.6640625" style="275" bestFit="1" customWidth="1"/>
    <col min="6" max="6" width="4.6640625" style="262" bestFit="1" customWidth="1"/>
    <col min="7" max="7" width="8.83203125" style="262" bestFit="1" customWidth="1"/>
    <col min="8" max="8" width="35.6640625" style="1" customWidth="1"/>
    <col min="9" max="16384" width="10.83203125" style="1"/>
  </cols>
  <sheetData>
    <row r="1" spans="1:8" ht="32" x14ac:dyDescent="0.2">
      <c r="A1" s="263" t="s">
        <v>669</v>
      </c>
      <c r="B1" s="263" t="s">
        <v>721</v>
      </c>
      <c r="C1" s="263" t="s">
        <v>672</v>
      </c>
      <c r="D1" s="263" t="s">
        <v>722</v>
      </c>
      <c r="E1" s="272" t="s">
        <v>723</v>
      </c>
      <c r="F1" s="263" t="s">
        <v>444</v>
      </c>
      <c r="G1" s="263" t="s">
        <v>701</v>
      </c>
      <c r="H1" s="263" t="s">
        <v>104</v>
      </c>
    </row>
    <row r="2" spans="1:8" ht="32" x14ac:dyDescent="0.2">
      <c r="A2" s="49">
        <v>1</v>
      </c>
      <c r="B2" s="48" t="s">
        <v>741</v>
      </c>
      <c r="C2" s="261" t="s">
        <v>771</v>
      </c>
      <c r="D2" s="49">
        <v>0</v>
      </c>
      <c r="E2" s="273">
        <v>10000000</v>
      </c>
      <c r="F2" s="264">
        <v>0.7</v>
      </c>
      <c r="G2" s="265">
        <f t="shared" ref="G2:G7" si="0">1-F2</f>
        <v>0.30000000000000004</v>
      </c>
      <c r="H2" s="261" t="s">
        <v>732</v>
      </c>
    </row>
    <row r="3" spans="1:8" ht="96" x14ac:dyDescent="0.2">
      <c r="A3" s="49">
        <v>2</v>
      </c>
      <c r="B3" s="48" t="s">
        <v>690</v>
      </c>
      <c r="C3" s="261" t="s">
        <v>729</v>
      </c>
      <c r="D3" s="49">
        <v>6</v>
      </c>
      <c r="E3" s="273">
        <v>50000000</v>
      </c>
      <c r="F3" s="264">
        <v>0.3</v>
      </c>
      <c r="G3" s="264">
        <f t="shared" si="0"/>
        <v>0.7</v>
      </c>
      <c r="H3" s="261" t="s">
        <v>740</v>
      </c>
    </row>
    <row r="4" spans="1:8" ht="112" x14ac:dyDescent="0.2">
      <c r="A4" s="49">
        <v>3</v>
      </c>
      <c r="B4" s="48" t="s">
        <v>733</v>
      </c>
      <c r="C4" s="261" t="s">
        <v>730</v>
      </c>
      <c r="D4" s="49">
        <v>12</v>
      </c>
      <c r="E4" s="273">
        <v>200000000</v>
      </c>
      <c r="F4" s="264">
        <v>0.3</v>
      </c>
      <c r="G4" s="264">
        <f t="shared" si="0"/>
        <v>0.7</v>
      </c>
      <c r="H4" s="266" t="s">
        <v>726</v>
      </c>
    </row>
    <row r="5" spans="1:8" ht="112" x14ac:dyDescent="0.2">
      <c r="A5" s="269">
        <v>4</v>
      </c>
      <c r="B5" s="267" t="s">
        <v>734</v>
      </c>
      <c r="C5" s="268" t="s">
        <v>738</v>
      </c>
      <c r="D5" s="269">
        <v>18</v>
      </c>
      <c r="E5" s="274">
        <v>400000000</v>
      </c>
      <c r="F5" s="270">
        <v>0.2</v>
      </c>
      <c r="G5" s="270">
        <f t="shared" si="0"/>
        <v>0.8</v>
      </c>
      <c r="H5" s="268" t="s">
        <v>725</v>
      </c>
    </row>
    <row r="6" spans="1:8" ht="64" x14ac:dyDescent="0.2">
      <c r="A6" s="269">
        <v>5</v>
      </c>
      <c r="B6" s="267" t="s">
        <v>686</v>
      </c>
      <c r="C6" s="268" t="s">
        <v>731</v>
      </c>
      <c r="D6" s="271">
        <v>24</v>
      </c>
      <c r="E6" s="274">
        <v>10000000</v>
      </c>
      <c r="F6" s="270">
        <v>0.1</v>
      </c>
      <c r="G6" s="270">
        <f t="shared" si="0"/>
        <v>0.9</v>
      </c>
      <c r="H6" s="268" t="s">
        <v>727</v>
      </c>
    </row>
    <row r="7" spans="1:8" ht="64" x14ac:dyDescent="0.2">
      <c r="A7" s="269">
        <v>6</v>
      </c>
      <c r="B7" s="267" t="s">
        <v>685</v>
      </c>
      <c r="C7" s="268" t="s">
        <v>739</v>
      </c>
      <c r="D7" s="269">
        <v>30</v>
      </c>
      <c r="E7" s="274">
        <v>50000000</v>
      </c>
      <c r="F7" s="270">
        <v>0.2</v>
      </c>
      <c r="G7" s="270">
        <f t="shared" si="0"/>
        <v>0.8</v>
      </c>
      <c r="H7" s="268" t="s">
        <v>728</v>
      </c>
    </row>
    <row r="10" spans="1:8" x14ac:dyDescent="0.2">
      <c r="A10" s="258"/>
    </row>
    <row r="11" spans="1:8" x14ac:dyDescent="0.2">
      <c r="A11" s="258"/>
    </row>
    <row r="12" spans="1:8" x14ac:dyDescent="0.2">
      <c r="A12" s="258"/>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A41E9-E198-424F-8DB1-114522970014}">
  <dimension ref="A1:K28"/>
  <sheetViews>
    <sheetView zoomScale="180" zoomScaleNormal="180" workbookViewId="0">
      <pane ySplit="1" topLeftCell="A2" activePane="bottomLeft" state="frozen"/>
      <selection activeCell="J32" sqref="J32"/>
      <selection pane="bottomLeft" activeCell="B24" sqref="B24"/>
    </sheetView>
  </sheetViews>
  <sheetFormatPr baseColWidth="10" defaultColWidth="8.83203125" defaultRowHeight="15" x14ac:dyDescent="0.2"/>
  <cols>
    <col min="1" max="1" width="9.33203125" bestFit="1" customWidth="1"/>
    <col min="2" max="2" width="66.5" customWidth="1"/>
    <col min="3" max="3" width="18.6640625" style="291" customWidth="1"/>
    <col min="4" max="4" width="13.5" bestFit="1" customWidth="1"/>
    <col min="5" max="5" width="18.5" style="291" customWidth="1"/>
    <col min="6" max="6" width="12.1640625" bestFit="1" customWidth="1"/>
  </cols>
  <sheetData>
    <row r="1" spans="1:5" ht="19.5" customHeight="1" thickBot="1" x14ac:dyDescent="0.3">
      <c r="A1" s="306" t="s">
        <v>290</v>
      </c>
      <c r="B1" s="307" t="s">
        <v>470</v>
      </c>
      <c r="C1" s="307" t="s">
        <v>488</v>
      </c>
      <c r="D1" s="307" t="s">
        <v>489</v>
      </c>
      <c r="E1" s="310" t="s">
        <v>490</v>
      </c>
    </row>
    <row r="2" spans="1:5" ht="16" thickBot="1" x14ac:dyDescent="0.25">
      <c r="A2" s="460" t="s">
        <v>788</v>
      </c>
      <c r="B2" s="461"/>
      <c r="C2" s="461"/>
      <c r="D2" s="461"/>
      <c r="E2" s="462"/>
    </row>
    <row r="3" spans="1:5" ht="16" x14ac:dyDescent="0.2">
      <c r="A3" s="345">
        <v>1</v>
      </c>
      <c r="B3" s="346" t="s">
        <v>827</v>
      </c>
      <c r="C3" s="347">
        <v>15000000</v>
      </c>
      <c r="D3" s="347">
        <v>15000000</v>
      </c>
      <c r="E3" s="348">
        <v>20000000</v>
      </c>
    </row>
    <row r="4" spans="1:5" ht="16" x14ac:dyDescent="0.2">
      <c r="A4" s="240">
        <v>2</v>
      </c>
      <c r="B4" s="48" t="s">
        <v>464</v>
      </c>
      <c r="C4" s="50">
        <v>25000000</v>
      </c>
      <c r="D4" s="50">
        <v>90000000</v>
      </c>
      <c r="E4" s="241">
        <v>120000000</v>
      </c>
    </row>
    <row r="5" spans="1:5" x14ac:dyDescent="0.2">
      <c r="A5" s="240">
        <v>3</v>
      </c>
      <c r="B5" s="47" t="s">
        <v>466</v>
      </c>
      <c r="C5" s="50">
        <v>30000000</v>
      </c>
      <c r="D5" s="256">
        <v>120000000</v>
      </c>
      <c r="E5" s="241">
        <v>150000000</v>
      </c>
    </row>
    <row r="6" spans="1:5" x14ac:dyDescent="0.2">
      <c r="A6" s="240">
        <v>4</v>
      </c>
      <c r="B6" s="47" t="s">
        <v>651</v>
      </c>
      <c r="C6" s="50">
        <v>5000000</v>
      </c>
      <c r="D6" s="50">
        <v>5000000</v>
      </c>
      <c r="E6" s="241">
        <v>10000000</v>
      </c>
    </row>
    <row r="7" spans="1:5" x14ac:dyDescent="0.2">
      <c r="A7" s="240">
        <v>5</v>
      </c>
      <c r="B7" s="47" t="s">
        <v>786</v>
      </c>
      <c r="C7" s="50">
        <v>15000000</v>
      </c>
      <c r="D7" s="50">
        <v>30000000</v>
      </c>
      <c r="E7" s="241">
        <v>50000000</v>
      </c>
    </row>
    <row r="8" spans="1:5" ht="16" thickBot="1" x14ac:dyDescent="0.25">
      <c r="A8" s="240">
        <v>6</v>
      </c>
      <c r="B8" s="47" t="s">
        <v>652</v>
      </c>
      <c r="C8" s="50">
        <v>20000000</v>
      </c>
      <c r="D8" s="50">
        <v>100000000</v>
      </c>
      <c r="E8" s="241">
        <v>150000000</v>
      </c>
    </row>
    <row r="9" spans="1:5" ht="16" thickBot="1" x14ac:dyDescent="0.25">
      <c r="A9" s="302">
        <v>7</v>
      </c>
      <c r="B9" s="303" t="s">
        <v>787</v>
      </c>
      <c r="C9" s="304">
        <f>SUM(C3:C8)</f>
        <v>110000000</v>
      </c>
      <c r="D9" s="304">
        <f>SUM(D3:D8)</f>
        <v>360000000</v>
      </c>
      <c r="E9" s="305">
        <f>SUM(E3:E8)</f>
        <v>500000000</v>
      </c>
    </row>
    <row r="10" spans="1:5" ht="17" thickBot="1" x14ac:dyDescent="0.25">
      <c r="A10" s="326" t="s">
        <v>0</v>
      </c>
      <c r="B10" s="324" t="s">
        <v>769</v>
      </c>
      <c r="C10" s="324" t="s">
        <v>488</v>
      </c>
      <c r="D10" s="324" t="s">
        <v>489</v>
      </c>
      <c r="E10" s="325" t="s">
        <v>490</v>
      </c>
    </row>
    <row r="11" spans="1:5" x14ac:dyDescent="0.2">
      <c r="A11" s="311">
        <v>1</v>
      </c>
      <c r="B11" s="4" t="s">
        <v>789</v>
      </c>
      <c r="C11" s="45">
        <v>5000</v>
      </c>
      <c r="D11" s="45">
        <v>5000</v>
      </c>
      <c r="E11" s="312">
        <v>5000</v>
      </c>
    </row>
    <row r="12" spans="1:5" x14ac:dyDescent="0.2">
      <c r="A12" s="311">
        <v>2</v>
      </c>
      <c r="B12" s="4" t="s">
        <v>790</v>
      </c>
      <c r="C12" s="45">
        <v>10000</v>
      </c>
      <c r="D12" s="45">
        <v>100000</v>
      </c>
      <c r="E12" s="312">
        <v>250000</v>
      </c>
    </row>
    <row r="13" spans="1:5" x14ac:dyDescent="0.2">
      <c r="A13" s="240">
        <v>3</v>
      </c>
      <c r="B13" s="4" t="s">
        <v>803</v>
      </c>
      <c r="C13" s="295">
        <f>C12*C11</f>
        <v>50000000</v>
      </c>
      <c r="D13" s="295">
        <f>D12*D11</f>
        <v>500000000</v>
      </c>
      <c r="E13" s="313">
        <f>E12*E11</f>
        <v>1250000000</v>
      </c>
    </row>
    <row r="14" spans="1:5" x14ac:dyDescent="0.2">
      <c r="A14" s="240">
        <v>4</v>
      </c>
      <c r="B14" s="4" t="s">
        <v>804</v>
      </c>
      <c r="C14" s="295">
        <f>C13*8</f>
        <v>400000000</v>
      </c>
      <c r="D14" s="295">
        <f>D13*8</f>
        <v>4000000000</v>
      </c>
      <c r="E14" s="313">
        <f>E13*8</f>
        <v>10000000000</v>
      </c>
    </row>
    <row r="15" spans="1:5" x14ac:dyDescent="0.2">
      <c r="A15" s="311">
        <v>5</v>
      </c>
      <c r="B15" s="4" t="s">
        <v>791</v>
      </c>
      <c r="C15" s="65">
        <v>0.24</v>
      </c>
      <c r="D15" s="65">
        <v>0.24</v>
      </c>
      <c r="E15" s="314">
        <v>0.24</v>
      </c>
    </row>
    <row r="16" spans="1:5" x14ac:dyDescent="0.2">
      <c r="A16" s="311">
        <v>6</v>
      </c>
      <c r="B16" s="4" t="s">
        <v>792</v>
      </c>
      <c r="C16" s="45">
        <v>2500</v>
      </c>
      <c r="D16" s="45">
        <v>2500</v>
      </c>
      <c r="E16" s="312">
        <v>2500</v>
      </c>
    </row>
    <row r="17" spans="1:11" x14ac:dyDescent="0.2">
      <c r="A17" s="240">
        <v>7</v>
      </c>
      <c r="B17" s="4" t="s">
        <v>793</v>
      </c>
      <c r="C17" s="295">
        <f>C16*C12</f>
        <v>25000000</v>
      </c>
      <c r="D17" s="295">
        <f>D16*D12</f>
        <v>250000000</v>
      </c>
      <c r="E17" s="313">
        <f>E16*E12</f>
        <v>625000000</v>
      </c>
      <c r="K17" t="s">
        <v>807</v>
      </c>
    </row>
    <row r="18" spans="1:11" hidden="1" x14ac:dyDescent="0.2">
      <c r="A18" s="311">
        <v>8</v>
      </c>
      <c r="B18" s="4" t="s">
        <v>794</v>
      </c>
      <c r="C18" s="296">
        <f>C16*C15*45/365</f>
        <v>73.972602739726028</v>
      </c>
      <c r="D18" s="296">
        <f>D16*D15*45/365</f>
        <v>73.972602739726028</v>
      </c>
      <c r="E18" s="315">
        <f>E16*E15*45/365</f>
        <v>73.972602739726028</v>
      </c>
    </row>
    <row r="19" spans="1:11" x14ac:dyDescent="0.2">
      <c r="A19" s="240">
        <v>8</v>
      </c>
      <c r="B19" s="308" t="s">
        <v>805</v>
      </c>
      <c r="C19" s="309">
        <v>11000000</v>
      </c>
      <c r="D19" s="309">
        <v>110000000</v>
      </c>
      <c r="E19" s="316">
        <v>550000000</v>
      </c>
    </row>
    <row r="20" spans="1:11" hidden="1" x14ac:dyDescent="0.2">
      <c r="A20" s="311">
        <v>11</v>
      </c>
      <c r="B20" s="4" t="s">
        <v>795</v>
      </c>
      <c r="C20" s="65">
        <v>0.25</v>
      </c>
      <c r="D20" s="65">
        <v>0.25</v>
      </c>
      <c r="E20" s="314">
        <v>0.25</v>
      </c>
    </row>
    <row r="21" spans="1:11" hidden="1" x14ac:dyDescent="0.2">
      <c r="A21" s="311">
        <v>12</v>
      </c>
      <c r="B21" s="4" t="s">
        <v>796</v>
      </c>
      <c r="C21" s="45">
        <v>10</v>
      </c>
      <c r="D21" s="45">
        <v>10</v>
      </c>
      <c r="E21" s="312">
        <v>10</v>
      </c>
    </row>
    <row r="22" spans="1:11" hidden="1" x14ac:dyDescent="0.2">
      <c r="A22" s="240">
        <v>13</v>
      </c>
      <c r="B22" s="4" t="s">
        <v>797</v>
      </c>
      <c r="C22" s="45">
        <v>15</v>
      </c>
      <c r="D22" s="45">
        <v>15</v>
      </c>
      <c r="E22" s="312">
        <v>15</v>
      </c>
    </row>
    <row r="23" spans="1:11" hidden="1" x14ac:dyDescent="0.2">
      <c r="A23" s="311">
        <v>14</v>
      </c>
      <c r="B23" s="89" t="s">
        <v>798</v>
      </c>
      <c r="C23" s="299">
        <f>C12*C20*C21*C22</f>
        <v>375000</v>
      </c>
      <c r="D23" s="299">
        <f>D12*D20*D21*D22</f>
        <v>3750000</v>
      </c>
      <c r="E23" s="317">
        <f>E12*E20*E21*E22</f>
        <v>9375000</v>
      </c>
    </row>
    <row r="24" spans="1:11" x14ac:dyDescent="0.2">
      <c r="A24" s="311">
        <v>9</v>
      </c>
      <c r="B24" s="308" t="s">
        <v>799</v>
      </c>
      <c r="C24" s="309">
        <f>C23*8</f>
        <v>3000000</v>
      </c>
      <c r="D24" s="309">
        <f>D23*8</f>
        <v>30000000</v>
      </c>
      <c r="E24" s="316">
        <f>E23*8</f>
        <v>75000000</v>
      </c>
    </row>
    <row r="25" spans="1:11" x14ac:dyDescent="0.2">
      <c r="A25" s="240">
        <v>10</v>
      </c>
      <c r="B25" s="300" t="s">
        <v>806</v>
      </c>
      <c r="C25" s="301">
        <v>14000000</v>
      </c>
      <c r="D25" s="301">
        <f>D24+D19</f>
        <v>140000000</v>
      </c>
      <c r="E25" s="318">
        <f>E24+E19</f>
        <v>625000000</v>
      </c>
    </row>
    <row r="26" spans="1:11" hidden="1" x14ac:dyDescent="0.2">
      <c r="A26" s="311">
        <v>17</v>
      </c>
      <c r="B26" s="4" t="s">
        <v>800</v>
      </c>
      <c r="C26" s="65">
        <v>0.16500000000000001</v>
      </c>
      <c r="D26" s="65">
        <v>0.17</v>
      </c>
      <c r="E26" s="314">
        <v>0.17</v>
      </c>
    </row>
    <row r="27" spans="1:11" x14ac:dyDescent="0.2">
      <c r="A27" s="311">
        <v>11</v>
      </c>
      <c r="B27" s="297" t="s">
        <v>801</v>
      </c>
      <c r="C27" s="298">
        <f>C16*C12*C26</f>
        <v>4125000</v>
      </c>
      <c r="D27" s="298">
        <f>D16*D12*D26</f>
        <v>42500000</v>
      </c>
      <c r="E27" s="319">
        <f>E16*E12*E26</f>
        <v>106250000.00000001</v>
      </c>
    </row>
    <row r="28" spans="1:11" ht="16" thickBot="1" x14ac:dyDescent="0.25">
      <c r="A28" s="320">
        <v>12</v>
      </c>
      <c r="B28" s="321" t="s">
        <v>802</v>
      </c>
      <c r="C28" s="322">
        <v>34000000</v>
      </c>
      <c r="D28" s="322">
        <v>255000000</v>
      </c>
      <c r="E28" s="323">
        <v>1020000000</v>
      </c>
    </row>
  </sheetData>
  <mergeCells count="1">
    <mergeCell ref="A2:E2"/>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2B96C-F075-F748-BC7C-024267A4C735}">
  <dimension ref="A1:H11"/>
  <sheetViews>
    <sheetView zoomScale="200" zoomScaleNormal="200" workbookViewId="0">
      <selection activeCell="E2" sqref="E2:E7"/>
    </sheetView>
  </sheetViews>
  <sheetFormatPr baseColWidth="10" defaultRowHeight="15" x14ac:dyDescent="0.2"/>
  <cols>
    <col min="1" max="1" width="5.33203125" style="262" bestFit="1" customWidth="1"/>
    <col min="2" max="2" width="11.83203125" style="1" bestFit="1" customWidth="1"/>
    <col min="3" max="3" width="31" style="1" customWidth="1"/>
    <col min="4" max="4" width="9.83203125" style="262" bestFit="1" customWidth="1"/>
    <col min="5" max="5" width="11.6640625" style="275" bestFit="1" customWidth="1"/>
    <col min="6" max="6" width="4.6640625" style="262" hidden="1" customWidth="1"/>
    <col min="7" max="7" width="8.83203125" style="262" hidden="1" customWidth="1"/>
    <col min="8" max="8" width="35.6640625" style="1" customWidth="1"/>
    <col min="9" max="16384" width="10.83203125" style="1"/>
  </cols>
  <sheetData>
    <row r="1" spans="1:8" ht="32" x14ac:dyDescent="0.2">
      <c r="A1" s="338" t="s">
        <v>669</v>
      </c>
      <c r="B1" s="338" t="s">
        <v>721</v>
      </c>
      <c r="C1" s="338" t="s">
        <v>672</v>
      </c>
      <c r="D1" s="338" t="s">
        <v>722</v>
      </c>
      <c r="E1" s="338" t="s">
        <v>723</v>
      </c>
      <c r="F1" s="338" t="s">
        <v>444</v>
      </c>
      <c r="G1" s="338" t="s">
        <v>701</v>
      </c>
      <c r="H1" s="338" t="s">
        <v>104</v>
      </c>
    </row>
    <row r="2" spans="1:8" ht="32" x14ac:dyDescent="0.2">
      <c r="A2" s="332">
        <v>1</v>
      </c>
      <c r="B2" s="333" t="s">
        <v>741</v>
      </c>
      <c r="C2" s="334" t="s">
        <v>817</v>
      </c>
      <c r="D2" s="332">
        <v>0</v>
      </c>
      <c r="E2" s="335">
        <v>15000000</v>
      </c>
      <c r="F2" s="336">
        <v>0.2</v>
      </c>
      <c r="G2" s="337">
        <f t="shared" ref="G2:G7" si="0">1-F2</f>
        <v>0.8</v>
      </c>
      <c r="H2" s="334" t="s">
        <v>732</v>
      </c>
    </row>
    <row r="3" spans="1:8" ht="80" x14ac:dyDescent="0.2">
      <c r="A3" s="49">
        <v>2</v>
      </c>
      <c r="B3" s="48" t="s">
        <v>813</v>
      </c>
      <c r="C3" s="261" t="s">
        <v>823</v>
      </c>
      <c r="D3" s="49">
        <v>1</v>
      </c>
      <c r="E3" s="273">
        <v>20000000</v>
      </c>
      <c r="F3" s="264">
        <v>0.3</v>
      </c>
      <c r="G3" s="264">
        <f t="shared" si="0"/>
        <v>0.7</v>
      </c>
      <c r="H3" s="261" t="s">
        <v>828</v>
      </c>
    </row>
    <row r="4" spans="1:8" ht="48" x14ac:dyDescent="0.2">
      <c r="A4" s="49">
        <v>3</v>
      </c>
      <c r="B4" s="48" t="s">
        <v>812</v>
      </c>
      <c r="C4" s="261" t="s">
        <v>819</v>
      </c>
      <c r="D4" s="49">
        <v>2</v>
      </c>
      <c r="E4" s="273">
        <v>20000000</v>
      </c>
      <c r="F4" s="264">
        <v>0.3</v>
      </c>
      <c r="G4" s="264">
        <f t="shared" si="0"/>
        <v>0.7</v>
      </c>
      <c r="H4" s="266" t="s">
        <v>821</v>
      </c>
    </row>
    <row r="5" spans="1:8" ht="48" x14ac:dyDescent="0.2">
      <c r="A5" s="327">
        <v>4</v>
      </c>
      <c r="B5" s="328" t="s">
        <v>814</v>
      </c>
      <c r="C5" s="329" t="s">
        <v>816</v>
      </c>
      <c r="D5" s="327">
        <v>3</v>
      </c>
      <c r="E5" s="330">
        <v>20000000</v>
      </c>
      <c r="F5" s="331">
        <v>0.2</v>
      </c>
      <c r="G5" s="331">
        <f t="shared" si="0"/>
        <v>0.8</v>
      </c>
      <c r="H5" s="329" t="s">
        <v>824</v>
      </c>
    </row>
    <row r="6" spans="1:8" ht="48" x14ac:dyDescent="0.2">
      <c r="A6" s="327">
        <v>5</v>
      </c>
      <c r="B6" s="328" t="s">
        <v>815</v>
      </c>
      <c r="C6" s="329" t="s">
        <v>818</v>
      </c>
      <c r="D6" s="327">
        <v>4</v>
      </c>
      <c r="E6" s="330">
        <v>15000000</v>
      </c>
      <c r="F6" s="331">
        <v>0.1</v>
      </c>
      <c r="G6" s="331">
        <f t="shared" si="0"/>
        <v>0.9</v>
      </c>
      <c r="H6" s="329" t="s">
        <v>825</v>
      </c>
    </row>
    <row r="7" spans="1:8" ht="64" x14ac:dyDescent="0.2">
      <c r="A7" s="327">
        <v>6</v>
      </c>
      <c r="B7" s="328" t="s">
        <v>815</v>
      </c>
      <c r="C7" s="329" t="s">
        <v>820</v>
      </c>
      <c r="D7" s="327" t="s">
        <v>822</v>
      </c>
      <c r="E7" s="330">
        <v>20000000</v>
      </c>
      <c r="F7" s="331">
        <v>0.2</v>
      </c>
      <c r="G7" s="331">
        <f t="shared" si="0"/>
        <v>0.8</v>
      </c>
      <c r="H7" s="329" t="s">
        <v>826</v>
      </c>
    </row>
    <row r="9" spans="1:8" x14ac:dyDescent="0.2">
      <c r="A9" s="291"/>
    </row>
    <row r="10" spans="1:8" x14ac:dyDescent="0.2">
      <c r="A10" s="291"/>
    </row>
    <row r="11" spans="1:8" x14ac:dyDescent="0.2">
      <c r="A11" s="29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6A4B-D480-7A4F-82E6-C35B5C1A7D7B}">
  <dimension ref="A1:P60"/>
  <sheetViews>
    <sheetView zoomScale="160" zoomScaleNormal="160" workbookViewId="0">
      <pane ySplit="1" topLeftCell="A2" activePane="bottomLeft" state="frozen"/>
      <selection activeCell="J32" sqref="J32"/>
      <selection pane="bottomLeft" activeCell="B37" sqref="B37"/>
    </sheetView>
  </sheetViews>
  <sheetFormatPr baseColWidth="10" defaultColWidth="8.83203125" defaultRowHeight="15" x14ac:dyDescent="0.2"/>
  <cols>
    <col min="1" max="1" width="9.33203125" bestFit="1" customWidth="1"/>
    <col min="2" max="2" width="66.5" customWidth="1"/>
    <col min="3" max="3" width="18.6640625" style="292" customWidth="1"/>
    <col min="4" max="4" width="13.5" bestFit="1" customWidth="1"/>
    <col min="5" max="5" width="18.5" style="292" customWidth="1"/>
    <col min="6" max="6" width="23.1640625" style="292" bestFit="1" customWidth="1"/>
    <col min="7" max="7" width="16.6640625" style="292" bestFit="1" customWidth="1"/>
    <col min="8" max="8" width="12.33203125" bestFit="1" customWidth="1"/>
    <col min="9" max="9" width="25.5" customWidth="1"/>
    <col min="10" max="10" width="31.5" bestFit="1" customWidth="1"/>
    <col min="13" max="13" width="12.5" customWidth="1"/>
    <col min="14" max="14" width="13.5" bestFit="1" customWidth="1"/>
    <col min="15" max="15" width="16.6640625" bestFit="1" customWidth="1"/>
  </cols>
  <sheetData>
    <row r="1" spans="1:16" ht="19.5" customHeight="1" thickBot="1" x14ac:dyDescent="0.3">
      <c r="A1" s="166" t="s">
        <v>290</v>
      </c>
      <c r="B1" s="167" t="s">
        <v>470</v>
      </c>
      <c r="C1" s="167" t="s">
        <v>285</v>
      </c>
      <c r="D1" s="167" t="s">
        <v>286</v>
      </c>
      <c r="E1" s="167" t="s">
        <v>488</v>
      </c>
      <c r="F1" s="167" t="s">
        <v>489</v>
      </c>
      <c r="G1" s="239" t="s">
        <v>490</v>
      </c>
      <c r="H1" s="237" t="s">
        <v>282</v>
      </c>
      <c r="I1" s="217" t="s">
        <v>582</v>
      </c>
      <c r="J1" s="427" t="s">
        <v>626</v>
      </c>
      <c r="K1" s="428"/>
      <c r="L1" s="218"/>
      <c r="M1" s="427" t="s">
        <v>576</v>
      </c>
      <c r="N1" s="428"/>
      <c r="O1" s="427" t="s">
        <v>602</v>
      </c>
      <c r="P1" s="428"/>
    </row>
    <row r="2" spans="1:16" x14ac:dyDescent="0.2">
      <c r="A2" s="429" t="s">
        <v>627</v>
      </c>
      <c r="B2" s="430"/>
      <c r="C2" s="430"/>
      <c r="D2" s="430"/>
      <c r="E2" s="430"/>
      <c r="F2" s="430"/>
      <c r="G2" s="431"/>
      <c r="I2" s="211" t="s">
        <v>583</v>
      </c>
      <c r="J2" t="s">
        <v>610</v>
      </c>
      <c r="M2" t="s">
        <v>598</v>
      </c>
      <c r="N2">
        <v>100000</v>
      </c>
      <c r="O2" t="s">
        <v>523</v>
      </c>
      <c r="P2" t="s">
        <v>597</v>
      </c>
    </row>
    <row r="3" spans="1:16" ht="16" x14ac:dyDescent="0.2">
      <c r="A3" s="240">
        <v>1</v>
      </c>
      <c r="B3" s="48" t="s">
        <v>293</v>
      </c>
      <c r="C3" s="49">
        <v>1</v>
      </c>
      <c r="D3" s="46">
        <v>15000000</v>
      </c>
      <c r="E3" s="50">
        <f>D3*C3</f>
        <v>15000000</v>
      </c>
      <c r="F3" s="50">
        <v>0</v>
      </c>
      <c r="G3" s="241">
        <v>0</v>
      </c>
      <c r="I3" s="214" t="s">
        <v>585</v>
      </c>
      <c r="J3" t="s">
        <v>592</v>
      </c>
      <c r="M3" t="s">
        <v>599</v>
      </c>
      <c r="N3">
        <v>100000</v>
      </c>
      <c r="O3" t="s">
        <v>547</v>
      </c>
      <c r="P3" t="s">
        <v>606</v>
      </c>
    </row>
    <row r="4" spans="1:16" ht="16" x14ac:dyDescent="0.2">
      <c r="A4" s="240">
        <v>2</v>
      </c>
      <c r="B4" s="48" t="s">
        <v>464</v>
      </c>
      <c r="C4" s="45">
        <v>1</v>
      </c>
      <c r="D4" s="46">
        <v>70000000</v>
      </c>
      <c r="E4" s="50">
        <f>D4*C4</f>
        <v>70000000</v>
      </c>
      <c r="F4" s="50">
        <v>140000000</v>
      </c>
      <c r="G4" s="241">
        <v>210000000</v>
      </c>
      <c r="I4" s="213" t="s">
        <v>584</v>
      </c>
      <c r="J4">
        <f>((1200*1500)+(120*250))*2.065/100</f>
        <v>37789.5</v>
      </c>
      <c r="K4" t="s">
        <v>593</v>
      </c>
      <c r="M4" t="s">
        <v>600</v>
      </c>
      <c r="N4">
        <f>SUM(N2:N3)</f>
        <v>200000</v>
      </c>
      <c r="O4" t="s">
        <v>603</v>
      </c>
      <c r="P4" t="s">
        <v>597</v>
      </c>
    </row>
    <row r="5" spans="1:16" ht="16" x14ac:dyDescent="0.2">
      <c r="A5" s="240">
        <v>3</v>
      </c>
      <c r="B5" s="47" t="s">
        <v>466</v>
      </c>
      <c r="C5" s="45">
        <v>1</v>
      </c>
      <c r="D5" s="46">
        <v>3000000</v>
      </c>
      <c r="E5" s="256">
        <v>3000000</v>
      </c>
      <c r="F5" s="50" t="s">
        <v>649</v>
      </c>
      <c r="G5" s="241" t="s">
        <v>649</v>
      </c>
      <c r="I5" s="214" t="s">
        <v>622</v>
      </c>
      <c r="J5">
        <f>J4*10</f>
        <v>377895</v>
      </c>
      <c r="K5" t="s">
        <v>594</v>
      </c>
      <c r="M5" t="s">
        <v>601</v>
      </c>
      <c r="N5" s="50">
        <f>N4*365</f>
        <v>73000000</v>
      </c>
      <c r="O5" t="s">
        <v>276</v>
      </c>
      <c r="P5" t="s">
        <v>607</v>
      </c>
    </row>
    <row r="6" spans="1:16" ht="16" x14ac:dyDescent="0.2">
      <c r="A6" s="240">
        <v>4</v>
      </c>
      <c r="B6" s="47" t="s">
        <v>651</v>
      </c>
      <c r="C6" s="45">
        <v>7</v>
      </c>
      <c r="D6" s="46">
        <v>800000</v>
      </c>
      <c r="E6" s="50">
        <v>5000000</v>
      </c>
      <c r="F6" s="50" t="s">
        <v>649</v>
      </c>
      <c r="G6" s="241" t="s">
        <v>649</v>
      </c>
      <c r="I6" t="s">
        <v>586</v>
      </c>
      <c r="J6">
        <f>J5*7</f>
        <v>2645265</v>
      </c>
      <c r="K6" t="s">
        <v>595</v>
      </c>
      <c r="O6" t="s">
        <v>149</v>
      </c>
      <c r="P6" t="s">
        <v>608</v>
      </c>
    </row>
    <row r="7" spans="1:16" x14ac:dyDescent="0.2">
      <c r="A7" s="240">
        <v>5</v>
      </c>
      <c r="B7" s="47" t="s">
        <v>487</v>
      </c>
      <c r="C7" s="45">
        <v>1</v>
      </c>
      <c r="D7" s="46">
        <v>50000000</v>
      </c>
      <c r="E7" s="50">
        <f>D7*C7</f>
        <v>50000000</v>
      </c>
      <c r="F7" s="50">
        <f>D7*2</f>
        <v>100000000</v>
      </c>
      <c r="G7" s="241">
        <f>D7*3</f>
        <v>150000000</v>
      </c>
      <c r="H7">
        <f>11/7</f>
        <v>1.5714285714285714</v>
      </c>
    </row>
    <row r="8" spans="1:16" x14ac:dyDescent="0.2">
      <c r="A8" s="240">
        <v>6</v>
      </c>
      <c r="B8" s="47" t="s">
        <v>652</v>
      </c>
      <c r="C8" s="45">
        <v>1</v>
      </c>
      <c r="D8" s="46">
        <v>70000000</v>
      </c>
      <c r="E8" s="50">
        <f>D8*C8</f>
        <v>70000000</v>
      </c>
      <c r="F8" s="50">
        <f>D8*2</f>
        <v>140000000</v>
      </c>
      <c r="G8" s="241">
        <f>D8*3</f>
        <v>210000000</v>
      </c>
    </row>
    <row r="9" spans="1:16" hidden="1" x14ac:dyDescent="0.2">
      <c r="A9" s="240">
        <v>6</v>
      </c>
      <c r="B9" s="47" t="s">
        <v>462</v>
      </c>
      <c r="C9" s="45">
        <v>1</v>
      </c>
      <c r="D9" s="46">
        <v>0</v>
      </c>
      <c r="E9" s="50">
        <f>D9*C9</f>
        <v>0</v>
      </c>
      <c r="F9" s="50">
        <v>0</v>
      </c>
      <c r="G9" s="241">
        <v>0</v>
      </c>
    </row>
    <row r="10" spans="1:16" hidden="1" x14ac:dyDescent="0.2">
      <c r="A10" s="240">
        <v>7</v>
      </c>
      <c r="B10" s="47" t="s">
        <v>630</v>
      </c>
      <c r="C10" s="45">
        <v>1</v>
      </c>
      <c r="D10" s="46">
        <v>0</v>
      </c>
      <c r="E10" s="50">
        <f>D10*C10</f>
        <v>0</v>
      </c>
      <c r="F10" s="50">
        <v>0</v>
      </c>
      <c r="G10" s="241">
        <v>0</v>
      </c>
    </row>
    <row r="11" spans="1:16" hidden="1" x14ac:dyDescent="0.2">
      <c r="A11" s="240">
        <v>8</v>
      </c>
      <c r="B11" s="47" t="s">
        <v>465</v>
      </c>
      <c r="C11" s="45">
        <v>150</v>
      </c>
      <c r="D11" s="46">
        <v>0</v>
      </c>
      <c r="E11" s="50">
        <v>0</v>
      </c>
      <c r="F11" s="50">
        <v>0</v>
      </c>
      <c r="G11" s="241">
        <v>0</v>
      </c>
    </row>
    <row r="12" spans="1:16" x14ac:dyDescent="0.2">
      <c r="A12" s="242">
        <v>7</v>
      </c>
      <c r="B12" s="61" t="s">
        <v>737</v>
      </c>
      <c r="C12" s="59"/>
      <c r="D12" s="60"/>
      <c r="E12" s="341">
        <f>SUM(E3:E11)</f>
        <v>213000000</v>
      </c>
      <c r="F12" s="341">
        <f>SUM(F3:F11)</f>
        <v>380000000</v>
      </c>
      <c r="G12" s="342">
        <f>SUM(G3:G11)</f>
        <v>570000000</v>
      </c>
      <c r="I12" t="s">
        <v>587</v>
      </c>
      <c r="J12">
        <f>J6*2</f>
        <v>5290530</v>
      </c>
      <c r="K12">
        <v>2</v>
      </c>
      <c r="O12" t="s">
        <v>604</v>
      </c>
      <c r="P12" t="s">
        <v>607</v>
      </c>
    </row>
    <row r="13" spans="1:16" x14ac:dyDescent="0.2">
      <c r="A13" s="414" t="s">
        <v>628</v>
      </c>
      <c r="B13" s="415"/>
      <c r="C13" s="415"/>
      <c r="D13" s="415"/>
      <c r="E13" s="415"/>
      <c r="F13" s="415"/>
      <c r="G13" s="416"/>
      <c r="I13" s="214" t="s">
        <v>735</v>
      </c>
      <c r="J13">
        <f>J6*3</f>
        <v>7935795</v>
      </c>
      <c r="K13">
        <v>3</v>
      </c>
      <c r="O13" t="s">
        <v>605</v>
      </c>
      <c r="P13" t="s">
        <v>609</v>
      </c>
    </row>
    <row r="14" spans="1:16" x14ac:dyDescent="0.2">
      <c r="A14" s="240">
        <v>1</v>
      </c>
      <c r="B14" s="47" t="s">
        <v>589</v>
      </c>
      <c r="C14" s="45">
        <v>1</v>
      </c>
      <c r="D14" s="215">
        <v>150000</v>
      </c>
      <c r="E14" s="216">
        <f>D14*C14</f>
        <v>150000</v>
      </c>
      <c r="F14" s="50">
        <v>400000</v>
      </c>
      <c r="G14" s="241">
        <v>400000</v>
      </c>
      <c r="I14" s="214" t="s">
        <v>736</v>
      </c>
      <c r="J14">
        <f>J6*4</f>
        <v>10581060</v>
      </c>
      <c r="K14">
        <v>4</v>
      </c>
    </row>
    <row r="15" spans="1:16" hidden="1" x14ac:dyDescent="0.2">
      <c r="A15" s="240">
        <v>2</v>
      </c>
      <c r="B15" s="47" t="s">
        <v>298</v>
      </c>
      <c r="C15" s="45">
        <v>1</v>
      </c>
      <c r="D15" s="46">
        <v>0</v>
      </c>
      <c r="E15" s="50">
        <v>0</v>
      </c>
      <c r="F15" s="50">
        <v>0</v>
      </c>
      <c r="G15" s="241">
        <v>0</v>
      </c>
      <c r="K15">
        <v>5</v>
      </c>
    </row>
    <row r="16" spans="1:16" hidden="1" x14ac:dyDescent="0.2">
      <c r="A16" s="240">
        <v>3</v>
      </c>
      <c r="B16" s="4" t="s">
        <v>288</v>
      </c>
      <c r="C16" s="45">
        <v>1</v>
      </c>
      <c r="D16" s="46">
        <v>0</v>
      </c>
      <c r="E16" s="50">
        <v>0</v>
      </c>
      <c r="F16" s="50">
        <v>0</v>
      </c>
      <c r="G16" s="241">
        <v>0</v>
      </c>
      <c r="K16">
        <v>6</v>
      </c>
    </row>
    <row r="17" spans="1:11" hidden="1" x14ac:dyDescent="0.2">
      <c r="A17" s="240">
        <v>4</v>
      </c>
      <c r="B17" s="47" t="s">
        <v>416</v>
      </c>
      <c r="C17" s="45">
        <v>1</v>
      </c>
      <c r="D17" s="46">
        <v>0</v>
      </c>
      <c r="E17" s="50">
        <v>0</v>
      </c>
      <c r="F17" s="50">
        <v>0</v>
      </c>
      <c r="G17" s="241">
        <v>0</v>
      </c>
      <c r="K17">
        <v>7</v>
      </c>
    </row>
    <row r="18" spans="1:11" hidden="1" x14ac:dyDescent="0.2">
      <c r="A18" s="240">
        <v>5</v>
      </c>
      <c r="B18" s="47" t="s">
        <v>287</v>
      </c>
      <c r="C18" s="45">
        <v>15</v>
      </c>
      <c r="D18" s="46">
        <v>0</v>
      </c>
      <c r="E18" s="50">
        <v>0</v>
      </c>
      <c r="F18" s="50">
        <v>0</v>
      </c>
      <c r="G18" s="241">
        <v>0</v>
      </c>
      <c r="K18">
        <v>8</v>
      </c>
    </row>
    <row r="19" spans="1:11" hidden="1" x14ac:dyDescent="0.2">
      <c r="A19" s="240">
        <v>6</v>
      </c>
      <c r="B19" s="47" t="s">
        <v>415</v>
      </c>
      <c r="C19" s="45">
        <v>10</v>
      </c>
      <c r="D19" s="46">
        <v>0</v>
      </c>
      <c r="E19" s="50">
        <v>0</v>
      </c>
      <c r="F19" s="50">
        <v>0</v>
      </c>
      <c r="G19" s="241">
        <v>0</v>
      </c>
      <c r="K19">
        <v>9</v>
      </c>
    </row>
    <row r="20" spans="1:11" hidden="1" x14ac:dyDescent="0.2">
      <c r="A20" s="240">
        <v>7</v>
      </c>
      <c r="B20" s="47" t="s">
        <v>300</v>
      </c>
      <c r="C20" s="45">
        <v>1</v>
      </c>
      <c r="D20" s="46">
        <v>0</v>
      </c>
      <c r="E20" s="50">
        <v>0</v>
      </c>
      <c r="F20" s="50">
        <v>0</v>
      </c>
      <c r="G20" s="241">
        <v>0</v>
      </c>
      <c r="K20">
        <v>10</v>
      </c>
    </row>
    <row r="21" spans="1:11" x14ac:dyDescent="0.2">
      <c r="A21" s="240">
        <v>2</v>
      </c>
      <c r="B21" s="47" t="s">
        <v>484</v>
      </c>
      <c r="C21" s="45">
        <v>1</v>
      </c>
      <c r="D21" s="46">
        <v>200000</v>
      </c>
      <c r="E21" s="50">
        <f>D21*C21</f>
        <v>200000</v>
      </c>
      <c r="F21" s="50">
        <v>2800000</v>
      </c>
      <c r="G21" s="241">
        <v>2800000</v>
      </c>
      <c r="I21" s="213" t="s">
        <v>591</v>
      </c>
      <c r="J21">
        <f>J6*5</f>
        <v>13226325</v>
      </c>
      <c r="K21">
        <v>5</v>
      </c>
    </row>
    <row r="22" spans="1:11" x14ac:dyDescent="0.2">
      <c r="A22" s="240">
        <v>3</v>
      </c>
      <c r="B22" s="424" t="s">
        <v>624</v>
      </c>
      <c r="C22" s="425">
        <v>3</v>
      </c>
      <c r="D22" s="426">
        <v>450000</v>
      </c>
      <c r="E22" s="50">
        <v>1000000</v>
      </c>
      <c r="F22" s="50">
        <v>660000</v>
      </c>
      <c r="G22" s="241">
        <v>880000</v>
      </c>
      <c r="I22" s="213" t="s">
        <v>596</v>
      </c>
      <c r="J22">
        <f>J6*6</f>
        <v>15871590</v>
      </c>
      <c r="K22">
        <v>6</v>
      </c>
    </row>
    <row r="23" spans="1:11" ht="16" hidden="1" x14ac:dyDescent="0.2">
      <c r="A23" s="240">
        <v>10</v>
      </c>
      <c r="B23" s="62" t="s">
        <v>193</v>
      </c>
      <c r="C23" s="49">
        <v>3</v>
      </c>
      <c r="D23" s="46">
        <v>0</v>
      </c>
      <c r="E23" s="50">
        <f t="shared" ref="E23:E28" si="0">D23*C23</f>
        <v>0</v>
      </c>
      <c r="F23" s="50">
        <v>0</v>
      </c>
      <c r="G23" s="241">
        <v>0</v>
      </c>
      <c r="K23">
        <v>13</v>
      </c>
    </row>
    <row r="24" spans="1:11" ht="16" hidden="1" x14ac:dyDescent="0.2">
      <c r="A24" s="240">
        <v>11</v>
      </c>
      <c r="B24" s="62" t="s">
        <v>195</v>
      </c>
      <c r="C24" s="49">
        <v>2</v>
      </c>
      <c r="D24" s="46">
        <v>0</v>
      </c>
      <c r="E24" s="50">
        <f t="shared" si="0"/>
        <v>0</v>
      </c>
      <c r="F24" s="50">
        <v>0</v>
      </c>
      <c r="G24" s="241">
        <v>0</v>
      </c>
      <c r="K24">
        <v>14</v>
      </c>
    </row>
    <row r="25" spans="1:11" ht="16" hidden="1" x14ac:dyDescent="0.2">
      <c r="A25" s="240">
        <v>12</v>
      </c>
      <c r="B25" s="62" t="s">
        <v>196</v>
      </c>
      <c r="C25" s="49">
        <v>1</v>
      </c>
      <c r="D25" s="46">
        <v>0</v>
      </c>
      <c r="E25" s="50">
        <f t="shared" si="0"/>
        <v>0</v>
      </c>
      <c r="F25" s="50">
        <v>0</v>
      </c>
      <c r="G25" s="241">
        <v>0</v>
      </c>
      <c r="K25">
        <v>15</v>
      </c>
    </row>
    <row r="26" spans="1:11" ht="16" hidden="1" x14ac:dyDescent="0.2">
      <c r="A26" s="240">
        <v>13</v>
      </c>
      <c r="B26" s="62" t="s">
        <v>304</v>
      </c>
      <c r="C26" s="49">
        <v>1</v>
      </c>
      <c r="D26" s="46">
        <v>0</v>
      </c>
      <c r="E26" s="50">
        <f t="shared" si="0"/>
        <v>0</v>
      </c>
      <c r="F26" s="50">
        <v>0</v>
      </c>
      <c r="G26" s="241">
        <v>0</v>
      </c>
      <c r="K26">
        <v>16</v>
      </c>
    </row>
    <row r="27" spans="1:11" ht="16" hidden="1" x14ac:dyDescent="0.2">
      <c r="A27" s="240">
        <v>14</v>
      </c>
      <c r="B27" s="62" t="s">
        <v>198</v>
      </c>
      <c r="C27" s="49">
        <v>3</v>
      </c>
      <c r="D27" s="46">
        <v>0</v>
      </c>
      <c r="E27" s="50">
        <f t="shared" si="0"/>
        <v>0</v>
      </c>
      <c r="F27" s="50">
        <v>0</v>
      </c>
      <c r="G27" s="241">
        <v>0</v>
      </c>
      <c r="K27">
        <v>17</v>
      </c>
    </row>
    <row r="28" spans="1:11" ht="16" hidden="1" x14ac:dyDescent="0.2">
      <c r="A28" s="240">
        <v>15</v>
      </c>
      <c r="B28" s="62" t="s">
        <v>289</v>
      </c>
      <c r="C28" s="49">
        <v>1</v>
      </c>
      <c r="D28" s="46">
        <v>0</v>
      </c>
      <c r="E28" s="50">
        <f t="shared" si="0"/>
        <v>0</v>
      </c>
      <c r="F28" s="50">
        <v>0</v>
      </c>
      <c r="G28" s="241">
        <v>0</v>
      </c>
      <c r="K28">
        <v>18</v>
      </c>
    </row>
    <row r="29" spans="1:11" x14ac:dyDescent="0.2">
      <c r="A29" s="240">
        <v>4</v>
      </c>
      <c r="B29" s="424" t="s">
        <v>650</v>
      </c>
      <c r="C29" s="425"/>
      <c r="D29" s="426"/>
      <c r="E29" s="168">
        <f>SUM(E14:E28)</f>
        <v>1350000</v>
      </c>
      <c r="F29" s="168">
        <f>SUM(F14:F28)</f>
        <v>3860000</v>
      </c>
      <c r="G29" s="244">
        <f>SUM(G14:G28)</f>
        <v>4080000</v>
      </c>
      <c r="J29">
        <f>J6*7</f>
        <v>18516855</v>
      </c>
      <c r="K29">
        <v>7</v>
      </c>
    </row>
    <row r="30" spans="1:11" x14ac:dyDescent="0.2">
      <c r="A30" s="240">
        <v>5</v>
      </c>
      <c r="B30" s="424" t="s">
        <v>590</v>
      </c>
      <c r="C30" s="425"/>
      <c r="D30" s="426"/>
      <c r="E30" s="162">
        <f>E29*7</f>
        <v>9450000</v>
      </c>
      <c r="F30" s="162">
        <f>F29*7</f>
        <v>27020000</v>
      </c>
      <c r="G30" s="234">
        <f>G29*7</f>
        <v>28560000</v>
      </c>
      <c r="K30">
        <v>8</v>
      </c>
    </row>
    <row r="31" spans="1:11" x14ac:dyDescent="0.2">
      <c r="A31" s="240">
        <v>6</v>
      </c>
      <c r="B31" s="421" t="s">
        <v>410</v>
      </c>
      <c r="C31" s="422"/>
      <c r="D31" s="423"/>
      <c r="E31" s="343">
        <f>E30*12</f>
        <v>113400000</v>
      </c>
      <c r="F31" s="343">
        <f>F30*12</f>
        <v>324240000</v>
      </c>
      <c r="G31" s="344">
        <f>G30*12</f>
        <v>342720000</v>
      </c>
      <c r="J31">
        <f>J6*9</f>
        <v>23807385</v>
      </c>
      <c r="K31">
        <v>9</v>
      </c>
    </row>
    <row r="32" spans="1:11" x14ac:dyDescent="0.2">
      <c r="A32" s="414" t="s">
        <v>629</v>
      </c>
      <c r="B32" s="415"/>
      <c r="C32" s="415"/>
      <c r="D32" s="415"/>
      <c r="E32" s="415"/>
      <c r="F32" s="415"/>
      <c r="G32" s="416"/>
      <c r="J32">
        <f>J6*10</f>
        <v>26452650</v>
      </c>
      <c r="K32">
        <v>10</v>
      </c>
    </row>
    <row r="33" spans="1:11" ht="16" x14ac:dyDescent="0.2">
      <c r="A33" s="240">
        <v>1</v>
      </c>
      <c r="B33" s="48" t="s">
        <v>463</v>
      </c>
      <c r="C33" s="49">
        <v>1</v>
      </c>
      <c r="D33" s="50">
        <v>5000000</v>
      </c>
      <c r="E33" s="50">
        <v>0</v>
      </c>
      <c r="F33" s="50">
        <v>5000000</v>
      </c>
      <c r="G33" s="241">
        <v>7500000</v>
      </c>
      <c r="H33" s="238">
        <f>E33/12</f>
        <v>0</v>
      </c>
      <c r="J33">
        <f>J6*11</f>
        <v>29097915</v>
      </c>
      <c r="K33">
        <v>11</v>
      </c>
    </row>
    <row r="34" spans="1:11" ht="16" x14ac:dyDescent="0.2">
      <c r="A34" s="240">
        <v>2</v>
      </c>
      <c r="B34" s="48" t="s">
        <v>467</v>
      </c>
      <c r="C34" s="49">
        <v>1</v>
      </c>
      <c r="D34" s="50">
        <f>1*1200*840</f>
        <v>1008000</v>
      </c>
      <c r="E34" s="50">
        <f>D34*C34</f>
        <v>1008000</v>
      </c>
      <c r="F34" s="50">
        <f>E34*2</f>
        <v>2016000</v>
      </c>
      <c r="G34" s="241">
        <f>E34*3</f>
        <v>3024000</v>
      </c>
      <c r="H34" s="238">
        <f>E34/12</f>
        <v>84000</v>
      </c>
      <c r="J34">
        <f>J6*12</f>
        <v>31743180</v>
      </c>
      <c r="K34">
        <v>12</v>
      </c>
    </row>
    <row r="35" spans="1:11" ht="16" x14ac:dyDescent="0.2">
      <c r="A35" s="240">
        <v>3</v>
      </c>
      <c r="B35" s="54" t="s">
        <v>468</v>
      </c>
      <c r="C35" s="45">
        <v>1</v>
      </c>
      <c r="D35" s="50">
        <v>210000000</v>
      </c>
      <c r="E35" s="50">
        <f>D35</f>
        <v>210000000</v>
      </c>
      <c r="F35" s="50">
        <f>E35*2</f>
        <v>420000000</v>
      </c>
      <c r="G35" s="241">
        <f>E35*3</f>
        <v>630000000</v>
      </c>
      <c r="H35" s="238">
        <v>0</v>
      </c>
      <c r="J35" s="50">
        <f>SUM(J6:J34)</f>
        <v>185168550</v>
      </c>
    </row>
    <row r="36" spans="1:11" hidden="1" x14ac:dyDescent="0.2">
      <c r="A36" s="240">
        <v>4</v>
      </c>
      <c r="B36" s="4" t="s">
        <v>326</v>
      </c>
      <c r="C36" s="45">
        <v>1</v>
      </c>
      <c r="D36" s="90">
        <v>5000000</v>
      </c>
      <c r="E36" s="164">
        <v>0</v>
      </c>
      <c r="F36" s="50">
        <v>0</v>
      </c>
      <c r="G36" s="241">
        <v>0</v>
      </c>
      <c r="H36" s="238">
        <f>+H35</f>
        <v>0</v>
      </c>
    </row>
    <row r="37" spans="1:11" x14ac:dyDescent="0.2">
      <c r="A37" s="240">
        <v>4</v>
      </c>
      <c r="B37" s="4" t="s">
        <v>482</v>
      </c>
      <c r="C37" s="45">
        <v>1</v>
      </c>
      <c r="D37" s="90">
        <v>36000000</v>
      </c>
      <c r="E37" s="164">
        <v>36000000</v>
      </c>
      <c r="F37" s="164">
        <v>50000000</v>
      </c>
      <c r="G37" s="241">
        <v>60000000</v>
      </c>
      <c r="H37" s="238">
        <f>E37/12</f>
        <v>3000000</v>
      </c>
    </row>
    <row r="38" spans="1:11" x14ac:dyDescent="0.2">
      <c r="A38" s="240">
        <v>5</v>
      </c>
      <c r="B38" s="421" t="s">
        <v>410</v>
      </c>
      <c r="C38" s="422"/>
      <c r="D38" s="423"/>
      <c r="E38" s="341">
        <f>SUM(E33:E37)</f>
        <v>247008000</v>
      </c>
      <c r="F38" s="341">
        <f>SUM(F33:F37)</f>
        <v>477016000</v>
      </c>
      <c r="G38" s="342">
        <f>SUM(G33:G37)</f>
        <v>700524000</v>
      </c>
    </row>
    <row r="39" spans="1:11" ht="16" x14ac:dyDescent="0.2">
      <c r="A39" s="246"/>
      <c r="B39" s="417" t="s">
        <v>469</v>
      </c>
      <c r="C39" s="418"/>
      <c r="D39" s="418"/>
      <c r="E39" s="165">
        <f>E38+E31</f>
        <v>360408000</v>
      </c>
      <c r="F39" s="165">
        <f>F38+F31</f>
        <v>801256000</v>
      </c>
      <c r="G39" s="247">
        <f>G38+G31</f>
        <v>1043244000</v>
      </c>
    </row>
    <row r="40" spans="1:11" ht="17" thickBot="1" x14ac:dyDescent="0.25">
      <c r="A40" s="248"/>
      <c r="B40" s="419" t="s">
        <v>424</v>
      </c>
      <c r="C40" s="420"/>
      <c r="D40" s="420"/>
      <c r="E40" s="249">
        <f>E39+E12</f>
        <v>573408000</v>
      </c>
      <c r="F40" s="249">
        <f>F39+F12</f>
        <v>1181256000</v>
      </c>
      <c r="G40" s="250">
        <f>G39+G12</f>
        <v>1613244000</v>
      </c>
    </row>
    <row r="41" spans="1:11" ht="16" x14ac:dyDescent="0.2">
      <c r="A41" t="s">
        <v>772</v>
      </c>
      <c r="B41" s="48" t="s">
        <v>293</v>
      </c>
      <c r="C41" s="90">
        <v>5000000</v>
      </c>
    </row>
    <row r="42" spans="1:11" ht="16" x14ac:dyDescent="0.2">
      <c r="B42" s="48" t="s">
        <v>464</v>
      </c>
      <c r="C42" s="90">
        <v>20000000</v>
      </c>
    </row>
    <row r="43" spans="1:11" x14ac:dyDescent="0.2">
      <c r="B43" s="47" t="s">
        <v>466</v>
      </c>
      <c r="C43" s="90">
        <v>25000000</v>
      </c>
    </row>
    <row r="44" spans="1:11" x14ac:dyDescent="0.2">
      <c r="B44" s="47" t="s">
        <v>651</v>
      </c>
      <c r="C44" s="90">
        <v>500000</v>
      </c>
      <c r="E44" s="292">
        <f>((1200*1500)+(120*250))/1320</f>
        <v>1386.3636363636363</v>
      </c>
    </row>
    <row r="45" spans="1:11" x14ac:dyDescent="0.2">
      <c r="B45" s="47" t="s">
        <v>487</v>
      </c>
      <c r="C45" s="90">
        <v>0</v>
      </c>
    </row>
    <row r="46" spans="1:11" x14ac:dyDescent="0.2">
      <c r="B46" s="47" t="s">
        <v>652</v>
      </c>
      <c r="C46" s="90">
        <v>12000000</v>
      </c>
    </row>
    <row r="47" spans="1:11" x14ac:dyDescent="0.2">
      <c r="B47" s="293" t="s">
        <v>774</v>
      </c>
      <c r="C47" s="90">
        <v>15000000</v>
      </c>
      <c r="D47" t="s">
        <v>777</v>
      </c>
    </row>
    <row r="48" spans="1:11" x14ac:dyDescent="0.2">
      <c r="B48" s="293" t="s">
        <v>775</v>
      </c>
      <c r="C48" s="90"/>
      <c r="D48" t="s">
        <v>776</v>
      </c>
    </row>
    <row r="49" spans="2:3" ht="16" x14ac:dyDescent="0.2">
      <c r="B49" s="293" t="s">
        <v>773</v>
      </c>
      <c r="C49" s="90" t="s">
        <v>648</v>
      </c>
    </row>
    <row r="50" spans="2:3" x14ac:dyDescent="0.2">
      <c r="B50" s="293" t="s">
        <v>778</v>
      </c>
      <c r="C50" s="90">
        <v>20000000</v>
      </c>
    </row>
    <row r="51" spans="2:3" x14ac:dyDescent="0.2">
      <c r="B51" s="293" t="s">
        <v>781</v>
      </c>
    </row>
    <row r="52" spans="2:3" x14ac:dyDescent="0.2">
      <c r="B52" s="294" t="s">
        <v>779</v>
      </c>
      <c r="C52" s="292" t="s">
        <v>780</v>
      </c>
    </row>
    <row r="53" spans="2:3" x14ac:dyDescent="0.2">
      <c r="B53" s="294" t="s">
        <v>782</v>
      </c>
    </row>
    <row r="54" spans="2:3" x14ac:dyDescent="0.2">
      <c r="B54" s="294" t="s">
        <v>783</v>
      </c>
    </row>
    <row r="55" spans="2:3" x14ac:dyDescent="0.2">
      <c r="B55" s="294" t="s">
        <v>784</v>
      </c>
    </row>
    <row r="56" spans="2:3" x14ac:dyDescent="0.2">
      <c r="B56" s="294" t="s">
        <v>785</v>
      </c>
    </row>
    <row r="57" spans="2:3" x14ac:dyDescent="0.2">
      <c r="B57" s="294" t="s">
        <v>808</v>
      </c>
    </row>
    <row r="58" spans="2:3" x14ac:dyDescent="0.2">
      <c r="B58" s="294" t="s">
        <v>809</v>
      </c>
    </row>
    <row r="59" spans="2:3" x14ac:dyDescent="0.2">
      <c r="B59" s="294" t="s">
        <v>810</v>
      </c>
    </row>
    <row r="60" spans="2:3" x14ac:dyDescent="0.2">
      <c r="B60" s="294" t="s">
        <v>811</v>
      </c>
    </row>
  </sheetData>
  <mergeCells count="13">
    <mergeCell ref="B22:D22"/>
    <mergeCell ref="J1:K1"/>
    <mergeCell ref="M1:N1"/>
    <mergeCell ref="O1:P1"/>
    <mergeCell ref="A2:G2"/>
    <mergeCell ref="A13:G13"/>
    <mergeCell ref="B40:D40"/>
    <mergeCell ref="B29:D29"/>
    <mergeCell ref="B30:D30"/>
    <mergeCell ref="B31:D31"/>
    <mergeCell ref="A32:G32"/>
    <mergeCell ref="B38:D38"/>
    <mergeCell ref="B39:D39"/>
  </mergeCells>
  <hyperlinks>
    <hyperlink ref="I2" r:id="rId1" xr:uid="{C89708E4-BF9E-0448-A258-7503A66087E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5"/>
  <sheetViews>
    <sheetView workbookViewId="0">
      <pane ySplit="1" topLeftCell="A23" activePane="bottomLeft" state="frozen"/>
      <selection activeCell="J32" sqref="J32"/>
      <selection pane="bottomLeft" activeCell="J32" sqref="J32"/>
    </sheetView>
  </sheetViews>
  <sheetFormatPr baseColWidth="10" defaultColWidth="8.83203125" defaultRowHeight="15" x14ac:dyDescent="0.2"/>
  <cols>
    <col min="2" max="2" width="12.33203125" style="43" bestFit="1" customWidth="1"/>
    <col min="3" max="3" width="12.1640625" style="43" bestFit="1" customWidth="1"/>
    <col min="4" max="4" width="12.33203125" style="43" bestFit="1" customWidth="1"/>
    <col min="5" max="5" width="17" style="43" bestFit="1" customWidth="1"/>
    <col min="6" max="6" width="20.6640625" style="43" customWidth="1"/>
    <col min="7" max="7" width="23.33203125" bestFit="1" customWidth="1"/>
    <col min="8" max="8" width="40.33203125" customWidth="1"/>
  </cols>
  <sheetData>
    <row r="1" spans="1:11" ht="17" thickBot="1" x14ac:dyDescent="0.25">
      <c r="A1" s="68" t="s">
        <v>0</v>
      </c>
      <c r="B1" s="69" t="s">
        <v>341</v>
      </c>
      <c r="C1" s="69" t="s">
        <v>342</v>
      </c>
      <c r="D1" s="69" t="s">
        <v>343</v>
      </c>
      <c r="E1" s="69" t="s">
        <v>390</v>
      </c>
      <c r="F1" s="70" t="s">
        <v>389</v>
      </c>
      <c r="G1" s="69" t="s">
        <v>346</v>
      </c>
      <c r="H1" s="71" t="s">
        <v>104</v>
      </c>
      <c r="I1" s="20"/>
      <c r="J1" s="20"/>
      <c r="K1" s="20"/>
    </row>
    <row r="2" spans="1:11" x14ac:dyDescent="0.2">
      <c r="A2" s="376" t="s">
        <v>407</v>
      </c>
      <c r="B2" s="377"/>
      <c r="C2" s="377"/>
      <c r="D2" s="377"/>
      <c r="E2" s="377"/>
      <c r="F2" s="377"/>
      <c r="G2" s="377"/>
      <c r="H2" s="378"/>
      <c r="I2" s="20"/>
      <c r="J2" s="20"/>
      <c r="K2" s="20"/>
    </row>
    <row r="3" spans="1:11" ht="16" thickBot="1" x14ac:dyDescent="0.25">
      <c r="A3" s="379"/>
      <c r="B3" s="380"/>
      <c r="C3" s="380"/>
      <c r="D3" s="380"/>
      <c r="E3" s="380"/>
      <c r="F3" s="380"/>
      <c r="G3" s="380"/>
      <c r="H3" s="381"/>
      <c r="I3" s="20"/>
      <c r="J3" s="20"/>
      <c r="K3" s="20"/>
    </row>
    <row r="4" spans="1:11" x14ac:dyDescent="0.2">
      <c r="A4" s="392" t="s">
        <v>404</v>
      </c>
      <c r="B4" s="80" t="s">
        <v>344</v>
      </c>
      <c r="C4" s="80">
        <v>300</v>
      </c>
      <c r="D4" s="80">
        <v>0</v>
      </c>
      <c r="E4" s="80" t="s">
        <v>333</v>
      </c>
      <c r="F4" s="80"/>
      <c r="G4" s="81" t="s">
        <v>347</v>
      </c>
      <c r="H4" s="393" t="s">
        <v>388</v>
      </c>
    </row>
    <row r="5" spans="1:11" x14ac:dyDescent="0.2">
      <c r="A5" s="387"/>
      <c r="B5" s="72" t="s">
        <v>344</v>
      </c>
      <c r="C5" s="72">
        <v>750</v>
      </c>
      <c r="D5" s="72">
        <v>0</v>
      </c>
      <c r="E5" s="72" t="s">
        <v>333</v>
      </c>
      <c r="F5" s="72"/>
      <c r="G5" s="75" t="s">
        <v>348</v>
      </c>
      <c r="H5" s="394"/>
    </row>
    <row r="6" spans="1:11" x14ac:dyDescent="0.2">
      <c r="A6" s="387"/>
      <c r="B6" s="72" t="s">
        <v>344</v>
      </c>
      <c r="C6" s="72">
        <v>1000</v>
      </c>
      <c r="D6" s="72">
        <v>0</v>
      </c>
      <c r="E6" s="72" t="s">
        <v>333</v>
      </c>
      <c r="F6" s="72"/>
      <c r="G6" s="75" t="s">
        <v>349</v>
      </c>
      <c r="H6" s="394"/>
    </row>
    <row r="7" spans="1:11" x14ac:dyDescent="0.2">
      <c r="A7" s="387"/>
      <c r="B7" s="72" t="s">
        <v>344</v>
      </c>
      <c r="C7" s="72">
        <v>2500</v>
      </c>
      <c r="D7" s="72">
        <v>0</v>
      </c>
      <c r="E7" s="72" t="s">
        <v>333</v>
      </c>
      <c r="F7" s="72"/>
      <c r="G7" s="75" t="s">
        <v>350</v>
      </c>
      <c r="H7" s="394"/>
    </row>
    <row r="8" spans="1:11" x14ac:dyDescent="0.2">
      <c r="A8" s="387"/>
      <c r="B8" s="72" t="s">
        <v>344</v>
      </c>
      <c r="C8" s="72">
        <v>5000</v>
      </c>
      <c r="D8" s="72">
        <v>0</v>
      </c>
      <c r="E8" s="72" t="s">
        <v>333</v>
      </c>
      <c r="F8" s="72"/>
      <c r="G8" s="75" t="s">
        <v>351</v>
      </c>
      <c r="H8" s="394"/>
    </row>
    <row r="9" spans="1:11" x14ac:dyDescent="0.2">
      <c r="A9" s="387"/>
      <c r="B9" s="72" t="s">
        <v>344</v>
      </c>
      <c r="C9" s="72" t="s">
        <v>345</v>
      </c>
      <c r="D9" s="72">
        <v>0</v>
      </c>
      <c r="E9" s="72" t="s">
        <v>333</v>
      </c>
      <c r="F9" s="72"/>
      <c r="G9" s="75" t="s">
        <v>352</v>
      </c>
      <c r="H9" s="394"/>
    </row>
    <row r="10" spans="1:11" x14ac:dyDescent="0.2">
      <c r="A10" s="395" t="s">
        <v>405</v>
      </c>
      <c r="B10" s="45" t="s">
        <v>354</v>
      </c>
      <c r="C10" s="45">
        <v>300</v>
      </c>
      <c r="D10" s="65">
        <v>0.1</v>
      </c>
      <c r="E10" s="45">
        <v>60</v>
      </c>
      <c r="F10" s="45">
        <v>270</v>
      </c>
      <c r="G10" s="4" t="s">
        <v>347</v>
      </c>
      <c r="H10" s="397" t="s">
        <v>401</v>
      </c>
    </row>
    <row r="11" spans="1:11" x14ac:dyDescent="0.2">
      <c r="A11" s="396"/>
      <c r="B11" s="45" t="s">
        <v>354</v>
      </c>
      <c r="C11" s="45">
        <v>750</v>
      </c>
      <c r="D11" s="65">
        <v>0.1</v>
      </c>
      <c r="E11" s="45">
        <v>60</v>
      </c>
      <c r="F11" s="45">
        <v>675</v>
      </c>
      <c r="G11" s="4" t="s">
        <v>348</v>
      </c>
      <c r="H11" s="398"/>
    </row>
    <row r="12" spans="1:11" x14ac:dyDescent="0.2">
      <c r="A12" s="396"/>
      <c r="B12" s="45" t="s">
        <v>354</v>
      </c>
      <c r="C12" s="45">
        <v>1000</v>
      </c>
      <c r="D12" s="65">
        <v>0.1</v>
      </c>
      <c r="E12" s="45">
        <v>60</v>
      </c>
      <c r="F12" s="45">
        <v>900</v>
      </c>
      <c r="G12" s="4" t="s">
        <v>349</v>
      </c>
      <c r="H12" s="398"/>
    </row>
    <row r="13" spans="1:11" x14ac:dyDescent="0.2">
      <c r="A13" s="396"/>
      <c r="B13" s="45" t="s">
        <v>354</v>
      </c>
      <c r="C13" s="45">
        <v>2500</v>
      </c>
      <c r="D13" s="65">
        <v>0.1</v>
      </c>
      <c r="E13" s="45">
        <v>60</v>
      </c>
      <c r="F13" s="45">
        <v>2250</v>
      </c>
      <c r="G13" s="4" t="s">
        <v>350</v>
      </c>
      <c r="H13" s="398"/>
    </row>
    <row r="14" spans="1:11" x14ac:dyDescent="0.2">
      <c r="A14" s="396"/>
      <c r="B14" s="45" t="s">
        <v>354</v>
      </c>
      <c r="C14" s="45">
        <v>5000</v>
      </c>
      <c r="D14" s="65">
        <v>0.1</v>
      </c>
      <c r="E14" s="45">
        <v>60</v>
      </c>
      <c r="F14" s="45">
        <v>4000</v>
      </c>
      <c r="G14" s="4" t="s">
        <v>351</v>
      </c>
      <c r="H14" s="398"/>
    </row>
    <row r="15" spans="1:11" x14ac:dyDescent="0.2">
      <c r="A15" s="396"/>
      <c r="B15" s="45" t="s">
        <v>354</v>
      </c>
      <c r="C15" s="45" t="s">
        <v>345</v>
      </c>
      <c r="D15" s="65">
        <v>0.1</v>
      </c>
      <c r="E15" s="45">
        <v>60</v>
      </c>
      <c r="F15" s="45" t="s">
        <v>355</v>
      </c>
      <c r="G15" s="4" t="s">
        <v>352</v>
      </c>
      <c r="H15" s="398"/>
    </row>
    <row r="16" spans="1:11" x14ac:dyDescent="0.2">
      <c r="A16" s="386" t="s">
        <v>398</v>
      </c>
      <c r="B16" s="72" t="s">
        <v>353</v>
      </c>
      <c r="C16" s="72">
        <v>270</v>
      </c>
      <c r="D16" s="73">
        <v>0.1</v>
      </c>
      <c r="E16" s="74">
        <v>60</v>
      </c>
      <c r="F16" s="74">
        <f>C16*0.9</f>
        <v>243</v>
      </c>
      <c r="G16" s="75" t="s">
        <v>347</v>
      </c>
      <c r="H16" s="399"/>
    </row>
    <row r="17" spans="1:10" x14ac:dyDescent="0.2">
      <c r="A17" s="387"/>
      <c r="B17" s="72" t="s">
        <v>353</v>
      </c>
      <c r="C17" s="72">
        <v>675</v>
      </c>
      <c r="D17" s="73">
        <v>0.1</v>
      </c>
      <c r="E17" s="74">
        <v>60</v>
      </c>
      <c r="F17" s="74">
        <f>C17*0.9</f>
        <v>607.5</v>
      </c>
      <c r="G17" s="75" t="s">
        <v>348</v>
      </c>
      <c r="H17" s="400"/>
    </row>
    <row r="18" spans="1:10" x14ac:dyDescent="0.2">
      <c r="A18" s="387"/>
      <c r="B18" s="72" t="s">
        <v>353</v>
      </c>
      <c r="C18" s="72">
        <v>900</v>
      </c>
      <c r="D18" s="73">
        <v>0.1</v>
      </c>
      <c r="E18" s="74">
        <v>60</v>
      </c>
      <c r="F18" s="74">
        <f>C18*0.9</f>
        <v>810</v>
      </c>
      <c r="G18" s="75" t="s">
        <v>349</v>
      </c>
      <c r="H18" s="400"/>
    </row>
    <row r="19" spans="1:10" x14ac:dyDescent="0.2">
      <c r="A19" s="387"/>
      <c r="B19" s="72" t="s">
        <v>353</v>
      </c>
      <c r="C19" s="72">
        <v>2250</v>
      </c>
      <c r="D19" s="73">
        <v>0.1</v>
      </c>
      <c r="E19" s="74">
        <v>60</v>
      </c>
      <c r="F19" s="74">
        <f>C19*0.9</f>
        <v>2025</v>
      </c>
      <c r="G19" s="75" t="s">
        <v>350</v>
      </c>
      <c r="H19" s="400"/>
    </row>
    <row r="20" spans="1:10" x14ac:dyDescent="0.2">
      <c r="A20" s="387"/>
      <c r="B20" s="72" t="s">
        <v>353</v>
      </c>
      <c r="C20" s="72">
        <v>4500</v>
      </c>
      <c r="D20" s="73">
        <v>0.1</v>
      </c>
      <c r="E20" s="74">
        <v>60</v>
      </c>
      <c r="F20" s="74">
        <f>C20*0.9</f>
        <v>4050</v>
      </c>
      <c r="G20" s="75" t="s">
        <v>351</v>
      </c>
      <c r="H20" s="400"/>
    </row>
    <row r="21" spans="1:10" ht="16" thickBot="1" x14ac:dyDescent="0.25">
      <c r="A21" s="388"/>
      <c r="B21" s="76" t="s">
        <v>353</v>
      </c>
      <c r="C21" s="76" t="s">
        <v>355</v>
      </c>
      <c r="D21" s="77">
        <v>0.1</v>
      </c>
      <c r="E21" s="78">
        <v>60</v>
      </c>
      <c r="F21" s="78" t="s">
        <v>356</v>
      </c>
      <c r="G21" s="79" t="s">
        <v>352</v>
      </c>
      <c r="H21" s="401"/>
    </row>
    <row r="22" spans="1:10" x14ac:dyDescent="0.2">
      <c r="A22" s="376" t="s">
        <v>406</v>
      </c>
      <c r="B22" s="377"/>
      <c r="C22" s="377"/>
      <c r="D22" s="377"/>
      <c r="E22" s="377"/>
      <c r="F22" s="377"/>
      <c r="G22" s="377"/>
      <c r="H22" s="378"/>
    </row>
    <row r="23" spans="1:10" ht="16" thickBot="1" x14ac:dyDescent="0.25">
      <c r="A23" s="379"/>
      <c r="B23" s="380"/>
      <c r="C23" s="380"/>
      <c r="D23" s="380"/>
      <c r="E23" s="380"/>
      <c r="F23" s="380"/>
      <c r="G23" s="380"/>
      <c r="H23" s="381"/>
    </row>
    <row r="24" spans="1:10" x14ac:dyDescent="0.2">
      <c r="A24" s="382" t="s">
        <v>402</v>
      </c>
      <c r="B24" s="82" t="s">
        <v>358</v>
      </c>
      <c r="C24" s="82">
        <v>500</v>
      </c>
      <c r="D24" s="83">
        <v>0</v>
      </c>
      <c r="E24" s="84">
        <v>60</v>
      </c>
      <c r="F24" s="84">
        <v>250</v>
      </c>
      <c r="G24" s="85" t="s">
        <v>347</v>
      </c>
      <c r="H24" s="383" t="s">
        <v>399</v>
      </c>
      <c r="J24" t="s">
        <v>357</v>
      </c>
    </row>
    <row r="25" spans="1:10" x14ac:dyDescent="0.2">
      <c r="A25" s="351"/>
      <c r="B25" s="86" t="s">
        <v>358</v>
      </c>
      <c r="C25" s="86">
        <v>1000</v>
      </c>
      <c r="D25" s="87">
        <v>0</v>
      </c>
      <c r="E25" s="88">
        <v>60</v>
      </c>
      <c r="F25" s="88">
        <v>500</v>
      </c>
      <c r="G25" s="89" t="s">
        <v>348</v>
      </c>
      <c r="H25" s="384"/>
    </row>
    <row r="26" spans="1:10" x14ac:dyDescent="0.2">
      <c r="A26" s="351"/>
      <c r="B26" s="86" t="s">
        <v>358</v>
      </c>
      <c r="C26" s="86">
        <v>1500</v>
      </c>
      <c r="D26" s="87">
        <v>0</v>
      </c>
      <c r="E26" s="88">
        <v>60</v>
      </c>
      <c r="F26" s="88">
        <v>750</v>
      </c>
      <c r="G26" s="89" t="s">
        <v>349</v>
      </c>
      <c r="H26" s="384"/>
    </row>
    <row r="27" spans="1:10" x14ac:dyDescent="0.2">
      <c r="A27" s="351"/>
      <c r="B27" s="86" t="s">
        <v>358</v>
      </c>
      <c r="C27" s="86">
        <v>2000</v>
      </c>
      <c r="D27" s="87">
        <v>0</v>
      </c>
      <c r="E27" s="88">
        <v>60</v>
      </c>
      <c r="F27" s="88">
        <v>1000</v>
      </c>
      <c r="G27" s="89" t="s">
        <v>350</v>
      </c>
      <c r="H27" s="384"/>
    </row>
    <row r="28" spans="1:10" x14ac:dyDescent="0.2">
      <c r="A28" s="351"/>
      <c r="B28" s="86" t="s">
        <v>358</v>
      </c>
      <c r="C28" s="86">
        <v>5000</v>
      </c>
      <c r="D28" s="87">
        <v>0</v>
      </c>
      <c r="E28" s="88">
        <v>60</v>
      </c>
      <c r="F28" s="88">
        <v>2500</v>
      </c>
      <c r="G28" s="89" t="s">
        <v>351</v>
      </c>
      <c r="H28" s="384"/>
    </row>
    <row r="29" spans="1:10" x14ac:dyDescent="0.2">
      <c r="A29" s="351"/>
      <c r="B29" s="86" t="s">
        <v>358</v>
      </c>
      <c r="C29" s="86" t="s">
        <v>345</v>
      </c>
      <c r="D29" s="87">
        <v>0</v>
      </c>
      <c r="E29" s="88">
        <v>60</v>
      </c>
      <c r="F29" s="88" t="s">
        <v>387</v>
      </c>
      <c r="G29" s="89" t="s">
        <v>352</v>
      </c>
      <c r="H29" s="385"/>
    </row>
    <row r="30" spans="1:10" x14ac:dyDescent="0.2">
      <c r="A30" s="386" t="s">
        <v>403</v>
      </c>
      <c r="B30" s="72" t="s">
        <v>359</v>
      </c>
      <c r="C30" s="72">
        <v>250</v>
      </c>
      <c r="D30" s="73">
        <v>0.1</v>
      </c>
      <c r="E30" s="74">
        <v>60</v>
      </c>
      <c r="F30" s="74">
        <v>250</v>
      </c>
      <c r="G30" s="75" t="s">
        <v>347</v>
      </c>
      <c r="H30" s="389" t="s">
        <v>400</v>
      </c>
    </row>
    <row r="31" spans="1:10" x14ac:dyDescent="0.2">
      <c r="A31" s="387"/>
      <c r="B31" s="72" t="s">
        <v>359</v>
      </c>
      <c r="C31" s="72">
        <v>500</v>
      </c>
      <c r="D31" s="73">
        <v>0.1</v>
      </c>
      <c r="E31" s="74">
        <v>60</v>
      </c>
      <c r="F31" s="74">
        <v>450</v>
      </c>
      <c r="G31" s="75" t="s">
        <v>348</v>
      </c>
      <c r="H31" s="390"/>
    </row>
    <row r="32" spans="1:10" x14ac:dyDescent="0.2">
      <c r="A32" s="387"/>
      <c r="B32" s="72" t="s">
        <v>359</v>
      </c>
      <c r="C32" s="72">
        <v>750</v>
      </c>
      <c r="D32" s="73">
        <v>0.1</v>
      </c>
      <c r="E32" s="74">
        <v>60</v>
      </c>
      <c r="F32" s="74">
        <v>675</v>
      </c>
      <c r="G32" s="75" t="s">
        <v>349</v>
      </c>
      <c r="H32" s="390"/>
    </row>
    <row r="33" spans="1:8" x14ac:dyDescent="0.2">
      <c r="A33" s="387"/>
      <c r="B33" s="72" t="s">
        <v>359</v>
      </c>
      <c r="C33" s="72">
        <v>1000</v>
      </c>
      <c r="D33" s="73">
        <v>0.1</v>
      </c>
      <c r="E33" s="74">
        <v>60</v>
      </c>
      <c r="F33" s="74">
        <v>900</v>
      </c>
      <c r="G33" s="75" t="s">
        <v>350</v>
      </c>
      <c r="H33" s="390"/>
    </row>
    <row r="34" spans="1:8" x14ac:dyDescent="0.2">
      <c r="A34" s="387"/>
      <c r="B34" s="72" t="s">
        <v>359</v>
      </c>
      <c r="C34" s="72">
        <v>2500</v>
      </c>
      <c r="D34" s="73">
        <v>0.1</v>
      </c>
      <c r="E34" s="74">
        <v>60</v>
      </c>
      <c r="F34" s="74">
        <v>2250</v>
      </c>
      <c r="G34" s="75" t="s">
        <v>351</v>
      </c>
      <c r="H34" s="390"/>
    </row>
    <row r="35" spans="1:8" ht="16" thickBot="1" x14ac:dyDescent="0.25">
      <c r="A35" s="388"/>
      <c r="B35" s="76" t="s">
        <v>359</v>
      </c>
      <c r="C35" s="76" t="s">
        <v>387</v>
      </c>
      <c r="D35" s="77">
        <v>0.1</v>
      </c>
      <c r="E35" s="78">
        <v>60</v>
      </c>
      <c r="F35" s="78" t="s">
        <v>355</v>
      </c>
      <c r="G35" s="79" t="s">
        <v>352</v>
      </c>
      <c r="H35" s="391"/>
    </row>
  </sheetData>
  <mergeCells count="12">
    <mergeCell ref="A2:H3"/>
    <mergeCell ref="A24:A29"/>
    <mergeCell ref="H24:H29"/>
    <mergeCell ref="A30:A35"/>
    <mergeCell ref="H30:H35"/>
    <mergeCell ref="A4:A9"/>
    <mergeCell ref="H4:H9"/>
    <mergeCell ref="A10:A15"/>
    <mergeCell ref="H10:H15"/>
    <mergeCell ref="A16:A21"/>
    <mergeCell ref="H16:H21"/>
    <mergeCell ref="A22:H23"/>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50CC3-A010-D943-9BDD-92C9E7D587AA}">
  <dimension ref="A1:K28"/>
  <sheetViews>
    <sheetView tabSelected="1" topLeftCell="B1" zoomScale="180" zoomScaleNormal="180" workbookViewId="0">
      <pane ySplit="1" topLeftCell="A2" activePane="bottomLeft" state="frozen"/>
      <selection activeCell="J32" sqref="J32"/>
      <selection pane="bottomLeft" activeCell="G41" sqref="G41"/>
    </sheetView>
  </sheetViews>
  <sheetFormatPr baseColWidth="10" defaultColWidth="8.83203125" defaultRowHeight="15" x14ac:dyDescent="0.2"/>
  <cols>
    <col min="1" max="1" width="9.33203125" bestFit="1" customWidth="1"/>
    <col min="2" max="2" width="66.5" customWidth="1"/>
    <col min="3" max="3" width="18.6640625" style="292" customWidth="1"/>
    <col min="4" max="4" width="13.5" bestFit="1" customWidth="1"/>
    <col min="5" max="5" width="18.5" style="292" customWidth="1"/>
    <col min="6" max="6" width="12.1640625" bestFit="1" customWidth="1"/>
    <col min="8" max="8" width="11.33203125" bestFit="1" customWidth="1"/>
  </cols>
  <sheetData>
    <row r="1" spans="1:8" ht="19.5" customHeight="1" thickBot="1" x14ac:dyDescent="0.3">
      <c r="A1" s="306" t="s">
        <v>290</v>
      </c>
      <c r="B1" s="307" t="s">
        <v>470</v>
      </c>
      <c r="C1" s="307" t="s">
        <v>488</v>
      </c>
      <c r="D1" s="307" t="s">
        <v>489</v>
      </c>
      <c r="E1" s="310" t="s">
        <v>490</v>
      </c>
    </row>
    <row r="2" spans="1:8" ht="16" thickBot="1" x14ac:dyDescent="0.25">
      <c r="A2" s="460" t="s">
        <v>788</v>
      </c>
      <c r="B2" s="461"/>
      <c r="C2" s="461"/>
      <c r="D2" s="461"/>
      <c r="E2" s="462"/>
    </row>
    <row r="3" spans="1:8" ht="16" x14ac:dyDescent="0.2">
      <c r="A3" s="345">
        <v>1</v>
      </c>
      <c r="B3" s="346" t="s">
        <v>827</v>
      </c>
      <c r="C3" s="347">
        <v>15000000</v>
      </c>
      <c r="D3" s="347">
        <v>15000000</v>
      </c>
      <c r="E3" s="348">
        <v>20000000</v>
      </c>
    </row>
    <row r="4" spans="1:8" ht="16" x14ac:dyDescent="0.2">
      <c r="A4" s="240">
        <v>2</v>
      </c>
      <c r="B4" s="48" t="s">
        <v>464</v>
      </c>
      <c r="C4" s="50">
        <v>17500000</v>
      </c>
      <c r="D4" s="50">
        <v>90000000</v>
      </c>
      <c r="E4" s="241">
        <v>120000000</v>
      </c>
    </row>
    <row r="5" spans="1:8" x14ac:dyDescent="0.2">
      <c r="A5" s="240">
        <v>3</v>
      </c>
      <c r="B5" s="47" t="s">
        <v>466</v>
      </c>
      <c r="C5" s="50">
        <v>17500000</v>
      </c>
      <c r="D5" s="256">
        <v>120000000</v>
      </c>
      <c r="E5" s="241">
        <v>150000000</v>
      </c>
    </row>
    <row r="6" spans="1:8" x14ac:dyDescent="0.2">
      <c r="A6" s="240">
        <v>4</v>
      </c>
      <c r="B6" s="47" t="s">
        <v>651</v>
      </c>
      <c r="C6" s="50">
        <v>5000000</v>
      </c>
      <c r="D6" s="50">
        <v>5000000</v>
      </c>
      <c r="E6" s="241">
        <v>10000000</v>
      </c>
      <c r="H6" s="349">
        <v>15000000</v>
      </c>
    </row>
    <row r="7" spans="1:8" x14ac:dyDescent="0.2">
      <c r="A7" s="240">
        <v>5</v>
      </c>
      <c r="B7" s="47" t="s">
        <v>786</v>
      </c>
      <c r="C7" s="50">
        <v>15000000</v>
      </c>
      <c r="D7" s="50">
        <v>30000000</v>
      </c>
      <c r="E7" s="241">
        <v>50000000</v>
      </c>
    </row>
    <row r="8" spans="1:8" ht="16" thickBot="1" x14ac:dyDescent="0.25">
      <c r="A8" s="240">
        <v>6</v>
      </c>
      <c r="B8" s="47" t="s">
        <v>652</v>
      </c>
      <c r="C8" s="50">
        <v>10000000</v>
      </c>
      <c r="D8" s="50">
        <v>100000000</v>
      </c>
      <c r="E8" s="241">
        <v>150000000</v>
      </c>
    </row>
    <row r="9" spans="1:8" ht="16" thickBot="1" x14ac:dyDescent="0.25">
      <c r="A9" s="302">
        <v>7</v>
      </c>
      <c r="B9" s="303" t="s">
        <v>787</v>
      </c>
      <c r="C9" s="304">
        <f>SUM(C3:C8)</f>
        <v>80000000</v>
      </c>
      <c r="D9" s="304">
        <f>SUM(D3:D8)</f>
        <v>360000000</v>
      </c>
      <c r="E9" s="305">
        <f>SUM(E3:E8)</f>
        <v>500000000</v>
      </c>
    </row>
    <row r="10" spans="1:8" ht="17" thickBot="1" x14ac:dyDescent="0.25">
      <c r="A10" s="326" t="s">
        <v>0</v>
      </c>
      <c r="B10" s="324" t="s">
        <v>769</v>
      </c>
      <c r="C10" s="324" t="s">
        <v>488</v>
      </c>
      <c r="D10" s="324" t="s">
        <v>489</v>
      </c>
      <c r="E10" s="325" t="s">
        <v>490</v>
      </c>
    </row>
    <row r="11" spans="1:8" x14ac:dyDescent="0.2">
      <c r="A11" s="311">
        <v>1</v>
      </c>
      <c r="B11" s="4" t="s">
        <v>789</v>
      </c>
      <c r="C11" s="45">
        <v>5000</v>
      </c>
      <c r="D11" s="45">
        <v>5000</v>
      </c>
      <c r="E11" s="312">
        <v>5000</v>
      </c>
    </row>
    <row r="12" spans="1:8" x14ac:dyDescent="0.2">
      <c r="A12" s="311">
        <v>2</v>
      </c>
      <c r="B12" s="4" t="s">
        <v>790</v>
      </c>
      <c r="C12" s="45">
        <v>10000</v>
      </c>
      <c r="D12" s="45">
        <v>100000</v>
      </c>
      <c r="E12" s="312">
        <v>250000</v>
      </c>
    </row>
    <row r="13" spans="1:8" x14ac:dyDescent="0.2">
      <c r="A13" s="240">
        <v>3</v>
      </c>
      <c r="B13" s="4" t="s">
        <v>803</v>
      </c>
      <c r="C13" s="295">
        <f>C12*C11</f>
        <v>50000000</v>
      </c>
      <c r="D13" s="295">
        <f>D12*D11</f>
        <v>500000000</v>
      </c>
      <c r="E13" s="313">
        <f>E12*E11</f>
        <v>1250000000</v>
      </c>
    </row>
    <row r="14" spans="1:8" x14ac:dyDescent="0.2">
      <c r="A14" s="240">
        <v>4</v>
      </c>
      <c r="B14" s="4" t="s">
        <v>804</v>
      </c>
      <c r="C14" s="295">
        <f>C13*8</f>
        <v>400000000</v>
      </c>
      <c r="D14" s="295">
        <f>D13*8</f>
        <v>4000000000</v>
      </c>
      <c r="E14" s="313">
        <f>E13*8</f>
        <v>10000000000</v>
      </c>
    </row>
    <row r="15" spans="1:8" x14ac:dyDescent="0.2">
      <c r="A15" s="311">
        <v>5</v>
      </c>
      <c r="B15" s="4" t="s">
        <v>791</v>
      </c>
      <c r="C15" s="65">
        <v>0.24</v>
      </c>
      <c r="D15" s="65">
        <v>0.24</v>
      </c>
      <c r="E15" s="314">
        <v>0.24</v>
      </c>
    </row>
    <row r="16" spans="1:8" x14ac:dyDescent="0.2">
      <c r="A16" s="311">
        <v>6</v>
      </c>
      <c r="B16" s="4" t="s">
        <v>792</v>
      </c>
      <c r="C16" s="45">
        <v>2500</v>
      </c>
      <c r="D16" s="45">
        <v>2500</v>
      </c>
      <c r="E16" s="312">
        <v>2500</v>
      </c>
    </row>
    <row r="17" spans="1:11" x14ac:dyDescent="0.2">
      <c r="A17" s="240">
        <v>7</v>
      </c>
      <c r="B17" s="4" t="s">
        <v>793</v>
      </c>
      <c r="C17" s="295">
        <f>C16*C12</f>
        <v>25000000</v>
      </c>
      <c r="D17" s="295">
        <f>D16*D12</f>
        <v>250000000</v>
      </c>
      <c r="E17" s="313">
        <f>E16*E12</f>
        <v>625000000</v>
      </c>
      <c r="K17" t="s">
        <v>807</v>
      </c>
    </row>
    <row r="18" spans="1:11" hidden="1" x14ac:dyDescent="0.2">
      <c r="A18" s="311">
        <v>8</v>
      </c>
      <c r="B18" s="4" t="s">
        <v>794</v>
      </c>
      <c r="C18" s="296">
        <f>C16*C15*45/365</f>
        <v>73.972602739726028</v>
      </c>
      <c r="D18" s="296">
        <f>D16*D15*45/365</f>
        <v>73.972602739726028</v>
      </c>
      <c r="E18" s="315">
        <f>E16*E15*45/365</f>
        <v>73.972602739726028</v>
      </c>
    </row>
    <row r="19" spans="1:11" x14ac:dyDescent="0.2">
      <c r="A19" s="240">
        <v>8</v>
      </c>
      <c r="B19" s="308" t="s">
        <v>805</v>
      </c>
      <c r="C19" s="309">
        <v>11000000</v>
      </c>
      <c r="D19" s="309">
        <v>110000000</v>
      </c>
      <c r="E19" s="316">
        <v>550000000</v>
      </c>
    </row>
    <row r="20" spans="1:11" hidden="1" x14ac:dyDescent="0.2">
      <c r="A20" s="311">
        <v>11</v>
      </c>
      <c r="B20" s="4" t="s">
        <v>795</v>
      </c>
      <c r="C20" s="65">
        <v>0.25</v>
      </c>
      <c r="D20" s="65">
        <v>0.25</v>
      </c>
      <c r="E20" s="314">
        <v>0.25</v>
      </c>
    </row>
    <row r="21" spans="1:11" hidden="1" x14ac:dyDescent="0.2">
      <c r="A21" s="311">
        <v>12</v>
      </c>
      <c r="B21" s="4" t="s">
        <v>796</v>
      </c>
      <c r="C21" s="45">
        <v>10</v>
      </c>
      <c r="D21" s="45">
        <v>10</v>
      </c>
      <c r="E21" s="312">
        <v>10</v>
      </c>
    </row>
    <row r="22" spans="1:11" hidden="1" x14ac:dyDescent="0.2">
      <c r="A22" s="240">
        <v>13</v>
      </c>
      <c r="B22" s="4" t="s">
        <v>797</v>
      </c>
      <c r="C22" s="45">
        <v>15</v>
      </c>
      <c r="D22" s="45">
        <v>15</v>
      </c>
      <c r="E22" s="312">
        <v>15</v>
      </c>
    </row>
    <row r="23" spans="1:11" hidden="1" x14ac:dyDescent="0.2">
      <c r="A23" s="311">
        <v>14</v>
      </c>
      <c r="B23" s="89" t="s">
        <v>798</v>
      </c>
      <c r="C23" s="299">
        <f>C12*C20*C21*C22</f>
        <v>375000</v>
      </c>
      <c r="D23" s="299">
        <f>D12*D20*D21*D22</f>
        <v>3750000</v>
      </c>
      <c r="E23" s="317">
        <f>E12*E20*E21*E22</f>
        <v>9375000</v>
      </c>
    </row>
    <row r="24" spans="1:11" x14ac:dyDescent="0.2">
      <c r="A24" s="311">
        <v>9</v>
      </c>
      <c r="B24" s="308" t="s">
        <v>799</v>
      </c>
      <c r="C24" s="309">
        <f>C23*8</f>
        <v>3000000</v>
      </c>
      <c r="D24" s="309">
        <f>D23*8</f>
        <v>30000000</v>
      </c>
      <c r="E24" s="316">
        <f>E23*8</f>
        <v>75000000</v>
      </c>
    </row>
    <row r="25" spans="1:11" x14ac:dyDescent="0.2">
      <c r="A25" s="240">
        <v>10</v>
      </c>
      <c r="B25" s="300" t="s">
        <v>806</v>
      </c>
      <c r="C25" s="301">
        <v>14000000</v>
      </c>
      <c r="D25" s="301">
        <f>D24+D19</f>
        <v>140000000</v>
      </c>
      <c r="E25" s="318">
        <f>E24+E19</f>
        <v>625000000</v>
      </c>
    </row>
    <row r="26" spans="1:11" hidden="1" x14ac:dyDescent="0.2">
      <c r="A26" s="311">
        <v>17</v>
      </c>
      <c r="B26" s="4" t="s">
        <v>800</v>
      </c>
      <c r="C26" s="65">
        <v>0.16500000000000001</v>
      </c>
      <c r="D26" s="65">
        <v>0.17</v>
      </c>
      <c r="E26" s="314">
        <v>0.17</v>
      </c>
    </row>
    <row r="27" spans="1:11" x14ac:dyDescent="0.2">
      <c r="A27" s="311">
        <v>11</v>
      </c>
      <c r="B27" s="297" t="s">
        <v>801</v>
      </c>
      <c r="C27" s="298">
        <f>C16*C12*C26</f>
        <v>4125000</v>
      </c>
      <c r="D27" s="298">
        <f>D16*D12*D26</f>
        <v>42500000</v>
      </c>
      <c r="E27" s="319">
        <f>E16*E12*E26</f>
        <v>106250000.00000001</v>
      </c>
    </row>
    <row r="28" spans="1:11" ht="16" thickBot="1" x14ac:dyDescent="0.25">
      <c r="A28" s="320">
        <v>12</v>
      </c>
      <c r="B28" s="321" t="s">
        <v>802</v>
      </c>
      <c r="C28" s="322">
        <v>34000000</v>
      </c>
      <c r="D28" s="322">
        <v>255000000</v>
      </c>
      <c r="E28" s="323">
        <v>1020000000</v>
      </c>
    </row>
  </sheetData>
  <mergeCells count="1">
    <mergeCell ref="A2:E2"/>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F9A6F-33DF-F142-AB85-8C387470C41C}">
  <dimension ref="A1:H11"/>
  <sheetViews>
    <sheetView topLeftCell="A3" zoomScale="200" zoomScaleNormal="200" workbookViewId="0">
      <selection activeCell="D5" sqref="D5"/>
    </sheetView>
  </sheetViews>
  <sheetFormatPr baseColWidth="10" defaultRowHeight="15" x14ac:dyDescent="0.2"/>
  <cols>
    <col min="1" max="1" width="5.33203125" style="262" bestFit="1" customWidth="1"/>
    <col min="2" max="2" width="11.83203125" style="1" bestFit="1" customWidth="1"/>
    <col min="3" max="3" width="31" style="1" customWidth="1"/>
    <col min="4" max="4" width="9.83203125" style="262" bestFit="1" customWidth="1"/>
    <col min="5" max="5" width="11.6640625" style="275" bestFit="1" customWidth="1"/>
    <col min="6" max="6" width="4.6640625" style="262" hidden="1" customWidth="1"/>
    <col min="7" max="7" width="8.83203125" style="262" hidden="1" customWidth="1"/>
    <col min="8" max="8" width="35.6640625" style="1" customWidth="1"/>
    <col min="9" max="16384" width="10.83203125" style="1"/>
  </cols>
  <sheetData>
    <row r="1" spans="1:8" ht="32" x14ac:dyDescent="0.2">
      <c r="A1" s="338" t="s">
        <v>669</v>
      </c>
      <c r="B1" s="338" t="s">
        <v>721</v>
      </c>
      <c r="C1" s="338" t="s">
        <v>672</v>
      </c>
      <c r="D1" s="338" t="s">
        <v>722</v>
      </c>
      <c r="E1" s="338" t="s">
        <v>723</v>
      </c>
      <c r="F1" s="338" t="s">
        <v>444</v>
      </c>
      <c r="G1" s="338" t="s">
        <v>701</v>
      </c>
      <c r="H1" s="338" t="s">
        <v>104</v>
      </c>
    </row>
    <row r="2" spans="1:8" ht="32" x14ac:dyDescent="0.2">
      <c r="A2" s="332">
        <v>1</v>
      </c>
      <c r="B2" s="333" t="s">
        <v>741</v>
      </c>
      <c r="C2" s="334" t="s">
        <v>817</v>
      </c>
      <c r="D2" s="332">
        <v>0</v>
      </c>
      <c r="E2" s="335">
        <v>15000000</v>
      </c>
      <c r="F2" s="336">
        <v>0.2</v>
      </c>
      <c r="G2" s="337">
        <f t="shared" ref="G2:G7" si="0">1-F2</f>
        <v>0.8</v>
      </c>
      <c r="H2" s="334" t="s">
        <v>732</v>
      </c>
    </row>
    <row r="3" spans="1:8" ht="80" x14ac:dyDescent="0.2">
      <c r="A3" s="49">
        <v>2</v>
      </c>
      <c r="B3" s="48" t="s">
        <v>813</v>
      </c>
      <c r="C3" s="261" t="s">
        <v>823</v>
      </c>
      <c r="D3" s="49">
        <v>1</v>
      </c>
      <c r="E3" s="273">
        <v>15000000</v>
      </c>
      <c r="F3" s="264">
        <v>0.3</v>
      </c>
      <c r="G3" s="264">
        <f t="shared" si="0"/>
        <v>0.7</v>
      </c>
      <c r="H3" s="261" t="s">
        <v>828</v>
      </c>
    </row>
    <row r="4" spans="1:8" ht="48" x14ac:dyDescent="0.2">
      <c r="A4" s="49">
        <v>3</v>
      </c>
      <c r="B4" s="48" t="s">
        <v>812</v>
      </c>
      <c r="C4" s="261" t="s">
        <v>819</v>
      </c>
      <c r="D4" s="49">
        <v>2</v>
      </c>
      <c r="E4" s="273">
        <v>15000000</v>
      </c>
      <c r="F4" s="264">
        <v>0.3</v>
      </c>
      <c r="G4" s="264">
        <f t="shared" si="0"/>
        <v>0.7</v>
      </c>
      <c r="H4" s="266" t="s">
        <v>821</v>
      </c>
    </row>
    <row r="5" spans="1:8" ht="48" x14ac:dyDescent="0.2">
      <c r="A5" s="327">
        <v>4</v>
      </c>
      <c r="B5" s="328" t="s">
        <v>814</v>
      </c>
      <c r="C5" s="329" t="s">
        <v>816</v>
      </c>
      <c r="D5" s="327">
        <v>3</v>
      </c>
      <c r="E5" s="330">
        <v>15000000</v>
      </c>
      <c r="F5" s="331">
        <v>0.2</v>
      </c>
      <c r="G5" s="331">
        <f t="shared" si="0"/>
        <v>0.8</v>
      </c>
      <c r="H5" s="329" t="s">
        <v>824</v>
      </c>
    </row>
    <row r="6" spans="1:8" ht="48" x14ac:dyDescent="0.2">
      <c r="A6" s="327">
        <v>5</v>
      </c>
      <c r="B6" s="328" t="s">
        <v>815</v>
      </c>
      <c r="C6" s="329" t="s">
        <v>818</v>
      </c>
      <c r="D6" s="327">
        <v>4</v>
      </c>
      <c r="E6" s="330">
        <v>10000000</v>
      </c>
      <c r="F6" s="331">
        <v>0.1</v>
      </c>
      <c r="G6" s="331">
        <f t="shared" si="0"/>
        <v>0.9</v>
      </c>
      <c r="H6" s="329" t="s">
        <v>825</v>
      </c>
    </row>
    <row r="7" spans="1:8" ht="64" x14ac:dyDescent="0.2">
      <c r="A7" s="327">
        <v>6</v>
      </c>
      <c r="B7" s="328" t="s">
        <v>815</v>
      </c>
      <c r="C7" s="329" t="s">
        <v>820</v>
      </c>
      <c r="D7" s="327" t="s">
        <v>822</v>
      </c>
      <c r="E7" s="330">
        <v>10000000</v>
      </c>
      <c r="F7" s="331">
        <v>0.2</v>
      </c>
      <c r="G7" s="331">
        <f t="shared" si="0"/>
        <v>0.8</v>
      </c>
      <c r="H7" s="329" t="s">
        <v>826</v>
      </c>
    </row>
    <row r="9" spans="1:8" x14ac:dyDescent="0.2">
      <c r="A9" s="292"/>
    </row>
    <row r="10" spans="1:8" x14ac:dyDescent="0.2">
      <c r="A10" s="292"/>
    </row>
    <row r="11" spans="1:8" x14ac:dyDescent="0.2">
      <c r="A11" s="292"/>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632A1-57D3-214C-8A19-CA5C60ABBF9E}">
  <dimension ref="A1:H11"/>
  <sheetViews>
    <sheetView zoomScale="150" zoomScaleNormal="150" workbookViewId="0">
      <selection activeCell="E2" sqref="E2:E7"/>
    </sheetView>
  </sheetViews>
  <sheetFormatPr baseColWidth="10" defaultRowHeight="15" x14ac:dyDescent="0.2"/>
  <cols>
    <col min="1" max="1" width="5.33203125" style="262" bestFit="1" customWidth="1"/>
    <col min="2" max="2" width="11.83203125" style="1" bestFit="1" customWidth="1"/>
    <col min="3" max="3" width="31" style="1" customWidth="1"/>
    <col min="4" max="4" width="9.83203125" style="262" bestFit="1" customWidth="1"/>
    <col min="5" max="5" width="11.6640625" style="275" bestFit="1" customWidth="1"/>
    <col min="6" max="6" width="4.6640625" style="262" hidden="1" customWidth="1"/>
    <col min="7" max="7" width="8.83203125" style="262" hidden="1" customWidth="1"/>
    <col min="8" max="8" width="35.6640625" style="1" customWidth="1"/>
    <col min="9" max="16384" width="10.83203125" style="1"/>
  </cols>
  <sheetData>
    <row r="1" spans="1:8" ht="32" x14ac:dyDescent="0.2">
      <c r="A1" s="338" t="s">
        <v>669</v>
      </c>
      <c r="B1" s="338" t="s">
        <v>721</v>
      </c>
      <c r="C1" s="338" t="s">
        <v>672</v>
      </c>
      <c r="D1" s="338" t="s">
        <v>722</v>
      </c>
      <c r="E1" s="338" t="s">
        <v>723</v>
      </c>
      <c r="F1" s="338" t="s">
        <v>444</v>
      </c>
      <c r="G1" s="338" t="s">
        <v>701</v>
      </c>
      <c r="H1" s="338" t="s">
        <v>104</v>
      </c>
    </row>
    <row r="2" spans="1:8" ht="32" x14ac:dyDescent="0.2">
      <c r="A2" s="332">
        <v>1</v>
      </c>
      <c r="B2" s="333" t="s">
        <v>741</v>
      </c>
      <c r="C2" s="334" t="s">
        <v>817</v>
      </c>
      <c r="D2" s="332">
        <v>0</v>
      </c>
      <c r="E2" s="335">
        <v>10000000</v>
      </c>
      <c r="F2" s="336">
        <v>0.2</v>
      </c>
      <c r="G2" s="337">
        <f t="shared" ref="G2:G7" si="0">1-F2</f>
        <v>0.8</v>
      </c>
      <c r="H2" s="334" t="s">
        <v>732</v>
      </c>
    </row>
    <row r="3" spans="1:8" ht="80" x14ac:dyDescent="0.2">
      <c r="A3" s="49">
        <v>2</v>
      </c>
      <c r="B3" s="48" t="s">
        <v>813</v>
      </c>
      <c r="C3" s="261" t="s">
        <v>823</v>
      </c>
      <c r="D3" s="49">
        <v>1</v>
      </c>
      <c r="E3" s="273">
        <v>15000000</v>
      </c>
      <c r="F3" s="264">
        <v>0.3</v>
      </c>
      <c r="G3" s="264">
        <f t="shared" si="0"/>
        <v>0.7</v>
      </c>
      <c r="H3" s="261" t="s">
        <v>828</v>
      </c>
    </row>
    <row r="4" spans="1:8" ht="48" x14ac:dyDescent="0.2">
      <c r="A4" s="49">
        <v>3</v>
      </c>
      <c r="B4" s="48" t="s">
        <v>812</v>
      </c>
      <c r="C4" s="261" t="s">
        <v>819</v>
      </c>
      <c r="D4" s="49">
        <v>2</v>
      </c>
      <c r="E4" s="273">
        <v>15000000</v>
      </c>
      <c r="F4" s="264">
        <v>0.3</v>
      </c>
      <c r="G4" s="264">
        <f t="shared" si="0"/>
        <v>0.7</v>
      </c>
      <c r="H4" s="266" t="s">
        <v>821</v>
      </c>
    </row>
    <row r="5" spans="1:8" ht="48" x14ac:dyDescent="0.2">
      <c r="A5" s="327">
        <v>4</v>
      </c>
      <c r="B5" s="328" t="s">
        <v>814</v>
      </c>
      <c r="C5" s="329" t="s">
        <v>816</v>
      </c>
      <c r="D5" s="327">
        <v>3</v>
      </c>
      <c r="E5" s="330">
        <v>15000000</v>
      </c>
      <c r="F5" s="331">
        <v>0.2</v>
      </c>
      <c r="G5" s="331">
        <f t="shared" si="0"/>
        <v>0.8</v>
      </c>
      <c r="H5" s="329" t="s">
        <v>824</v>
      </c>
    </row>
    <row r="6" spans="1:8" ht="48" x14ac:dyDescent="0.2">
      <c r="A6" s="327">
        <v>5</v>
      </c>
      <c r="B6" s="328" t="s">
        <v>815</v>
      </c>
      <c r="C6" s="329" t="s">
        <v>818</v>
      </c>
      <c r="D6" s="327">
        <v>4</v>
      </c>
      <c r="E6" s="330">
        <v>10000000</v>
      </c>
      <c r="F6" s="331">
        <v>0.1</v>
      </c>
      <c r="G6" s="331">
        <f t="shared" si="0"/>
        <v>0.9</v>
      </c>
      <c r="H6" s="329" t="s">
        <v>825</v>
      </c>
    </row>
    <row r="7" spans="1:8" ht="64" x14ac:dyDescent="0.2">
      <c r="A7" s="327">
        <v>6</v>
      </c>
      <c r="B7" s="328" t="s">
        <v>815</v>
      </c>
      <c r="C7" s="329" t="s">
        <v>820</v>
      </c>
      <c r="D7" s="327" t="s">
        <v>822</v>
      </c>
      <c r="E7" s="330">
        <v>10000000</v>
      </c>
      <c r="F7" s="331">
        <v>0.2</v>
      </c>
      <c r="G7" s="331">
        <f t="shared" si="0"/>
        <v>0.8</v>
      </c>
      <c r="H7" s="329" t="s">
        <v>826</v>
      </c>
    </row>
    <row r="9" spans="1:8" x14ac:dyDescent="0.2">
      <c r="A9" s="350"/>
    </row>
    <row r="10" spans="1:8" x14ac:dyDescent="0.2">
      <c r="A10" s="350"/>
    </row>
    <row r="11" spans="1:8" x14ac:dyDescent="0.2">
      <c r="A11" s="35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2"/>
  <sheetViews>
    <sheetView topLeftCell="B30" zoomScaleNormal="100" workbookViewId="0">
      <selection activeCell="J32" sqref="J32"/>
    </sheetView>
  </sheetViews>
  <sheetFormatPr baseColWidth="10" defaultColWidth="9.1640625" defaultRowHeight="15" x14ac:dyDescent="0.2"/>
  <cols>
    <col min="1" max="1" width="35.6640625" style="32" customWidth="1"/>
    <col min="2" max="2" width="43.5" style="32" customWidth="1"/>
    <col min="3" max="3" width="37.6640625" style="32" customWidth="1"/>
    <col min="4" max="4" width="24.83203125" style="32" bestFit="1" customWidth="1"/>
    <col min="5" max="5" width="28.5" style="32" customWidth="1"/>
    <col min="6" max="6" width="14" style="32" customWidth="1"/>
    <col min="7" max="16384" width="9.1640625" style="32"/>
  </cols>
  <sheetData>
    <row r="1" spans="1:9" ht="160" x14ac:dyDescent="0.2">
      <c r="A1" s="29" t="s">
        <v>420</v>
      </c>
      <c r="B1" s="29" t="s">
        <v>421</v>
      </c>
      <c r="C1" s="29" t="s">
        <v>422</v>
      </c>
      <c r="E1" s="29" t="s">
        <v>360</v>
      </c>
      <c r="F1" s="33" t="s">
        <v>202</v>
      </c>
      <c r="G1" s="29"/>
      <c r="H1" s="29"/>
      <c r="I1" s="29"/>
    </row>
    <row r="2" spans="1:9" ht="16" x14ac:dyDescent="0.2">
      <c r="A2" s="36" t="s">
        <v>203</v>
      </c>
      <c r="B2" s="36"/>
      <c r="C2" s="36"/>
      <c r="D2" s="36"/>
      <c r="E2" s="36"/>
    </row>
    <row r="3" spans="1:9" ht="210" customHeight="1" x14ac:dyDescent="0.2">
      <c r="A3" s="29" t="s">
        <v>204</v>
      </c>
      <c r="B3" s="34" t="s">
        <v>205</v>
      </c>
      <c r="D3" s="33"/>
      <c r="E3" s="29"/>
    </row>
    <row r="4" spans="1:9" x14ac:dyDescent="0.2">
      <c r="A4" s="29"/>
      <c r="B4" s="29"/>
      <c r="C4" s="34"/>
      <c r="D4" s="29"/>
      <c r="E4" s="29"/>
    </row>
    <row r="5" spans="1:9" ht="16" x14ac:dyDescent="0.2">
      <c r="A5" s="29"/>
      <c r="B5" s="29" t="s">
        <v>159</v>
      </c>
      <c r="C5" s="34"/>
      <c r="D5" s="29"/>
      <c r="E5" s="29"/>
    </row>
    <row r="6" spans="1:9" ht="16" x14ac:dyDescent="0.2">
      <c r="A6" s="29" t="s">
        <v>207</v>
      </c>
      <c r="B6" s="29" t="s">
        <v>208</v>
      </c>
      <c r="C6" s="39">
        <v>1225</v>
      </c>
      <c r="D6" s="29"/>
      <c r="E6" s="29"/>
    </row>
    <row r="7" spans="1:9" ht="16" x14ac:dyDescent="0.2">
      <c r="A7" s="29"/>
      <c r="B7" s="29" t="s">
        <v>209</v>
      </c>
      <c r="C7" s="30">
        <v>2500</v>
      </c>
      <c r="D7" s="29"/>
      <c r="E7" s="35"/>
    </row>
    <row r="8" spans="1:9" ht="16" x14ac:dyDescent="0.2">
      <c r="A8" s="29"/>
      <c r="B8" s="29" t="s">
        <v>210</v>
      </c>
      <c r="C8" s="30">
        <f>C7*C6</f>
        <v>3062500</v>
      </c>
      <c r="D8" s="29" t="s">
        <v>155</v>
      </c>
      <c r="E8" s="29"/>
    </row>
    <row r="9" spans="1:9" ht="16" x14ac:dyDescent="0.2">
      <c r="A9" s="29"/>
      <c r="B9" s="29" t="s">
        <v>312</v>
      </c>
      <c r="C9" s="30">
        <f>C8*0.14</f>
        <v>428750.00000000006</v>
      </c>
      <c r="D9" s="33"/>
      <c r="E9" s="29"/>
    </row>
    <row r="10" spans="1:9" ht="16" x14ac:dyDescent="0.2">
      <c r="A10" s="29"/>
      <c r="B10" s="29" t="s">
        <v>311</v>
      </c>
      <c r="C10" s="30">
        <f>C8*0.08</f>
        <v>245000</v>
      </c>
      <c r="D10" s="33"/>
      <c r="E10" s="29"/>
    </row>
    <row r="11" spans="1:9" ht="16" x14ac:dyDescent="0.2">
      <c r="A11" s="29"/>
      <c r="B11" s="29" t="s">
        <v>313</v>
      </c>
      <c r="C11" s="30">
        <f>C8*0.07</f>
        <v>214375.00000000003</v>
      </c>
      <c r="D11" s="29"/>
      <c r="E11" s="29"/>
    </row>
    <row r="12" spans="1:9" x14ac:dyDescent="0.2">
      <c r="A12" s="29"/>
      <c r="B12" s="29"/>
      <c r="C12" s="30"/>
      <c r="D12" s="29"/>
      <c r="E12" s="29"/>
    </row>
    <row r="13" spans="1:9" ht="16" x14ac:dyDescent="0.2">
      <c r="A13" s="29" t="s">
        <v>340</v>
      </c>
      <c r="B13" s="29"/>
      <c r="C13" s="39">
        <f>C6*0.05</f>
        <v>61.25</v>
      </c>
      <c r="D13" s="29"/>
      <c r="E13" s="29"/>
    </row>
    <row r="14" spans="1:9" ht="16" x14ac:dyDescent="0.2">
      <c r="A14" s="29"/>
      <c r="B14" s="29"/>
      <c r="C14" s="30">
        <v>500</v>
      </c>
      <c r="D14" s="29" t="s">
        <v>156</v>
      </c>
      <c r="E14" s="29"/>
    </row>
    <row r="15" spans="1:9" ht="16" x14ac:dyDescent="0.2">
      <c r="A15" s="29"/>
      <c r="B15" s="29"/>
      <c r="C15" s="30">
        <f>C14*C13</f>
        <v>30625</v>
      </c>
      <c r="D15" s="29" t="s">
        <v>160</v>
      </c>
      <c r="E15" s="29"/>
    </row>
    <row r="16" spans="1:9" ht="16" x14ac:dyDescent="0.2">
      <c r="A16" s="29"/>
      <c r="B16" s="29"/>
      <c r="C16" s="30">
        <f>C15*0.37</f>
        <v>11331.25</v>
      </c>
      <c r="D16" s="29" t="s">
        <v>214</v>
      </c>
      <c r="E16" s="29"/>
    </row>
    <row r="17" spans="1:6" x14ac:dyDescent="0.2">
      <c r="A17" s="29"/>
      <c r="B17" s="29"/>
      <c r="C17" s="30"/>
      <c r="D17" s="29"/>
      <c r="E17" s="29"/>
    </row>
    <row r="18" spans="1:6" ht="16" x14ac:dyDescent="0.2">
      <c r="A18" s="29" t="s">
        <v>217</v>
      </c>
      <c r="B18" s="29"/>
      <c r="C18" s="39">
        <v>122</v>
      </c>
      <c r="D18" s="29" t="s">
        <v>165</v>
      </c>
      <c r="E18" s="29" t="s">
        <v>216</v>
      </c>
    </row>
    <row r="19" spans="1:6" ht="16" x14ac:dyDescent="0.2">
      <c r="A19" s="29"/>
      <c r="B19" s="29"/>
      <c r="C19" s="30">
        <v>500</v>
      </c>
      <c r="D19" s="29" t="s">
        <v>165</v>
      </c>
      <c r="E19" s="29" t="s">
        <v>216</v>
      </c>
    </row>
    <row r="20" spans="1:6" ht="16" x14ac:dyDescent="0.2">
      <c r="A20" s="29"/>
      <c r="B20" s="29"/>
      <c r="C20" s="30">
        <f>C19*C18</f>
        <v>61000</v>
      </c>
      <c r="D20" s="29" t="s">
        <v>166</v>
      </c>
      <c r="E20" s="29"/>
    </row>
    <row r="21" spans="1:6" ht="16" x14ac:dyDescent="0.2">
      <c r="A21" s="29"/>
      <c r="B21" s="29"/>
      <c r="C21" s="30">
        <f>C20*0.05</f>
        <v>3050</v>
      </c>
      <c r="D21" s="29" t="s">
        <v>167</v>
      </c>
      <c r="E21" s="29"/>
    </row>
    <row r="22" spans="1:6" ht="32" x14ac:dyDescent="0.2">
      <c r="A22" s="29" t="s">
        <v>168</v>
      </c>
      <c r="B22" s="29" t="s">
        <v>310</v>
      </c>
      <c r="C22" s="30">
        <f>C21+C16+C11</f>
        <v>228756.25000000003</v>
      </c>
      <c r="D22" s="31" t="s">
        <v>220</v>
      </c>
      <c r="E22" s="29" t="s">
        <v>222</v>
      </c>
    </row>
    <row r="23" spans="1:6" ht="16" x14ac:dyDescent="0.2">
      <c r="A23" s="29" t="s">
        <v>314</v>
      </c>
      <c r="B23" s="29" t="s">
        <v>296</v>
      </c>
      <c r="C23" s="57">
        <v>0</v>
      </c>
      <c r="D23" s="31"/>
      <c r="E23" s="29" t="s">
        <v>332</v>
      </c>
    </row>
    <row r="24" spans="1:6" ht="16" x14ac:dyDescent="0.2">
      <c r="A24" s="29" t="s">
        <v>315</v>
      </c>
      <c r="B24" s="29" t="s">
        <v>316</v>
      </c>
      <c r="C24" s="30">
        <f>C22-C23</f>
        <v>228756.25000000003</v>
      </c>
      <c r="D24" s="30">
        <f>C24*10</f>
        <v>2287562.5000000005</v>
      </c>
      <c r="E24" s="30">
        <f>D24*10</f>
        <v>22875625.000000004</v>
      </c>
      <c r="F24" s="32" t="s">
        <v>331</v>
      </c>
    </row>
    <row r="25" spans="1:6" ht="16" x14ac:dyDescent="0.2">
      <c r="A25" s="29" t="s">
        <v>314</v>
      </c>
      <c r="B25" s="29" t="s">
        <v>296</v>
      </c>
      <c r="C25" s="30">
        <f>C24*50</f>
        <v>11437812.500000002</v>
      </c>
      <c r="D25" s="30">
        <f>C25*10</f>
        <v>114378125.00000001</v>
      </c>
      <c r="E25" s="30">
        <f>D25*6</f>
        <v>686268750.00000012</v>
      </c>
      <c r="F25" s="30">
        <f>E24*6</f>
        <v>137253750.00000003</v>
      </c>
    </row>
    <row r="26" spans="1:6" ht="16" x14ac:dyDescent="0.2">
      <c r="A26" s="29" t="s">
        <v>314</v>
      </c>
      <c r="B26" s="29" t="s">
        <v>296</v>
      </c>
      <c r="C26" s="30"/>
      <c r="D26" s="31"/>
      <c r="E26" s="29"/>
    </row>
    <row r="27" spans="1:6" ht="48" x14ac:dyDescent="0.2">
      <c r="A27" s="29" t="s">
        <v>219</v>
      </c>
      <c r="B27" s="29" t="s">
        <v>235</v>
      </c>
      <c r="C27" s="38">
        <f>C24*50</f>
        <v>11437812.500000002</v>
      </c>
      <c r="D27" s="32" t="s">
        <v>221</v>
      </c>
      <c r="E27" s="29"/>
    </row>
    <row r="28" spans="1:6" ht="16" x14ac:dyDescent="0.2">
      <c r="A28" s="29" t="s">
        <v>179</v>
      </c>
      <c r="B28" s="29" t="s">
        <v>174</v>
      </c>
      <c r="C28" s="40">
        <f>C27*10</f>
        <v>114378125.00000001</v>
      </c>
      <c r="D28" s="32" t="s">
        <v>223</v>
      </c>
      <c r="E28" s="29"/>
    </row>
    <row r="29" spans="1:6" ht="16" x14ac:dyDescent="0.2">
      <c r="A29" s="29" t="s">
        <v>325</v>
      </c>
      <c r="B29" s="29" t="s">
        <v>174</v>
      </c>
      <c r="C29" s="40">
        <f>C28*8/5</f>
        <v>183005000.00000003</v>
      </c>
      <c r="E29" s="29"/>
    </row>
    <row r="30" spans="1:6" ht="45" customHeight="1" x14ac:dyDescent="0.2">
      <c r="A30" s="29" t="s">
        <v>175</v>
      </c>
      <c r="B30" s="29" t="s">
        <v>224</v>
      </c>
      <c r="C30" s="30"/>
      <c r="D30" s="29"/>
      <c r="E30" s="29"/>
    </row>
    <row r="31" spans="1:6" ht="16" x14ac:dyDescent="0.2">
      <c r="A31" s="29"/>
      <c r="B31" s="29" t="s">
        <v>225</v>
      </c>
      <c r="C31" s="30"/>
      <c r="D31" s="29"/>
      <c r="E31" s="29"/>
    </row>
    <row r="32" spans="1:6" ht="16" x14ac:dyDescent="0.2">
      <c r="A32" s="29"/>
      <c r="B32" s="29" t="s">
        <v>226</v>
      </c>
      <c r="C32" s="38">
        <f>4*C27</f>
        <v>45751250.000000007</v>
      </c>
      <c r="D32" s="37" t="s">
        <v>227</v>
      </c>
      <c r="E32" s="29"/>
    </row>
    <row r="33" spans="1:7" ht="32" x14ac:dyDescent="0.2">
      <c r="A33" s="29"/>
      <c r="B33" s="29" t="s">
        <v>236</v>
      </c>
      <c r="C33" s="30"/>
      <c r="D33" s="29"/>
      <c r="E33" s="29"/>
    </row>
    <row r="34" spans="1:7" ht="16" x14ac:dyDescent="0.2">
      <c r="A34" s="29" t="s">
        <v>317</v>
      </c>
      <c r="B34" s="29" t="s">
        <v>228</v>
      </c>
      <c r="C34" s="40">
        <f>C32*10</f>
        <v>457512500.00000006</v>
      </c>
      <c r="D34" s="29" t="s">
        <v>186</v>
      </c>
      <c r="E34" s="32" t="s">
        <v>230</v>
      </c>
    </row>
    <row r="35" spans="1:7" x14ac:dyDescent="0.2">
      <c r="A35" s="29"/>
      <c r="B35" s="29"/>
      <c r="C35" s="30"/>
      <c r="D35" s="29"/>
      <c r="E35" s="29"/>
    </row>
    <row r="37" spans="1:7" x14ac:dyDescent="0.2">
      <c r="C37" s="32" t="s">
        <v>391</v>
      </c>
      <c r="D37" s="32" t="s">
        <v>392</v>
      </c>
      <c r="E37" s="32" t="s">
        <v>393</v>
      </c>
      <c r="F37" s="67">
        <f>SUM(F38:F42)</f>
        <v>974925</v>
      </c>
      <c r="G37" s="66"/>
    </row>
    <row r="38" spans="1:7" x14ac:dyDescent="0.2">
      <c r="B38" s="32" t="s">
        <v>396</v>
      </c>
      <c r="C38" s="32">
        <v>4500</v>
      </c>
      <c r="D38" s="32">
        <v>2500</v>
      </c>
      <c r="E38" s="32">
        <f>C38*D38</f>
        <v>11250000</v>
      </c>
      <c r="F38" s="32">
        <f>E38*0.04</f>
        <v>450000</v>
      </c>
    </row>
    <row r="39" spans="1:7" x14ac:dyDescent="0.2">
      <c r="B39" s="32" t="s">
        <v>395</v>
      </c>
      <c r="C39" s="32">
        <v>450</v>
      </c>
      <c r="D39" s="32">
        <v>1000</v>
      </c>
      <c r="E39" s="32">
        <f>C39*D39</f>
        <v>450000</v>
      </c>
      <c r="F39" s="32">
        <f>E39*0.14</f>
        <v>63000.000000000007</v>
      </c>
    </row>
    <row r="40" spans="1:7" x14ac:dyDescent="0.2">
      <c r="B40" s="32" t="s">
        <v>358</v>
      </c>
      <c r="C40" s="32">
        <v>450</v>
      </c>
      <c r="D40" s="32">
        <v>500</v>
      </c>
      <c r="E40" s="32">
        <f>C40*D40</f>
        <v>225000</v>
      </c>
      <c r="F40" s="32">
        <f>450*(250*0.67+250*0.14)</f>
        <v>91125</v>
      </c>
    </row>
    <row r="41" spans="1:7" x14ac:dyDescent="0.2">
      <c r="B41" s="32" t="s">
        <v>394</v>
      </c>
      <c r="C41" s="32">
        <v>450</v>
      </c>
      <c r="D41" s="32">
        <v>600</v>
      </c>
      <c r="E41" s="32">
        <f>C41*D41</f>
        <v>270000</v>
      </c>
      <c r="F41" s="32">
        <f>E41*0.04</f>
        <v>10800</v>
      </c>
    </row>
    <row r="42" spans="1:7" ht="32" x14ac:dyDescent="0.2">
      <c r="B42" s="29" t="s">
        <v>397</v>
      </c>
      <c r="C42" s="32">
        <v>3000</v>
      </c>
      <c r="D42" s="32">
        <v>1000</v>
      </c>
      <c r="E42" s="32">
        <f>C42*D42</f>
        <v>3000000</v>
      </c>
      <c r="F42" s="32">
        <f>E42*0.12</f>
        <v>360000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5"/>
  <sheetViews>
    <sheetView workbookViewId="0">
      <pane ySplit="1" topLeftCell="A7" activePane="bottomLeft" state="frozen"/>
      <selection activeCell="J32" sqref="J32"/>
      <selection pane="bottomLeft" activeCell="J32" sqref="J32"/>
    </sheetView>
  </sheetViews>
  <sheetFormatPr baseColWidth="10" defaultColWidth="8.83203125" defaultRowHeight="15" x14ac:dyDescent="0.2"/>
  <cols>
    <col min="2" max="2" width="19.83203125" bestFit="1" customWidth="1"/>
    <col min="3" max="3" width="48.6640625" customWidth="1"/>
    <col min="5" max="5" width="23.83203125" bestFit="1" customWidth="1"/>
    <col min="6" max="6" width="30.1640625" customWidth="1"/>
    <col min="7" max="7" width="43" style="25" customWidth="1"/>
    <col min="8" max="8" width="13.5" customWidth="1"/>
  </cols>
  <sheetData>
    <row r="1" spans="1:9" x14ac:dyDescent="0.2">
      <c r="A1" t="s">
        <v>138</v>
      </c>
      <c r="B1" t="s">
        <v>139</v>
      </c>
      <c r="C1" t="s">
        <v>142</v>
      </c>
      <c r="D1" t="s">
        <v>140</v>
      </c>
      <c r="G1" s="25" t="s">
        <v>148</v>
      </c>
      <c r="H1" t="s">
        <v>148</v>
      </c>
    </row>
    <row r="2" spans="1:9" x14ac:dyDescent="0.2">
      <c r="A2">
        <v>1</v>
      </c>
      <c r="B2" t="s">
        <v>137</v>
      </c>
      <c r="E2" t="s">
        <v>147</v>
      </c>
      <c r="H2" s="21"/>
    </row>
    <row r="3" spans="1:9" x14ac:dyDescent="0.2">
      <c r="A3">
        <v>2</v>
      </c>
      <c r="B3" t="s">
        <v>141</v>
      </c>
      <c r="E3" t="s">
        <v>147</v>
      </c>
      <c r="H3" s="21"/>
    </row>
    <row r="4" spans="1:9" ht="320" x14ac:dyDescent="0.2">
      <c r="A4">
        <v>3</v>
      </c>
      <c r="B4" t="s">
        <v>143</v>
      </c>
      <c r="C4" s="1" t="s">
        <v>144</v>
      </c>
      <c r="E4" t="s">
        <v>147</v>
      </c>
      <c r="F4" s="1" t="s">
        <v>151</v>
      </c>
      <c r="G4" s="22" t="s">
        <v>200</v>
      </c>
      <c r="H4" s="27" t="s">
        <v>201</v>
      </c>
      <c r="I4" t="s">
        <v>150</v>
      </c>
    </row>
    <row r="5" spans="1:9" x14ac:dyDescent="0.2">
      <c r="A5">
        <v>4</v>
      </c>
      <c r="B5" t="s">
        <v>145</v>
      </c>
      <c r="E5" t="s">
        <v>147</v>
      </c>
      <c r="H5" s="21"/>
    </row>
    <row r="6" spans="1:9" ht="240" x14ac:dyDescent="0.2">
      <c r="A6">
        <v>5</v>
      </c>
      <c r="B6" t="s">
        <v>146</v>
      </c>
      <c r="E6" t="s">
        <v>147</v>
      </c>
      <c r="F6" s="1" t="s">
        <v>153</v>
      </c>
      <c r="G6" s="26" t="s">
        <v>158</v>
      </c>
      <c r="H6" s="21"/>
    </row>
    <row r="7" spans="1:9" x14ac:dyDescent="0.2">
      <c r="A7">
        <v>6</v>
      </c>
      <c r="B7" t="s">
        <v>152</v>
      </c>
    </row>
    <row r="8" spans="1:9" x14ac:dyDescent="0.2">
      <c r="F8" t="s">
        <v>159</v>
      </c>
    </row>
    <row r="9" spans="1:9" x14ac:dyDescent="0.2">
      <c r="E9" t="s">
        <v>162</v>
      </c>
      <c r="F9">
        <v>1250</v>
      </c>
      <c r="G9" s="25">
        <v>2500</v>
      </c>
      <c r="H9" t="s">
        <v>156</v>
      </c>
    </row>
    <row r="10" spans="1:9" x14ac:dyDescent="0.2">
      <c r="F10" t="s">
        <v>157</v>
      </c>
      <c r="G10" s="25">
        <f>G9*F9</f>
        <v>3125000</v>
      </c>
      <c r="H10" t="s">
        <v>155</v>
      </c>
    </row>
    <row r="11" spans="1:9" x14ac:dyDescent="0.2">
      <c r="G11" s="25">
        <f>G10*0.15</f>
        <v>468750</v>
      </c>
      <c r="H11" s="21">
        <v>0.15</v>
      </c>
    </row>
    <row r="12" spans="1:9" x14ac:dyDescent="0.2">
      <c r="C12" t="s">
        <v>169</v>
      </c>
      <c r="G12" s="25">
        <f>G10*0.1</f>
        <v>312500</v>
      </c>
      <c r="H12" s="21">
        <v>0.1</v>
      </c>
    </row>
    <row r="13" spans="1:9" x14ac:dyDescent="0.2">
      <c r="C13" t="s">
        <v>534</v>
      </c>
      <c r="G13" s="25">
        <f>G10*0.04</f>
        <v>125000</v>
      </c>
      <c r="H13">
        <v>4</v>
      </c>
      <c r="I13">
        <f>G13/10000</f>
        <v>12.5</v>
      </c>
    </row>
    <row r="14" spans="1:9" x14ac:dyDescent="0.2">
      <c r="C14" t="s">
        <v>171</v>
      </c>
    </row>
    <row r="15" spans="1:9" x14ac:dyDescent="0.2">
      <c r="C15" t="s">
        <v>172</v>
      </c>
      <c r="E15" t="s">
        <v>164</v>
      </c>
      <c r="F15">
        <f>F9*0.05</f>
        <v>62.5</v>
      </c>
    </row>
    <row r="16" spans="1:9" x14ac:dyDescent="0.2">
      <c r="C16" t="s">
        <v>533</v>
      </c>
      <c r="F16">
        <v>62.5</v>
      </c>
      <c r="G16" s="25">
        <v>500</v>
      </c>
      <c r="H16" t="s">
        <v>156</v>
      </c>
    </row>
    <row r="17" spans="3:9" x14ac:dyDescent="0.2">
      <c r="C17" t="s">
        <v>531</v>
      </c>
      <c r="G17" s="25">
        <f>G16*F16</f>
        <v>31250</v>
      </c>
      <c r="H17" t="s">
        <v>160</v>
      </c>
    </row>
    <row r="18" spans="3:9" x14ac:dyDescent="0.2">
      <c r="C18" t="s">
        <v>14</v>
      </c>
      <c r="G18" s="25">
        <f>G17*0.74</f>
        <v>23125</v>
      </c>
      <c r="H18" t="s">
        <v>161</v>
      </c>
    </row>
    <row r="20" spans="3:9" x14ac:dyDescent="0.2">
      <c r="C20" t="s">
        <v>536</v>
      </c>
      <c r="E20" t="s">
        <v>163</v>
      </c>
      <c r="F20">
        <v>125</v>
      </c>
      <c r="G20" s="25">
        <v>750</v>
      </c>
      <c r="H20" t="s">
        <v>165</v>
      </c>
    </row>
    <row r="21" spans="3:9" x14ac:dyDescent="0.2">
      <c r="C21" t="s">
        <v>532</v>
      </c>
      <c r="G21" s="25">
        <f>G20*F20</f>
        <v>93750</v>
      </c>
      <c r="H21" t="s">
        <v>166</v>
      </c>
    </row>
    <row r="22" spans="3:9" x14ac:dyDescent="0.2">
      <c r="C22" t="s">
        <v>173</v>
      </c>
      <c r="G22" s="25">
        <f>G21*0.05</f>
        <v>4687.5</v>
      </c>
      <c r="H22" t="s">
        <v>167</v>
      </c>
    </row>
    <row r="23" spans="3:9" x14ac:dyDescent="0.2">
      <c r="C23" t="s">
        <v>9</v>
      </c>
      <c r="F23" t="s">
        <v>168</v>
      </c>
      <c r="G23" s="25">
        <f>G22+G18+G13</f>
        <v>152812.5</v>
      </c>
    </row>
    <row r="24" spans="3:9" ht="48" x14ac:dyDescent="0.2">
      <c r="C24" t="s">
        <v>535</v>
      </c>
      <c r="D24">
        <f>1400*50</f>
        <v>70000</v>
      </c>
      <c r="E24" t="s">
        <v>178</v>
      </c>
      <c r="F24" s="1" t="s">
        <v>182</v>
      </c>
      <c r="G24" s="25">
        <f>G23*50</f>
        <v>7640625</v>
      </c>
      <c r="H24" s="25">
        <f>G24/1400</f>
        <v>5457.5892857142853</v>
      </c>
      <c r="I24" t="s">
        <v>183</v>
      </c>
    </row>
    <row r="25" spans="3:9" x14ac:dyDescent="0.2">
      <c r="C25" t="s">
        <v>537</v>
      </c>
      <c r="F25" t="s">
        <v>170</v>
      </c>
    </row>
    <row r="26" spans="3:9" x14ac:dyDescent="0.2">
      <c r="E26" t="s">
        <v>179</v>
      </c>
      <c r="F26" t="s">
        <v>174</v>
      </c>
      <c r="G26" s="25">
        <f>G24*10</f>
        <v>76406250</v>
      </c>
      <c r="H26" s="25"/>
    </row>
    <row r="27" spans="3:9" x14ac:dyDescent="0.2">
      <c r="E27" t="s">
        <v>175</v>
      </c>
      <c r="F27" t="s">
        <v>176</v>
      </c>
    </row>
    <row r="28" spans="3:9" x14ac:dyDescent="0.2">
      <c r="F28" t="s">
        <v>177</v>
      </c>
    </row>
    <row r="29" spans="3:9" x14ac:dyDescent="0.2">
      <c r="F29" t="s">
        <v>180</v>
      </c>
    </row>
    <row r="30" spans="3:9" x14ac:dyDescent="0.2">
      <c r="D30">
        <f>4*D24</f>
        <v>280000</v>
      </c>
      <c r="F30" t="s">
        <v>181</v>
      </c>
      <c r="G30" s="25">
        <f>4*G24</f>
        <v>30562500</v>
      </c>
      <c r="H30" s="25"/>
    </row>
    <row r="31" spans="3:9" x14ac:dyDescent="0.2">
      <c r="F31" t="s">
        <v>184</v>
      </c>
    </row>
    <row r="32" spans="3:9" x14ac:dyDescent="0.2">
      <c r="D32">
        <f>D30*10</f>
        <v>2800000</v>
      </c>
      <c r="F32" t="s">
        <v>185</v>
      </c>
      <c r="G32" s="25">
        <f>G30*10</f>
        <v>305625000</v>
      </c>
      <c r="H32" t="s">
        <v>186</v>
      </c>
    </row>
    <row r="34" spans="5:7" x14ac:dyDescent="0.2">
      <c r="E34" t="s">
        <v>187</v>
      </c>
      <c r="F34" t="s">
        <v>188</v>
      </c>
      <c r="G34" s="25">
        <v>1500000</v>
      </c>
    </row>
    <row r="35" spans="5:7" x14ac:dyDescent="0.2">
      <c r="E35" t="s">
        <v>189</v>
      </c>
      <c r="F35" t="s">
        <v>190</v>
      </c>
      <c r="G35" s="25">
        <v>50000</v>
      </c>
    </row>
    <row r="36" spans="5:7" x14ac:dyDescent="0.2">
      <c r="F36" t="s">
        <v>191</v>
      </c>
      <c r="G36" s="25">
        <f>1400*50*10/6*20</f>
        <v>2333333.3333333335</v>
      </c>
    </row>
    <row r="37" spans="5:7" x14ac:dyDescent="0.2">
      <c r="F37" t="s">
        <v>199</v>
      </c>
    </row>
    <row r="38" spans="5:7" x14ac:dyDescent="0.2">
      <c r="F38" t="s">
        <v>192</v>
      </c>
      <c r="G38" s="25" t="s">
        <v>194</v>
      </c>
    </row>
    <row r="39" spans="5:7" x14ac:dyDescent="0.2">
      <c r="F39" t="s">
        <v>193</v>
      </c>
      <c r="G39" s="25" t="s">
        <v>194</v>
      </c>
    </row>
    <row r="40" spans="5:7" x14ac:dyDescent="0.2">
      <c r="F40" t="s">
        <v>190</v>
      </c>
      <c r="G40" s="25" t="s">
        <v>194</v>
      </c>
    </row>
    <row r="41" spans="5:7" x14ac:dyDescent="0.2">
      <c r="F41" t="s">
        <v>195</v>
      </c>
      <c r="G41" s="25" t="s">
        <v>194</v>
      </c>
    </row>
    <row r="42" spans="5:7" x14ac:dyDescent="0.2">
      <c r="F42" t="s">
        <v>196</v>
      </c>
      <c r="G42" s="25">
        <v>1</v>
      </c>
    </row>
    <row r="43" spans="5:7" x14ac:dyDescent="0.2">
      <c r="F43" t="s">
        <v>197</v>
      </c>
      <c r="G43" s="25">
        <v>1</v>
      </c>
    </row>
    <row r="44" spans="5:7" x14ac:dyDescent="0.2">
      <c r="F44" t="s">
        <v>198</v>
      </c>
    </row>
    <row r="45" spans="5:7" x14ac:dyDescent="0.2">
      <c r="F45" t="s">
        <v>149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5"/>
  <sheetViews>
    <sheetView workbookViewId="0">
      <selection activeCell="J32" sqref="J32"/>
    </sheetView>
  </sheetViews>
  <sheetFormatPr baseColWidth="10" defaultColWidth="8.83203125" defaultRowHeight="15" x14ac:dyDescent="0.2"/>
  <cols>
    <col min="1" max="1" width="6.1640625" bestFit="1" customWidth="1"/>
    <col min="2" max="2" width="69.6640625" bestFit="1" customWidth="1"/>
    <col min="3" max="3" width="65.1640625" style="1" customWidth="1"/>
    <col min="4" max="4" width="44.5" style="1" customWidth="1"/>
  </cols>
  <sheetData>
    <row r="1" spans="1:4" ht="16" x14ac:dyDescent="0.2">
      <c r="A1" s="23" t="s">
        <v>0</v>
      </c>
      <c r="B1" s="23" t="s">
        <v>1</v>
      </c>
      <c r="C1" s="24" t="s">
        <v>98</v>
      </c>
      <c r="D1" s="24" t="s">
        <v>104</v>
      </c>
    </row>
    <row r="2" spans="1:4" ht="48" x14ac:dyDescent="0.2">
      <c r="A2" s="13">
        <v>0</v>
      </c>
      <c r="B2" s="13" t="s">
        <v>60</v>
      </c>
      <c r="C2" s="14" t="s">
        <v>99</v>
      </c>
      <c r="D2" s="14" t="s">
        <v>106</v>
      </c>
    </row>
    <row r="3" spans="1:4" ht="80" x14ac:dyDescent="0.2">
      <c r="A3" s="4">
        <v>2</v>
      </c>
      <c r="B3" s="4" t="s">
        <v>64</v>
      </c>
      <c r="C3" s="6" t="s">
        <v>122</v>
      </c>
      <c r="D3" s="19" t="s">
        <v>123</v>
      </c>
    </row>
    <row r="4" spans="1:4" ht="16" x14ac:dyDescent="0.2">
      <c r="A4" s="4">
        <v>3</v>
      </c>
      <c r="B4" s="4" t="s">
        <v>65</v>
      </c>
      <c r="C4" s="6" t="s">
        <v>72</v>
      </c>
      <c r="D4" s="19" t="s">
        <v>124</v>
      </c>
    </row>
    <row r="5" spans="1:4" ht="16" x14ac:dyDescent="0.2">
      <c r="A5" s="4">
        <v>4</v>
      </c>
      <c r="B5" s="4" t="s">
        <v>75</v>
      </c>
      <c r="C5" s="6" t="s">
        <v>78</v>
      </c>
      <c r="D5" s="6"/>
    </row>
    <row r="6" spans="1:4" ht="16" x14ac:dyDescent="0.2">
      <c r="A6" s="4">
        <v>5</v>
      </c>
      <c r="B6" s="4" t="s">
        <v>74</v>
      </c>
      <c r="C6" s="6" t="s">
        <v>84</v>
      </c>
      <c r="D6" s="6"/>
    </row>
    <row r="7" spans="1:4" ht="16" x14ac:dyDescent="0.2">
      <c r="A7" s="4">
        <v>6</v>
      </c>
      <c r="B7" s="4" t="s">
        <v>77</v>
      </c>
      <c r="C7" s="6" t="s">
        <v>125</v>
      </c>
      <c r="D7" s="6"/>
    </row>
    <row r="8" spans="1:4" x14ac:dyDescent="0.2">
      <c r="A8" s="4">
        <v>7</v>
      </c>
      <c r="B8" s="4" t="s">
        <v>73</v>
      </c>
      <c r="C8" s="6"/>
      <c r="D8" s="6"/>
    </row>
    <row r="9" spans="1:4" ht="16" x14ac:dyDescent="0.2">
      <c r="A9" s="4">
        <v>8</v>
      </c>
      <c r="B9" s="4" t="s">
        <v>66</v>
      </c>
      <c r="C9" s="6" t="s">
        <v>126</v>
      </c>
      <c r="D9" s="6"/>
    </row>
    <row r="10" spans="1:4" ht="32" x14ac:dyDescent="0.2">
      <c r="A10" s="4">
        <v>9</v>
      </c>
      <c r="B10" s="4" t="s">
        <v>67</v>
      </c>
      <c r="C10" s="6" t="s">
        <v>154</v>
      </c>
      <c r="D10" s="6" t="s">
        <v>127</v>
      </c>
    </row>
    <row r="11" spans="1:4" x14ac:dyDescent="0.2">
      <c r="A11" s="4">
        <v>10</v>
      </c>
      <c r="B11" s="4" t="s">
        <v>71</v>
      </c>
      <c r="C11" s="6"/>
      <c r="D11" s="6"/>
    </row>
    <row r="12" spans="1:4" ht="16" x14ac:dyDescent="0.2">
      <c r="A12" s="4">
        <v>11</v>
      </c>
      <c r="B12" s="4" t="s">
        <v>76</v>
      </c>
      <c r="C12" s="6" t="s">
        <v>100</v>
      </c>
      <c r="D12" s="6" t="s">
        <v>129</v>
      </c>
    </row>
    <row r="13" spans="1:4" ht="16" x14ac:dyDescent="0.2">
      <c r="A13" s="4">
        <v>12</v>
      </c>
      <c r="B13" s="4" t="s">
        <v>79</v>
      </c>
      <c r="C13" s="6" t="s">
        <v>130</v>
      </c>
      <c r="D13" s="6"/>
    </row>
    <row r="14" spans="1:4" ht="16" x14ac:dyDescent="0.2">
      <c r="A14" s="4">
        <v>13</v>
      </c>
      <c r="B14" s="4" t="s">
        <v>80</v>
      </c>
      <c r="C14" s="6" t="s">
        <v>130</v>
      </c>
      <c r="D14" s="6"/>
    </row>
    <row r="15" spans="1:4" ht="16" x14ac:dyDescent="0.2">
      <c r="A15" s="4">
        <v>14</v>
      </c>
      <c r="B15" s="4" t="s">
        <v>81</v>
      </c>
      <c r="C15" s="6" t="s">
        <v>131</v>
      </c>
      <c r="D15" s="6"/>
    </row>
    <row r="16" spans="1:4" ht="16" x14ac:dyDescent="0.2">
      <c r="A16" s="4">
        <v>15</v>
      </c>
      <c r="B16" s="4" t="s">
        <v>101</v>
      </c>
      <c r="C16" s="6" t="s">
        <v>132</v>
      </c>
      <c r="D16" s="6"/>
    </row>
    <row r="17" spans="1:5" ht="16" x14ac:dyDescent="0.2">
      <c r="A17" s="4">
        <v>16</v>
      </c>
      <c r="B17" s="4" t="s">
        <v>82</v>
      </c>
      <c r="C17" s="6" t="s">
        <v>133</v>
      </c>
      <c r="D17" s="6"/>
    </row>
    <row r="18" spans="1:5" ht="16" x14ac:dyDescent="0.2">
      <c r="A18" s="13">
        <v>17</v>
      </c>
      <c r="B18" s="13" t="s">
        <v>83</v>
      </c>
      <c r="C18" s="14" t="s">
        <v>109</v>
      </c>
      <c r="D18" s="14"/>
    </row>
    <row r="19" spans="1:5" x14ac:dyDescent="0.2">
      <c r="A19" s="4">
        <v>18</v>
      </c>
      <c r="B19" s="4" t="s">
        <v>85</v>
      </c>
      <c r="C19" s="6"/>
      <c r="D19" s="6"/>
    </row>
    <row r="20" spans="1:5" ht="16" x14ac:dyDescent="0.2">
      <c r="A20" s="4">
        <v>19</v>
      </c>
      <c r="B20" s="4" t="s">
        <v>86</v>
      </c>
      <c r="C20" s="6" t="s">
        <v>87</v>
      </c>
      <c r="D20" s="6"/>
    </row>
    <row r="21" spans="1:5" ht="16" x14ac:dyDescent="0.2">
      <c r="A21" s="4">
        <v>20</v>
      </c>
      <c r="B21" s="4" t="s">
        <v>88</v>
      </c>
      <c r="C21" s="6" t="s">
        <v>89</v>
      </c>
      <c r="D21" s="6"/>
    </row>
    <row r="22" spans="1:5" ht="16" x14ac:dyDescent="0.2">
      <c r="A22" s="4">
        <v>21</v>
      </c>
      <c r="B22" s="4" t="s">
        <v>90</v>
      </c>
      <c r="C22" s="6" t="s">
        <v>134</v>
      </c>
      <c r="D22" s="6"/>
    </row>
    <row r="23" spans="1:5" ht="16" x14ac:dyDescent="0.2">
      <c r="A23" s="4">
        <v>22</v>
      </c>
      <c r="B23" s="4" t="s">
        <v>91</v>
      </c>
      <c r="C23" s="6" t="s">
        <v>135</v>
      </c>
      <c r="D23" s="6" t="s">
        <v>136</v>
      </c>
    </row>
    <row r="24" spans="1:5" x14ac:dyDescent="0.2">
      <c r="A24" s="4">
        <v>23</v>
      </c>
      <c r="B24" s="4" t="s">
        <v>92</v>
      </c>
      <c r="C24" s="6"/>
      <c r="D24" s="6"/>
      <c r="E24" s="20"/>
    </row>
    <row r="25" spans="1:5" ht="16" x14ac:dyDescent="0.2">
      <c r="A25" s="4">
        <v>24</v>
      </c>
      <c r="B25" s="4" t="s">
        <v>93</v>
      </c>
      <c r="C25" s="6" t="s">
        <v>94</v>
      </c>
      <c r="D25" s="6"/>
      <c r="E25" s="20"/>
    </row>
    <row r="26" spans="1:5" x14ac:dyDescent="0.2">
      <c r="A26" s="4">
        <v>25</v>
      </c>
      <c r="B26" s="4" t="s">
        <v>95</v>
      </c>
      <c r="C26" s="6"/>
      <c r="D26" s="6"/>
    </row>
    <row r="27" spans="1:5" ht="16" x14ac:dyDescent="0.2">
      <c r="A27" s="4">
        <v>26</v>
      </c>
      <c r="B27" s="4" t="s">
        <v>69</v>
      </c>
      <c r="C27" s="6" t="s">
        <v>68</v>
      </c>
      <c r="D27" s="6"/>
    </row>
    <row r="28" spans="1:5" ht="16" x14ac:dyDescent="0.2">
      <c r="A28" s="4">
        <v>27</v>
      </c>
      <c r="B28" s="4" t="s">
        <v>96</v>
      </c>
      <c r="C28" s="6" t="s">
        <v>97</v>
      </c>
      <c r="D28" s="6"/>
    </row>
    <row r="29" spans="1:5" x14ac:dyDescent="0.2">
      <c r="A29" s="4">
        <v>28</v>
      </c>
      <c r="B29" s="4" t="s">
        <v>70</v>
      </c>
      <c r="C29" s="6"/>
      <c r="D29" s="6"/>
    </row>
    <row r="30" spans="1:5" ht="16" x14ac:dyDescent="0.2">
      <c r="A30" s="4">
        <v>29</v>
      </c>
      <c r="B30" s="4" t="s">
        <v>102</v>
      </c>
      <c r="C30" s="6" t="s">
        <v>103</v>
      </c>
      <c r="D30" s="6"/>
    </row>
    <row r="31" spans="1:5" ht="16" x14ac:dyDescent="0.2">
      <c r="A31" s="4">
        <v>30</v>
      </c>
      <c r="B31" s="4" t="s">
        <v>108</v>
      </c>
      <c r="C31" s="6" t="s">
        <v>103</v>
      </c>
      <c r="D31" s="6"/>
    </row>
    <row r="32" spans="1:5" ht="32" x14ac:dyDescent="0.2">
      <c r="A32" s="4">
        <v>31</v>
      </c>
      <c r="B32" s="4" t="s">
        <v>105</v>
      </c>
      <c r="C32" s="6" t="s">
        <v>107</v>
      </c>
      <c r="D32" s="6"/>
    </row>
    <row r="33" spans="1:4" ht="16" x14ac:dyDescent="0.2">
      <c r="A33" s="16">
        <v>32</v>
      </c>
      <c r="B33" s="16" t="s">
        <v>110</v>
      </c>
      <c r="C33" s="17" t="s">
        <v>111</v>
      </c>
      <c r="D33" s="6"/>
    </row>
    <row r="34" spans="1:4" ht="16" x14ac:dyDescent="0.2">
      <c r="B34" s="15" t="s">
        <v>112</v>
      </c>
      <c r="C34" s="18" t="s">
        <v>113</v>
      </c>
    </row>
    <row r="35" spans="1:4" x14ac:dyDescent="0.2">
      <c r="B35" s="15" t="s">
        <v>114</v>
      </c>
    </row>
    <row r="36" spans="1:4" ht="16" x14ac:dyDescent="0.2">
      <c r="B36" s="15" t="s">
        <v>115</v>
      </c>
      <c r="C36" s="1" t="s">
        <v>116</v>
      </c>
    </row>
    <row r="37" spans="1:4" ht="176" x14ac:dyDescent="0.2">
      <c r="B37" s="15" t="s">
        <v>117</v>
      </c>
      <c r="C37" s="1" t="s">
        <v>118</v>
      </c>
      <c r="D37" s="1" t="s">
        <v>119</v>
      </c>
    </row>
    <row r="38" spans="1:4" x14ac:dyDescent="0.2">
      <c r="B38" s="15" t="s">
        <v>120</v>
      </c>
    </row>
    <row r="39" spans="1:4" x14ac:dyDescent="0.2">
      <c r="B39" s="15" t="s">
        <v>121</v>
      </c>
    </row>
    <row r="40" spans="1:4" x14ac:dyDescent="0.2">
      <c r="B40" s="15" t="s">
        <v>128</v>
      </c>
    </row>
    <row r="43" spans="1:4" x14ac:dyDescent="0.2">
      <c r="B43" t="s">
        <v>62</v>
      </c>
    </row>
    <row r="44" spans="1:4" x14ac:dyDescent="0.2">
      <c r="B44" t="s">
        <v>63</v>
      </c>
    </row>
    <row r="45" spans="1:4" x14ac:dyDescent="0.2">
      <c r="B45" t="s">
        <v>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8"/>
  <sheetViews>
    <sheetView workbookViewId="0">
      <selection activeCell="J32" sqref="J32"/>
    </sheetView>
  </sheetViews>
  <sheetFormatPr baseColWidth="10" defaultColWidth="8.83203125" defaultRowHeight="15" x14ac:dyDescent="0.2"/>
  <cols>
    <col min="1" max="1" width="39.83203125" bestFit="1" customWidth="1"/>
    <col min="2" max="2" width="26.5" style="3" bestFit="1" customWidth="1"/>
    <col min="3" max="3" width="113" style="1" customWidth="1"/>
  </cols>
  <sheetData>
    <row r="1" spans="1:5" ht="16" x14ac:dyDescent="0.2">
      <c r="A1" s="10" t="s">
        <v>57</v>
      </c>
      <c r="B1" s="11" t="s">
        <v>58</v>
      </c>
      <c r="C1" s="12" t="s">
        <v>59</v>
      </c>
    </row>
    <row r="2" spans="1:5" x14ac:dyDescent="0.2">
      <c r="A2" s="4" t="s">
        <v>2</v>
      </c>
      <c r="B2" s="5">
        <v>18</v>
      </c>
      <c r="C2" s="6"/>
      <c r="E2" t="s">
        <v>55</v>
      </c>
    </row>
    <row r="3" spans="1:5" x14ac:dyDescent="0.2">
      <c r="A3" s="4" t="s">
        <v>3</v>
      </c>
      <c r="B3" s="5">
        <v>21</v>
      </c>
      <c r="C3" s="6"/>
    </row>
    <row r="4" spans="1:5" x14ac:dyDescent="0.2">
      <c r="A4" s="4" t="s">
        <v>4</v>
      </c>
      <c r="B4" s="5">
        <v>21</v>
      </c>
      <c r="C4" s="6"/>
    </row>
    <row r="5" spans="1:5" x14ac:dyDescent="0.2">
      <c r="A5" s="4" t="s">
        <v>5</v>
      </c>
      <c r="B5" s="5">
        <v>21</v>
      </c>
      <c r="C5" s="6"/>
    </row>
    <row r="6" spans="1:5" x14ac:dyDescent="0.2">
      <c r="A6" s="4" t="s">
        <v>6</v>
      </c>
      <c r="B6" s="5" t="s">
        <v>7</v>
      </c>
      <c r="C6" t="s">
        <v>8</v>
      </c>
    </row>
    <row r="7" spans="1:5" x14ac:dyDescent="0.2">
      <c r="A7" s="4" t="s">
        <v>9</v>
      </c>
      <c r="B7" s="5">
        <v>25</v>
      </c>
      <c r="C7" s="6"/>
    </row>
    <row r="8" spans="1:5" x14ac:dyDescent="0.2">
      <c r="A8" s="4" t="s">
        <v>10</v>
      </c>
      <c r="B8" s="5">
        <v>21</v>
      </c>
      <c r="C8" s="6"/>
    </row>
    <row r="9" spans="1:5" x14ac:dyDescent="0.2">
      <c r="A9" s="4" t="s">
        <v>11</v>
      </c>
      <c r="B9" s="5">
        <v>25</v>
      </c>
      <c r="C9" s="6"/>
    </row>
    <row r="10" spans="1:5" x14ac:dyDescent="0.2">
      <c r="A10" s="4" t="s">
        <v>12</v>
      </c>
      <c r="B10" s="5">
        <v>25</v>
      </c>
      <c r="C10" t="s">
        <v>13</v>
      </c>
    </row>
    <row r="11" spans="1:5" x14ac:dyDescent="0.2">
      <c r="A11" s="4" t="s">
        <v>14</v>
      </c>
      <c r="B11" s="5">
        <v>21</v>
      </c>
      <c r="C11" s="6"/>
    </row>
    <row r="12" spans="1:5" ht="16" x14ac:dyDescent="0.2">
      <c r="A12" s="4" t="s">
        <v>15</v>
      </c>
      <c r="B12" s="5" t="s">
        <v>7</v>
      </c>
      <c r="C12" s="6" t="s">
        <v>16</v>
      </c>
    </row>
    <row r="13" spans="1:5" ht="48" x14ac:dyDescent="0.2">
      <c r="A13" s="4" t="s">
        <v>17</v>
      </c>
      <c r="B13" s="5">
        <v>25</v>
      </c>
      <c r="C13" s="6" t="s">
        <v>18</v>
      </c>
    </row>
    <row r="14" spans="1:5" x14ac:dyDescent="0.2">
      <c r="A14" s="4" t="s">
        <v>19</v>
      </c>
      <c r="B14" s="5">
        <v>18</v>
      </c>
      <c r="C14" s="6"/>
    </row>
    <row r="15" spans="1:5" x14ac:dyDescent="0.2">
      <c r="A15" s="4" t="s">
        <v>20</v>
      </c>
      <c r="B15" s="5">
        <v>18</v>
      </c>
      <c r="C15" s="6"/>
    </row>
    <row r="16" spans="1:5" x14ac:dyDescent="0.2">
      <c r="A16" s="4" t="s">
        <v>21</v>
      </c>
      <c r="B16" s="5">
        <v>21</v>
      </c>
      <c r="C16" s="6"/>
    </row>
    <row r="17" spans="1:3" ht="47" x14ac:dyDescent="0.2">
      <c r="A17" s="4" t="s">
        <v>22</v>
      </c>
      <c r="B17" s="5">
        <v>18</v>
      </c>
      <c r="C17" s="6" t="s">
        <v>23</v>
      </c>
    </row>
    <row r="18" spans="1:3" ht="16" x14ac:dyDescent="0.2">
      <c r="A18" s="4" t="s">
        <v>24</v>
      </c>
      <c r="B18" s="5">
        <v>23</v>
      </c>
      <c r="C18" s="6" t="s">
        <v>25</v>
      </c>
    </row>
    <row r="19" spans="1:3" x14ac:dyDescent="0.2">
      <c r="A19" s="4" t="s">
        <v>26</v>
      </c>
      <c r="B19" s="5">
        <v>18</v>
      </c>
      <c r="C19" s="6"/>
    </row>
    <row r="20" spans="1:3" ht="16" x14ac:dyDescent="0.2">
      <c r="A20" s="4" t="s">
        <v>27</v>
      </c>
      <c r="B20" s="5" t="s">
        <v>28</v>
      </c>
      <c r="C20" s="6" t="s">
        <v>29</v>
      </c>
    </row>
    <row r="21" spans="1:3" x14ac:dyDescent="0.2">
      <c r="A21" s="4" t="s">
        <v>30</v>
      </c>
      <c r="B21" s="5">
        <v>21</v>
      </c>
      <c r="C21" s="6"/>
    </row>
    <row r="22" spans="1:3" s="2" customFormat="1" ht="15.75" customHeight="1" x14ac:dyDescent="0.2">
      <c r="A22" s="7" t="s">
        <v>31</v>
      </c>
      <c r="B22" s="8" t="s">
        <v>56</v>
      </c>
      <c r="C22" s="9" t="s">
        <v>32</v>
      </c>
    </row>
    <row r="24" spans="1:3" ht="16" x14ac:dyDescent="0.2">
      <c r="A24" t="s">
        <v>33</v>
      </c>
      <c r="B24" s="3">
        <v>21</v>
      </c>
      <c r="C24" s="1" t="s">
        <v>34</v>
      </c>
    </row>
    <row r="25" spans="1:3" x14ac:dyDescent="0.2">
      <c r="A25" t="s">
        <v>35</v>
      </c>
      <c r="B25" s="3">
        <v>21</v>
      </c>
    </row>
    <row r="26" spans="1:3" x14ac:dyDescent="0.2">
      <c r="A26" t="s">
        <v>36</v>
      </c>
      <c r="B26" s="3" t="s">
        <v>37</v>
      </c>
      <c r="C26" t="s">
        <v>38</v>
      </c>
    </row>
    <row r="27" spans="1:3" x14ac:dyDescent="0.2">
      <c r="A27" t="s">
        <v>39</v>
      </c>
      <c r="B27" s="3" t="s">
        <v>40</v>
      </c>
      <c r="C27" t="s">
        <v>41</v>
      </c>
    </row>
    <row r="28" spans="1:3" x14ac:dyDescent="0.2">
      <c r="A28" t="s">
        <v>42</v>
      </c>
      <c r="B28" s="3">
        <v>21</v>
      </c>
    </row>
    <row r="29" spans="1:3" x14ac:dyDescent="0.2">
      <c r="A29" t="s">
        <v>43</v>
      </c>
      <c r="B29" s="3">
        <v>18</v>
      </c>
    </row>
    <row r="30" spans="1:3" ht="48" x14ac:dyDescent="0.2">
      <c r="A30" t="s">
        <v>44</v>
      </c>
      <c r="B30" s="3">
        <v>25</v>
      </c>
      <c r="C30" s="1" t="s">
        <v>45</v>
      </c>
    </row>
    <row r="31" spans="1:3" x14ac:dyDescent="0.2">
      <c r="A31" t="s">
        <v>46</v>
      </c>
      <c r="B31" s="3">
        <v>18</v>
      </c>
    </row>
    <row r="32" spans="1:3" x14ac:dyDescent="0.2">
      <c r="A32" t="s">
        <v>47</v>
      </c>
      <c r="B32" s="3">
        <v>18</v>
      </c>
    </row>
    <row r="33" spans="1:3" x14ac:dyDescent="0.2">
      <c r="A33" t="s">
        <v>48</v>
      </c>
      <c r="B33" s="3">
        <v>21</v>
      </c>
    </row>
    <row r="34" spans="1:3" x14ac:dyDescent="0.2">
      <c r="A34" t="s">
        <v>49</v>
      </c>
      <c r="B34" s="3">
        <v>21</v>
      </c>
    </row>
    <row r="35" spans="1:3" x14ac:dyDescent="0.2">
      <c r="A35" t="s">
        <v>50</v>
      </c>
      <c r="B35" s="3">
        <v>21</v>
      </c>
    </row>
    <row r="36" spans="1:3" x14ac:dyDescent="0.2">
      <c r="A36" t="s">
        <v>51</v>
      </c>
      <c r="B36" s="3">
        <v>21</v>
      </c>
      <c r="C36" t="s">
        <v>52</v>
      </c>
    </row>
    <row r="37" spans="1:3" x14ac:dyDescent="0.2">
      <c r="A37" t="s">
        <v>53</v>
      </c>
      <c r="B37" s="3">
        <v>21</v>
      </c>
    </row>
    <row r="38" spans="1:3" x14ac:dyDescent="0.2">
      <c r="A38" t="s">
        <v>54</v>
      </c>
      <c r="B38" s="3">
        <v>21</v>
      </c>
    </row>
  </sheetData>
  <hyperlinks>
    <hyperlink ref="A2" r:id="rId1" tooltip="Andaman and Nicobar Islands" display="https://en.wikipedia.org/wiki/Andaman_and_Nicobar_Islands" xr:uid="{00000000-0004-0000-0600-000000000000}"/>
    <hyperlink ref="B2" r:id="rId2" location="cite_note-MDAIndia-10" display="https://en.wikipedia.org/wiki/Alcohol_laws_of_India - cite_note-MDAIndia-10" xr:uid="{00000000-0004-0000-0600-000001000000}"/>
    <hyperlink ref="A3" r:id="rId3" tooltip="Andhra Pradesh" display="https://en.wikipedia.org/wiki/Andhra_Pradesh" xr:uid="{00000000-0004-0000-0600-000002000000}"/>
    <hyperlink ref="B3" r:id="rId4" location="cite_note-MDAIndia-10" display="https://en.wikipedia.org/wiki/Alcohol_laws_of_India - cite_note-MDAIndia-10" xr:uid="{00000000-0004-0000-0600-000003000000}"/>
    <hyperlink ref="A4" r:id="rId5" tooltip="Arunachal Pradesh" display="https://en.wikipedia.org/wiki/Arunachal_Pradesh" xr:uid="{00000000-0004-0000-0600-000004000000}"/>
    <hyperlink ref="B4" r:id="rId6" location="cite_note-MDAIndia-10" display="https://en.wikipedia.org/wiki/Alcohol_laws_of_India - cite_note-MDAIndia-10" xr:uid="{00000000-0004-0000-0600-000005000000}"/>
    <hyperlink ref="A5" r:id="rId7" tooltip="Assam" display="https://en.wikipedia.org/wiki/Assam" xr:uid="{00000000-0004-0000-0600-000006000000}"/>
    <hyperlink ref="B5" r:id="rId8" location="cite_note-MDAIndia-10" display="cite_note-MDAIndia-10" xr:uid="{00000000-0004-0000-0600-000007000000}"/>
    <hyperlink ref="A6" r:id="rId9" tooltip="Bihar" display="https://en.wikipedia.org/wiki/Bihar" xr:uid="{00000000-0004-0000-0600-000008000000}"/>
    <hyperlink ref="B6" r:id="rId10" tooltip="Bihar Excise (Amendment) Act, 2016" display="https://en.wikipedia.org/wiki/Bihar_Excise_(Amendment)_Act,_2016" xr:uid="{00000000-0004-0000-0600-000009000000}"/>
    <hyperlink ref="A7" r:id="rId11" tooltip="Chandigarh" display="https://en.wikipedia.org/wiki/Chandigarh" xr:uid="{00000000-0004-0000-0600-00000A000000}"/>
    <hyperlink ref="B7" r:id="rId12" location="cite_note-12" display="https://en.wikipedia.org/wiki/Alcohol_laws_of_India - cite_note-12" xr:uid="{00000000-0004-0000-0600-00000B000000}"/>
    <hyperlink ref="A8" r:id="rId13" tooltip="Chhattisgarh" display="https://en.wikipedia.org/wiki/Chhattisgarh" xr:uid="{00000000-0004-0000-0600-00000C000000}"/>
    <hyperlink ref="B8" r:id="rId14" location="cite_note-MDAIndia-10" display="https://en.wikipedia.org/wiki/Alcohol_laws_of_India - cite_note-MDAIndia-10" xr:uid="{00000000-0004-0000-0600-00000D000000}"/>
    <hyperlink ref="A9" r:id="rId15" tooltip="Dadra and Nagar Haveli and Daman and Diu" display="https://en.wikipedia.org/wiki/Dadra_and_Nagar_Haveli_and_Daman_and_Diu" xr:uid="{00000000-0004-0000-0600-00000E000000}"/>
    <hyperlink ref="A10" r:id="rId16" tooltip="Delhi" display="https://en.wikipedia.org/wiki/Delhi" xr:uid="{00000000-0004-0000-0600-00000F000000}"/>
    <hyperlink ref="A11" r:id="rId17" tooltip="Goa" display="https://en.wikipedia.org/wiki/Goa" xr:uid="{00000000-0004-0000-0600-000010000000}"/>
    <hyperlink ref="B11" r:id="rId18" location="cite_note-14" display="https://en.wikipedia.org/wiki/Alcohol_laws_of_India - cite_note-14" xr:uid="{00000000-0004-0000-0600-000011000000}"/>
    <hyperlink ref="A12" r:id="rId19" tooltip="Gujarat" display="https://en.wikipedia.org/wiki/Gujarat" xr:uid="{00000000-0004-0000-0600-000012000000}"/>
    <hyperlink ref="B12" r:id="rId20" tooltip="Bombay Prohibition (Gujarat Amendment) Act, 2009" display="https://en.wikipedia.org/wiki/Bombay_Prohibition_(Gujarat_Amendment)_Act,_2009" xr:uid="{00000000-0004-0000-0600-000013000000}"/>
    <hyperlink ref="A13" r:id="rId21" tooltip="Haryana" display="https://en.wikipedia.org/wiki/Haryana" xr:uid="{00000000-0004-0000-0600-000014000000}"/>
    <hyperlink ref="B13" r:id="rId22" location="cite_note-MDAIndia-10" display="cite_note-MDAIndia-10" xr:uid="{00000000-0004-0000-0600-000015000000}"/>
    <hyperlink ref="A14" r:id="rId23" tooltip="Himachal Pradesh" display="https://en.wikipedia.org/wiki/Himachal_Pradesh" xr:uid="{00000000-0004-0000-0600-000016000000}"/>
    <hyperlink ref="B14" r:id="rId24" location="cite_note-18" display="https://en.wikipedia.org/wiki/Alcohol_laws_of_India - cite_note-18" xr:uid="{00000000-0004-0000-0600-000017000000}"/>
    <hyperlink ref="A15" r:id="rId25" tooltip="Jammu and Kashmir (union territory)" display="https://en.wikipedia.org/wiki/Jammu_and_Kashmir_(union_territory)" xr:uid="{00000000-0004-0000-0600-000018000000}"/>
    <hyperlink ref="A16" r:id="rId26" tooltip="Jharkhand" display="https://en.wikipedia.org/wiki/Jharkhand" xr:uid="{00000000-0004-0000-0600-000019000000}"/>
    <hyperlink ref="A17" r:id="rId27" tooltip="Karnataka" display="https://en.wikipedia.org/wiki/Karnataka" xr:uid="{00000000-0004-0000-0600-00001A000000}"/>
    <hyperlink ref="A18" r:id="rId28" tooltip="Kerala" display="https://en.wikipedia.org/wiki/Kerala" xr:uid="{00000000-0004-0000-0600-00001B000000}"/>
    <hyperlink ref="B18" r:id="rId29" location="cite_note-27" display="https://en.wikipedia.org/wiki/Alcohol_laws_of_India - cite_note-27" xr:uid="{00000000-0004-0000-0600-00001C000000}"/>
    <hyperlink ref="A19" r:id="rId30" tooltip="Ladakh" display="https://en.wikipedia.org/wiki/Ladakh" xr:uid="{00000000-0004-0000-0600-00001D000000}"/>
    <hyperlink ref="A20" r:id="rId31" tooltip="Lakshadweep" display="https://en.wikipedia.org/wiki/Lakshadweep" xr:uid="{00000000-0004-0000-0600-00001E000000}"/>
    <hyperlink ref="A21" r:id="rId32" tooltip="Madhya Pradesh" display="https://en.wikipedia.org/wiki/Madhya_Pradesh" xr:uid="{00000000-0004-0000-0600-00001F000000}"/>
    <hyperlink ref="B21" r:id="rId33" location="cite_note-31" display="https://en.wikipedia.org/wiki/Alcohol_laws_of_India - cite_note-31" xr:uid="{00000000-0004-0000-0600-000020000000}"/>
    <hyperlink ref="A22" r:id="rId34" tooltip="Maharashtra" display="https://en.wikipedia.org/wiki/Maharashtra" xr:uid="{00000000-0004-0000-0600-000021000000}"/>
    <hyperlink ref="A24" r:id="rId35" tooltip="Manipur" display="https://en.wikipedia.org/wiki/Manipur" xr:uid="{00000000-0004-0000-0600-000022000000}"/>
    <hyperlink ref="B24" r:id="rId36" location="cite_note-MDAIndia-10" display="https://en.wikipedia.org/wiki/Alcohol_laws_of_India - cite_note-MDAIndia-10" xr:uid="{00000000-0004-0000-0600-000023000000}"/>
    <hyperlink ref="A25" r:id="rId37" tooltip="Meghalaya" display="https://en.wikipedia.org/wiki/Meghalaya" xr:uid="{00000000-0004-0000-0600-000024000000}"/>
    <hyperlink ref="B25" r:id="rId38" location="cite_note-ibn_18_rome-33" display="https://en.wikipedia.org/wiki/Alcohol_laws_of_India - cite_note-ibn_18_rome-33" xr:uid="{00000000-0004-0000-0600-000025000000}"/>
    <hyperlink ref="A26" r:id="rId39" tooltip="Mizoram" display="https://en.wikipedia.org/wiki/Mizoram" xr:uid="{00000000-0004-0000-0600-000026000000}"/>
    <hyperlink ref="B26" r:id="rId40" location="cite_note-34" display="https://en.wikipedia.org/wiki/Alcohol_laws_of_India - cite_note-34" xr:uid="{00000000-0004-0000-0600-000027000000}"/>
    <hyperlink ref="A27" r:id="rId41" tooltip="Nagaland" display="https://en.wikipedia.org/wiki/Nagaland" xr:uid="{00000000-0004-0000-0600-000028000000}"/>
    <hyperlink ref="A28" r:id="rId42" tooltip="Odisha" display="https://en.wikipedia.org/wiki/Odisha" xr:uid="{00000000-0004-0000-0600-000029000000}"/>
    <hyperlink ref="A29" r:id="rId43" tooltip="Puducherry" display="https://en.wikipedia.org/wiki/Puducherry" xr:uid="{00000000-0004-0000-0600-00002A000000}"/>
    <hyperlink ref="B29" r:id="rId44" location="cite_note-MDAIndia-10" display="https://en.wikipedia.org/wiki/Alcohol_laws_of_India - cite_note-MDAIndia-10" xr:uid="{00000000-0004-0000-0600-00002B000000}"/>
    <hyperlink ref="A30" r:id="rId45" tooltip="Punjab, India" display="https://en.wikipedia.org/wiki/Punjab,_India" xr:uid="{00000000-0004-0000-0600-00002C000000}"/>
    <hyperlink ref="B30" r:id="rId46" location="cite_note-38" display="https://en.wikipedia.org/wiki/Alcohol_laws_of_India - cite_note-38" xr:uid="{00000000-0004-0000-0600-00002D000000}"/>
    <hyperlink ref="A31" r:id="rId47" tooltip="Rajasthan" display="https://en.wikipedia.org/wiki/Rajasthan" xr:uid="{00000000-0004-0000-0600-00002E000000}"/>
    <hyperlink ref="B31" r:id="rId48" location="cite_note-39" display="https://en.wikipedia.org/wiki/Alcohol_laws_of_India - cite_note-39" xr:uid="{00000000-0004-0000-0600-00002F000000}"/>
    <hyperlink ref="A32" r:id="rId49" tooltip="Sikkim" display="https://en.wikipedia.org/wiki/Sikkim" xr:uid="{00000000-0004-0000-0600-000030000000}"/>
    <hyperlink ref="B32" r:id="rId50" location="cite_note-TOI2-40" display="https://en.wikipedia.org/wiki/Alcohol_laws_of_India - cite_note-TOI2-40" xr:uid="{00000000-0004-0000-0600-000031000000}"/>
    <hyperlink ref="A33" r:id="rId51" tooltip="Tamil Nadu" display="https://en.wikipedia.org/wiki/Tamil_Nadu" xr:uid="{00000000-0004-0000-0600-000032000000}"/>
    <hyperlink ref="B33" r:id="rId52" location="cite_note-MDAIndia-10" display="https://en.wikipedia.org/wiki/Alcohol_laws_of_India - cite_note-MDAIndia-10" xr:uid="{00000000-0004-0000-0600-000033000000}"/>
    <hyperlink ref="A34" r:id="rId53" tooltip="Telangana" display="https://en.wikipedia.org/wiki/Telangana" xr:uid="{00000000-0004-0000-0600-000034000000}"/>
    <hyperlink ref="A35" r:id="rId54" tooltip="Tripura" display="https://en.wikipedia.org/wiki/Tripura" xr:uid="{00000000-0004-0000-0600-000035000000}"/>
    <hyperlink ref="A36" r:id="rId55" tooltip="Uttar Pradesh" display="https://en.wikipedia.org/wiki/Uttar_Pradesh" xr:uid="{00000000-0004-0000-0600-000036000000}"/>
    <hyperlink ref="A37" r:id="rId56" tooltip="Uttarakhand" display="https://en.wikipedia.org/wiki/Uttarakhand" xr:uid="{00000000-0004-0000-0600-000037000000}"/>
    <hyperlink ref="A38" r:id="rId57" tooltip="West Bengal" display="https://en.wikipedia.org/wiki/West_Bengal" xr:uid="{00000000-0004-0000-0600-000038000000}"/>
    <hyperlink ref="B28" r:id="rId58" location="cite_note-ibn_18_rome-33" display="https://en.wikipedia.org/wiki/Alcohol_laws_of_India - cite_note-ibn_18_rome-33" xr:uid="{00000000-0004-0000-0600-000039000000}"/>
    <hyperlink ref="B34" r:id="rId59" location="cite_note-MDAIndia-10" display="https://en.wikipedia.org/wiki/Alcohol_laws_of_India - cite_note-MDAIndia-10" xr:uid="{00000000-0004-0000-0600-00003A000000}"/>
    <hyperlink ref="B35" r:id="rId60" location="cite_note-MDAIndia-10" display="https://en.wikipedia.org/wiki/Alcohol_laws_of_India - cite_note-MDAIndia-10" xr:uid="{00000000-0004-0000-0600-00003B000000}"/>
    <hyperlink ref="B36" r:id="rId61" location="cite_note-MDAIndia-10" display="https://en.wikipedia.org/wiki/Alcohol_laws_of_India - cite_note-MDAIndia-10" xr:uid="{00000000-0004-0000-0600-00003C000000}"/>
    <hyperlink ref="B37" r:id="rId62" location="cite_note-MDAIndia-10" display="https://en.wikipedia.org/wiki/Alcohol_laws_of_India - cite_note-MDAIndia-10" xr:uid="{00000000-0004-0000-0600-00003D000000}"/>
    <hyperlink ref="B38" r:id="rId63" location="cite_note-MDAIndia-10" display="https://en.wikipedia.org/wiki/Alcohol_laws_of_India - cite_note-MDAIndia-10" xr:uid="{00000000-0004-0000-0600-00003E000000}"/>
  </hyperlinks>
  <pageMargins left="0.7" right="0.7" top="0.75" bottom="0.75" header="0.3" footer="0.3"/>
  <pageSetup orientation="portrait" r:id="rId6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0"/>
  <sheetViews>
    <sheetView workbookViewId="0">
      <selection activeCell="J32" sqref="J32"/>
    </sheetView>
  </sheetViews>
  <sheetFormatPr baseColWidth="10" defaultColWidth="8.83203125" defaultRowHeight="15" x14ac:dyDescent="0.2"/>
  <cols>
    <col min="1" max="1" width="124.6640625" bestFit="1" customWidth="1"/>
    <col min="2" max="2" width="20.33203125" customWidth="1"/>
    <col min="3" max="3" width="19.1640625" customWidth="1"/>
  </cols>
  <sheetData>
    <row r="1" spans="1:1" x14ac:dyDescent="0.2">
      <c r="A1" s="44" t="s">
        <v>260</v>
      </c>
    </row>
    <row r="2" spans="1:1" x14ac:dyDescent="0.2">
      <c r="A2" s="44" t="s">
        <v>243</v>
      </c>
    </row>
    <row r="3" spans="1:1" x14ac:dyDescent="0.2">
      <c r="A3" s="44" t="s">
        <v>244</v>
      </c>
    </row>
    <row r="4" spans="1:1" x14ac:dyDescent="0.2">
      <c r="A4" s="44" t="s">
        <v>245</v>
      </c>
    </row>
    <row r="5" spans="1:1" x14ac:dyDescent="0.2">
      <c r="A5" s="44" t="s">
        <v>246</v>
      </c>
    </row>
    <row r="6" spans="1:1" x14ac:dyDescent="0.2">
      <c r="A6" s="44" t="s">
        <v>261</v>
      </c>
    </row>
    <row r="7" spans="1:1" x14ac:dyDescent="0.2">
      <c r="A7" s="44" t="s">
        <v>247</v>
      </c>
    </row>
    <row r="8" spans="1:1" x14ac:dyDescent="0.2">
      <c r="A8" s="44" t="s">
        <v>248</v>
      </c>
    </row>
    <row r="9" spans="1:1" x14ac:dyDescent="0.2">
      <c r="A9" s="44" t="s">
        <v>263</v>
      </c>
    </row>
    <row r="10" spans="1:1" x14ac:dyDescent="0.2">
      <c r="A10" s="44" t="s">
        <v>249</v>
      </c>
    </row>
    <row r="11" spans="1:1" x14ac:dyDescent="0.2">
      <c r="A11" s="44" t="s">
        <v>250</v>
      </c>
    </row>
    <row r="12" spans="1:1" x14ac:dyDescent="0.2">
      <c r="A12" s="44" t="s">
        <v>251</v>
      </c>
    </row>
    <row r="13" spans="1:1" x14ac:dyDescent="0.2">
      <c r="A13" s="44" t="s">
        <v>252</v>
      </c>
    </row>
    <row r="14" spans="1:1" x14ac:dyDescent="0.2">
      <c r="A14" s="44" t="s">
        <v>253</v>
      </c>
    </row>
    <row r="15" spans="1:1" x14ac:dyDescent="0.2">
      <c r="A15" s="44" t="s">
        <v>254</v>
      </c>
    </row>
    <row r="16" spans="1:1" x14ac:dyDescent="0.2">
      <c r="A16" s="44" t="s">
        <v>255</v>
      </c>
    </row>
    <row r="17" spans="1:2" x14ac:dyDescent="0.2">
      <c r="A17" s="44" t="s">
        <v>256</v>
      </c>
    </row>
    <row r="18" spans="1:2" x14ac:dyDescent="0.2">
      <c r="A18" s="44" t="s">
        <v>262</v>
      </c>
    </row>
    <row r="19" spans="1:2" x14ac:dyDescent="0.2">
      <c r="A19" s="44" t="s">
        <v>257</v>
      </c>
    </row>
    <row r="20" spans="1:2" x14ac:dyDescent="0.2">
      <c r="A20" s="44" t="s">
        <v>258</v>
      </c>
    </row>
    <row r="21" spans="1:2" x14ac:dyDescent="0.2">
      <c r="A21" s="44" t="s">
        <v>259</v>
      </c>
    </row>
    <row r="22" spans="1:2" x14ac:dyDescent="0.2">
      <c r="A22" s="44" t="s">
        <v>264</v>
      </c>
      <c r="B22">
        <v>500</v>
      </c>
    </row>
    <row r="23" spans="1:2" x14ac:dyDescent="0.2">
      <c r="A23" s="44" t="s">
        <v>265</v>
      </c>
      <c r="B23">
        <v>1000</v>
      </c>
    </row>
    <row r="24" spans="1:2" x14ac:dyDescent="0.2">
      <c r="A24" s="44" t="s">
        <v>266</v>
      </c>
      <c r="B24">
        <v>12000</v>
      </c>
    </row>
    <row r="25" spans="1:2" x14ac:dyDescent="0.2">
      <c r="A25" s="44" t="s">
        <v>267</v>
      </c>
      <c r="B25">
        <v>3000</v>
      </c>
    </row>
    <row r="26" spans="1:2" x14ac:dyDescent="0.2">
      <c r="A26" s="44" t="s">
        <v>268</v>
      </c>
      <c r="B26">
        <v>3000</v>
      </c>
    </row>
    <row r="27" spans="1:2" x14ac:dyDescent="0.2">
      <c r="A27" s="44" t="s">
        <v>269</v>
      </c>
      <c r="B27">
        <v>3000</v>
      </c>
    </row>
    <row r="28" spans="1:2" x14ac:dyDescent="0.2">
      <c r="A28" s="44" t="s">
        <v>270</v>
      </c>
      <c r="B28">
        <v>3000</v>
      </c>
    </row>
    <row r="29" spans="1:2" x14ac:dyDescent="0.2">
      <c r="A29" s="44" t="s">
        <v>271</v>
      </c>
      <c r="B29">
        <v>12000</v>
      </c>
    </row>
    <row r="30" spans="1:2" x14ac:dyDescent="0.2">
      <c r="A30" s="44" t="s">
        <v>272</v>
      </c>
      <c r="B30">
        <v>1200</v>
      </c>
    </row>
    <row r="31" spans="1:2" x14ac:dyDescent="0.2">
      <c r="A31" s="44" t="s">
        <v>273</v>
      </c>
      <c r="B31">
        <v>1200</v>
      </c>
    </row>
    <row r="32" spans="1:2" x14ac:dyDescent="0.2">
      <c r="A32" s="44" t="s">
        <v>274</v>
      </c>
      <c r="B32">
        <v>5000</v>
      </c>
    </row>
    <row r="33" spans="1:4" x14ac:dyDescent="0.2">
      <c r="A33" s="44" t="s">
        <v>275</v>
      </c>
    </row>
    <row r="34" spans="1:4" x14ac:dyDescent="0.2">
      <c r="A34" s="44" t="s">
        <v>276</v>
      </c>
    </row>
    <row r="35" spans="1:4" x14ac:dyDescent="0.2">
      <c r="A35" s="44" t="s">
        <v>192</v>
      </c>
    </row>
    <row r="36" spans="1:4" x14ac:dyDescent="0.2">
      <c r="A36" s="44" t="s">
        <v>277</v>
      </c>
    </row>
    <row r="37" spans="1:4" x14ac:dyDescent="0.2">
      <c r="A37" s="44" t="s">
        <v>278</v>
      </c>
    </row>
    <row r="39" spans="1:4" ht="16" x14ac:dyDescent="0.2">
      <c r="A39" s="29" t="s">
        <v>188</v>
      </c>
      <c r="B39" s="30">
        <v>4000000</v>
      </c>
      <c r="C39" s="29"/>
      <c r="D39" s="29"/>
    </row>
    <row r="40" spans="1:4" ht="16" x14ac:dyDescent="0.2">
      <c r="A40" s="29" t="s">
        <v>190</v>
      </c>
      <c r="B40" s="30">
        <v>100000</v>
      </c>
      <c r="C40" s="29" t="s">
        <v>282</v>
      </c>
      <c r="D40" s="29"/>
    </row>
    <row r="41" spans="1:4" ht="16" x14ac:dyDescent="0.2">
      <c r="A41" s="29" t="s">
        <v>191</v>
      </c>
      <c r="B41" s="30">
        <f>1400*50*10*20/6</f>
        <v>2333333.3333333335</v>
      </c>
      <c r="C41" s="29" t="s">
        <v>218</v>
      </c>
      <c r="D41" s="29"/>
    </row>
    <row r="42" spans="1:4" ht="16" x14ac:dyDescent="0.2">
      <c r="A42" s="29" t="s">
        <v>199</v>
      </c>
      <c r="B42" s="34" t="s">
        <v>279</v>
      </c>
      <c r="C42" s="29"/>
      <c r="D42" s="29"/>
    </row>
    <row r="43" spans="1:4" ht="16" x14ac:dyDescent="0.2">
      <c r="A43" s="29" t="s">
        <v>280</v>
      </c>
      <c r="B43" s="29">
        <v>3</v>
      </c>
      <c r="C43" s="30">
        <v>18000</v>
      </c>
      <c r="D43" s="30">
        <f>C43*B43</f>
        <v>54000</v>
      </c>
    </row>
    <row r="44" spans="1:4" ht="16" x14ac:dyDescent="0.2">
      <c r="A44" s="29" t="s">
        <v>193</v>
      </c>
      <c r="B44" s="29">
        <v>2</v>
      </c>
      <c r="C44" s="30">
        <v>33000</v>
      </c>
      <c r="D44" s="30">
        <f t="shared" ref="D44:D49" si="0">C44*B44</f>
        <v>66000</v>
      </c>
    </row>
    <row r="45" spans="1:4" ht="16" x14ac:dyDescent="0.2">
      <c r="A45" s="29" t="s">
        <v>195</v>
      </c>
      <c r="B45" s="29">
        <v>1</v>
      </c>
      <c r="C45" s="30">
        <v>18000</v>
      </c>
      <c r="D45" s="30">
        <f t="shared" si="0"/>
        <v>18000</v>
      </c>
    </row>
    <row r="46" spans="1:4" ht="16" x14ac:dyDescent="0.2">
      <c r="A46" s="29" t="s">
        <v>196</v>
      </c>
      <c r="B46" s="29">
        <v>1</v>
      </c>
      <c r="C46" s="30">
        <v>33000</v>
      </c>
      <c r="D46" s="30">
        <f t="shared" si="0"/>
        <v>33000</v>
      </c>
    </row>
    <row r="47" spans="1:4" ht="16" x14ac:dyDescent="0.2">
      <c r="A47" s="29" t="s">
        <v>197</v>
      </c>
      <c r="B47" s="29">
        <v>2</v>
      </c>
      <c r="C47" s="30">
        <v>38000</v>
      </c>
      <c r="D47" s="30">
        <f t="shared" si="0"/>
        <v>76000</v>
      </c>
    </row>
    <row r="48" spans="1:4" ht="16" x14ac:dyDescent="0.2">
      <c r="A48" s="29" t="s">
        <v>198</v>
      </c>
      <c r="B48" s="29">
        <v>3</v>
      </c>
      <c r="C48" s="30">
        <v>28000</v>
      </c>
      <c r="D48" s="30">
        <f t="shared" si="0"/>
        <v>84000</v>
      </c>
    </row>
    <row r="49" spans="1:4" ht="16" x14ac:dyDescent="0.2">
      <c r="A49" s="29" t="s">
        <v>281</v>
      </c>
      <c r="B49" s="29">
        <v>1</v>
      </c>
      <c r="C49" s="30">
        <v>50000</v>
      </c>
      <c r="D49" s="30">
        <f t="shared" si="0"/>
        <v>50000</v>
      </c>
    </row>
    <row r="50" spans="1:4" x14ac:dyDescent="0.2">
      <c r="D50" s="29"/>
    </row>
  </sheetData>
  <hyperlinks>
    <hyperlink ref="A2" r:id="rId1" tooltip="Advertising" display="https://en.wikipedia.org/wiki/Advertising" xr:uid="{00000000-0004-0000-0700-000000000000}"/>
    <hyperlink ref="A13" r:id="rId2" tooltip="Internet" display="https://en.wikipedia.org/wiki/Internet" xr:uid="{00000000-0004-0000-0700-000001000000}"/>
    <hyperlink ref="A16" r:id="rId3" tooltip="Insurance premium" display="https://en.wikipedia.org/wiki/Insurance_premium" xr:uid="{00000000-0004-0000-0700-000002000000}"/>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4"/>
  <sheetViews>
    <sheetView zoomScaleNormal="100" workbookViewId="0">
      <selection activeCell="J32" sqref="J32"/>
    </sheetView>
  </sheetViews>
  <sheetFormatPr baseColWidth="10" defaultColWidth="9.1640625" defaultRowHeight="15" x14ac:dyDescent="0.2"/>
  <cols>
    <col min="1" max="1" width="22.83203125" style="32" customWidth="1"/>
    <col min="2" max="2" width="42.5" style="32" customWidth="1"/>
    <col min="3" max="3" width="20.1640625" style="32" bestFit="1" customWidth="1"/>
    <col min="4" max="4" width="24.83203125" style="32" bestFit="1" customWidth="1"/>
    <col min="5" max="5" width="28.5" style="32" customWidth="1"/>
    <col min="6" max="16384" width="9.1640625" style="32"/>
  </cols>
  <sheetData>
    <row r="1" spans="1:8" ht="256" x14ac:dyDescent="0.2">
      <c r="A1" s="29" t="s">
        <v>151</v>
      </c>
      <c r="B1" s="29" t="s">
        <v>215</v>
      </c>
      <c r="C1" s="33" t="s">
        <v>202</v>
      </c>
      <c r="E1" s="29"/>
      <c r="F1" s="32">
        <f>150+10+25</f>
        <v>185</v>
      </c>
      <c r="G1" s="32">
        <v>500</v>
      </c>
      <c r="H1" s="32">
        <f>F1/G1</f>
        <v>0.37</v>
      </c>
    </row>
    <row r="2" spans="1:8" ht="16" x14ac:dyDescent="0.2">
      <c r="A2" s="36" t="s">
        <v>203</v>
      </c>
      <c r="B2" s="36"/>
      <c r="C2" s="36"/>
      <c r="D2" s="36"/>
      <c r="E2" s="36"/>
    </row>
    <row r="3" spans="1:8" ht="210" customHeight="1" x14ac:dyDescent="0.2">
      <c r="A3" s="29" t="s">
        <v>204</v>
      </c>
      <c r="B3" s="34" t="s">
        <v>205</v>
      </c>
      <c r="D3" s="33"/>
      <c r="E3" s="29"/>
    </row>
    <row r="4" spans="1:8" x14ac:dyDescent="0.2">
      <c r="A4" s="29"/>
      <c r="B4" s="29"/>
      <c r="C4" s="34"/>
      <c r="D4" s="29"/>
      <c r="E4" s="29"/>
    </row>
    <row r="5" spans="1:8" ht="16" x14ac:dyDescent="0.2">
      <c r="A5" s="29"/>
      <c r="B5" s="29" t="s">
        <v>159</v>
      </c>
      <c r="C5" s="34"/>
      <c r="D5" s="29"/>
      <c r="E5" s="29"/>
    </row>
    <row r="6" spans="1:8" ht="16" x14ac:dyDescent="0.2">
      <c r="A6" s="29" t="s">
        <v>207</v>
      </c>
      <c r="B6" s="29" t="s">
        <v>208</v>
      </c>
      <c r="C6" s="39">
        <v>1225</v>
      </c>
      <c r="D6" s="29"/>
      <c r="E6" s="29"/>
    </row>
    <row r="7" spans="1:8" ht="16" x14ac:dyDescent="0.2">
      <c r="A7" s="29"/>
      <c r="B7" s="29" t="s">
        <v>209</v>
      </c>
      <c r="C7" s="30">
        <v>2500</v>
      </c>
      <c r="D7" s="29"/>
      <c r="E7" s="35"/>
    </row>
    <row r="8" spans="1:8" ht="16" x14ac:dyDescent="0.2">
      <c r="A8" s="29"/>
      <c r="B8" s="29" t="s">
        <v>210</v>
      </c>
      <c r="C8" s="30">
        <f>C7*C6</f>
        <v>3062500</v>
      </c>
      <c r="D8" s="29" t="s">
        <v>155</v>
      </c>
      <c r="E8" s="29"/>
    </row>
    <row r="9" spans="1:8" ht="16" x14ac:dyDescent="0.2">
      <c r="A9" s="29"/>
      <c r="B9" s="29" t="s">
        <v>211</v>
      </c>
      <c r="C9" s="30">
        <f>C8*0.15</f>
        <v>459375</v>
      </c>
      <c r="D9" s="33"/>
      <c r="E9" s="29"/>
    </row>
    <row r="10" spans="1:8" ht="16" x14ac:dyDescent="0.2">
      <c r="A10" s="29"/>
      <c r="B10" s="29" t="s">
        <v>212</v>
      </c>
      <c r="C10" s="30">
        <f>C8*0.1</f>
        <v>306250</v>
      </c>
      <c r="D10" s="33"/>
      <c r="E10" s="29"/>
    </row>
    <row r="11" spans="1:8" ht="16" x14ac:dyDescent="0.2">
      <c r="A11" s="29"/>
      <c r="B11" s="29" t="s">
        <v>213</v>
      </c>
      <c r="C11" s="30">
        <f>C8*0.04</f>
        <v>122500</v>
      </c>
      <c r="D11" s="29"/>
      <c r="E11" s="29"/>
    </row>
    <row r="12" spans="1:8" x14ac:dyDescent="0.2">
      <c r="A12" s="29"/>
      <c r="B12" s="29"/>
      <c r="C12" s="30"/>
      <c r="D12" s="29"/>
      <c r="E12" s="29"/>
    </row>
    <row r="13" spans="1:8" ht="16" x14ac:dyDescent="0.2">
      <c r="A13" s="29" t="s">
        <v>206</v>
      </c>
      <c r="B13" s="29"/>
      <c r="C13" s="39">
        <f>C6*0.05</f>
        <v>61.25</v>
      </c>
      <c r="D13" s="29"/>
      <c r="E13" s="29"/>
    </row>
    <row r="14" spans="1:8" ht="16" x14ac:dyDescent="0.2">
      <c r="A14" s="29"/>
      <c r="B14" s="29"/>
      <c r="C14" s="30">
        <v>500</v>
      </c>
      <c r="D14" s="29" t="s">
        <v>156</v>
      </c>
      <c r="E14" s="29"/>
    </row>
    <row r="15" spans="1:8" ht="16" x14ac:dyDescent="0.2">
      <c r="A15" s="29"/>
      <c r="B15" s="29"/>
      <c r="C15" s="30">
        <f>C14*C13</f>
        <v>30625</v>
      </c>
      <c r="D15" s="29" t="s">
        <v>160</v>
      </c>
      <c r="E15" s="29"/>
    </row>
    <row r="16" spans="1:8" ht="16" x14ac:dyDescent="0.2">
      <c r="A16" s="29"/>
      <c r="B16" s="29"/>
      <c r="C16" s="30">
        <f>C15*0.37</f>
        <v>11331.25</v>
      </c>
      <c r="D16" s="29" t="s">
        <v>214</v>
      </c>
      <c r="E16" s="29"/>
    </row>
    <row r="17" spans="1:5" x14ac:dyDescent="0.2">
      <c r="A17" s="29"/>
      <c r="B17" s="29"/>
      <c r="C17" s="30"/>
      <c r="D17" s="29"/>
      <c r="E17" s="29"/>
    </row>
    <row r="18" spans="1:5" ht="16" x14ac:dyDescent="0.2">
      <c r="A18" s="29" t="s">
        <v>217</v>
      </c>
      <c r="B18" s="29"/>
      <c r="C18" s="39">
        <v>122</v>
      </c>
      <c r="D18" s="29" t="s">
        <v>165</v>
      </c>
      <c r="E18" s="29" t="s">
        <v>216</v>
      </c>
    </row>
    <row r="19" spans="1:5" ht="16" x14ac:dyDescent="0.2">
      <c r="A19" s="29"/>
      <c r="B19" s="29"/>
      <c r="C19" s="30">
        <v>500</v>
      </c>
      <c r="D19" s="29" t="s">
        <v>165</v>
      </c>
      <c r="E19" s="29" t="s">
        <v>216</v>
      </c>
    </row>
    <row r="20" spans="1:5" ht="16" x14ac:dyDescent="0.2">
      <c r="A20" s="29"/>
      <c r="B20" s="29"/>
      <c r="C20" s="30">
        <f>C19*C18</f>
        <v>61000</v>
      </c>
      <c r="D20" s="29" t="s">
        <v>166</v>
      </c>
      <c r="E20" s="29"/>
    </row>
    <row r="21" spans="1:5" ht="16" x14ac:dyDescent="0.2">
      <c r="A21" s="29"/>
      <c r="B21" s="29"/>
      <c r="C21" s="30">
        <f>C20*0.05</f>
        <v>3050</v>
      </c>
      <c r="D21" s="29" t="s">
        <v>167</v>
      </c>
      <c r="E21" s="29"/>
    </row>
    <row r="22" spans="1:5" ht="32" x14ac:dyDescent="0.2">
      <c r="A22" s="29" t="s">
        <v>168</v>
      </c>
      <c r="B22" s="29" t="s">
        <v>310</v>
      </c>
      <c r="C22" s="30">
        <f>C21+C16+C11</f>
        <v>136881.25</v>
      </c>
      <c r="D22" s="31" t="s">
        <v>220</v>
      </c>
      <c r="E22" s="29" t="s">
        <v>222</v>
      </c>
    </row>
    <row r="23" spans="1:5" x14ac:dyDescent="0.2">
      <c r="A23" s="29"/>
      <c r="B23" s="29"/>
      <c r="C23" s="30"/>
      <c r="D23" s="31"/>
      <c r="E23" s="29"/>
    </row>
    <row r="24" spans="1:5" ht="48" x14ac:dyDescent="0.2">
      <c r="A24" s="29" t="s">
        <v>219</v>
      </c>
      <c r="B24" s="29" t="s">
        <v>235</v>
      </c>
      <c r="C24" s="38">
        <f>C22*50</f>
        <v>6844062.5</v>
      </c>
      <c r="D24" s="32" t="s">
        <v>221</v>
      </c>
      <c r="E24" s="29"/>
    </row>
    <row r="25" spans="1:5" ht="16" x14ac:dyDescent="0.2">
      <c r="A25" s="29" t="s">
        <v>179</v>
      </c>
      <c r="B25" s="29" t="s">
        <v>174</v>
      </c>
      <c r="C25" s="40">
        <f>C24*10</f>
        <v>68440625</v>
      </c>
      <c r="D25" s="32" t="s">
        <v>223</v>
      </c>
      <c r="E25" s="29"/>
    </row>
    <row r="26" spans="1:5" ht="45" customHeight="1" x14ac:dyDescent="0.2">
      <c r="A26" s="29" t="s">
        <v>175</v>
      </c>
      <c r="B26" s="29" t="s">
        <v>224</v>
      </c>
      <c r="C26" s="30"/>
      <c r="D26" s="29"/>
      <c r="E26" s="29"/>
    </row>
    <row r="27" spans="1:5" ht="16" x14ac:dyDescent="0.2">
      <c r="A27" s="29"/>
      <c r="B27" s="29" t="s">
        <v>225</v>
      </c>
      <c r="C27" s="30"/>
      <c r="D27" s="29"/>
      <c r="E27" s="29"/>
    </row>
    <row r="28" spans="1:5" ht="16" x14ac:dyDescent="0.2">
      <c r="A28" s="29"/>
      <c r="B28" s="29" t="s">
        <v>226</v>
      </c>
      <c r="C28" s="38">
        <f>4*C24</f>
        <v>27376250</v>
      </c>
      <c r="D28" s="37" t="s">
        <v>227</v>
      </c>
      <c r="E28" s="29"/>
    </row>
    <row r="29" spans="1:5" ht="32" x14ac:dyDescent="0.2">
      <c r="A29" s="29"/>
      <c r="B29" s="29" t="s">
        <v>236</v>
      </c>
      <c r="C29" s="30"/>
      <c r="D29" s="29"/>
      <c r="E29" s="29"/>
    </row>
    <row r="30" spans="1:5" ht="16" x14ac:dyDescent="0.2">
      <c r="A30" s="29"/>
      <c r="B30" s="29" t="s">
        <v>228</v>
      </c>
      <c r="C30" s="40">
        <f>C28*10</f>
        <v>273762500</v>
      </c>
      <c r="D30" s="29" t="s">
        <v>186</v>
      </c>
      <c r="E30" s="32" t="s">
        <v>230</v>
      </c>
    </row>
    <row r="31" spans="1:5" x14ac:dyDescent="0.2">
      <c r="A31" s="29"/>
      <c r="B31" s="29"/>
      <c r="C31" s="30"/>
      <c r="D31" s="29"/>
      <c r="E31" s="29"/>
    </row>
    <row r="32" spans="1:5" ht="16" x14ac:dyDescent="0.2">
      <c r="A32" s="29" t="s">
        <v>187</v>
      </c>
      <c r="B32" s="29" t="s">
        <v>188</v>
      </c>
      <c r="C32" s="30">
        <v>1500000</v>
      </c>
      <c r="D32" s="29"/>
      <c r="E32" s="29"/>
    </row>
    <row r="33" spans="1:5" ht="16" x14ac:dyDescent="0.2">
      <c r="A33" s="29" t="s">
        <v>229</v>
      </c>
      <c r="B33" s="29" t="s">
        <v>190</v>
      </c>
      <c r="C33" s="30">
        <v>50000</v>
      </c>
      <c r="D33" s="29"/>
      <c r="E33" s="29"/>
    </row>
    <row r="34" spans="1:5" ht="16" x14ac:dyDescent="0.2">
      <c r="A34" s="29"/>
      <c r="B34" s="29" t="s">
        <v>191</v>
      </c>
      <c r="C34" s="30">
        <f>1400*50*10*20/6</f>
        <v>2333333.3333333335</v>
      </c>
      <c r="D34" s="29" t="s">
        <v>218</v>
      </c>
      <c r="E34" s="32" t="s">
        <v>230</v>
      </c>
    </row>
    <row r="35" spans="1:5" ht="16" x14ac:dyDescent="0.2">
      <c r="A35" s="29"/>
      <c r="B35" s="29" t="s">
        <v>199</v>
      </c>
      <c r="C35" s="34"/>
      <c r="D35" s="29"/>
      <c r="E35" s="29"/>
    </row>
    <row r="36" spans="1:5" ht="16" x14ac:dyDescent="0.2">
      <c r="A36" s="29"/>
      <c r="B36" s="29" t="s">
        <v>192</v>
      </c>
      <c r="C36" s="34" t="s">
        <v>194</v>
      </c>
      <c r="D36" s="29"/>
      <c r="E36" s="29"/>
    </row>
    <row r="37" spans="1:5" ht="16" x14ac:dyDescent="0.2">
      <c r="A37" s="29"/>
      <c r="B37" s="29" t="s">
        <v>193</v>
      </c>
      <c r="C37" s="34" t="s">
        <v>194</v>
      </c>
      <c r="D37" s="29"/>
      <c r="E37" s="29"/>
    </row>
    <row r="38" spans="1:5" ht="16" x14ac:dyDescent="0.2">
      <c r="A38" s="29"/>
      <c r="B38" s="29" t="s">
        <v>190</v>
      </c>
      <c r="C38" s="34" t="s">
        <v>194</v>
      </c>
      <c r="D38" s="29"/>
      <c r="E38" s="29"/>
    </row>
    <row r="39" spans="1:5" ht="16" x14ac:dyDescent="0.2">
      <c r="A39" s="29"/>
      <c r="B39" s="29" t="s">
        <v>195</v>
      </c>
      <c r="C39" s="34" t="s">
        <v>194</v>
      </c>
      <c r="D39" s="29"/>
      <c r="E39" s="29"/>
    </row>
    <row r="40" spans="1:5" ht="16" x14ac:dyDescent="0.2">
      <c r="A40" s="29"/>
      <c r="B40" s="29" t="s">
        <v>196</v>
      </c>
      <c r="C40" s="29">
        <v>1</v>
      </c>
      <c r="D40" s="29"/>
      <c r="E40" s="29"/>
    </row>
    <row r="41" spans="1:5" ht="16" x14ac:dyDescent="0.2">
      <c r="A41" s="29"/>
      <c r="B41" s="29" t="s">
        <v>197</v>
      </c>
      <c r="C41" s="29">
        <v>1</v>
      </c>
      <c r="D41" s="29"/>
      <c r="E41" s="29"/>
    </row>
    <row r="42" spans="1:5" ht="16" x14ac:dyDescent="0.2">
      <c r="A42" s="29"/>
      <c r="B42" s="29" t="s">
        <v>198</v>
      </c>
      <c r="C42" s="29">
        <v>1</v>
      </c>
      <c r="D42" s="29"/>
      <c r="E42" s="29"/>
    </row>
    <row r="43" spans="1:5" ht="16" x14ac:dyDescent="0.2">
      <c r="A43" s="29"/>
      <c r="B43" s="29" t="s">
        <v>149</v>
      </c>
      <c r="C43" s="33">
        <v>0.18</v>
      </c>
      <c r="D43" s="29" t="s">
        <v>129</v>
      </c>
      <c r="E43" s="29"/>
    </row>
    <row r="44" spans="1:5" x14ac:dyDescent="0.2">
      <c r="B44" s="32" t="s">
        <v>296</v>
      </c>
      <c r="C44" s="53">
        <f>(C20+C15+C8)</f>
        <v>3154125</v>
      </c>
      <c r="D44" s="32">
        <f>C44*3/100</f>
        <v>94623.75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Earning - By month &amp; phases</vt:lpstr>
      <vt:lpstr>Expenses - Old2</vt:lpstr>
      <vt:lpstr>Points Old</vt:lpstr>
      <vt:lpstr>Budgeting</vt:lpstr>
      <vt:lpstr>Activity list</vt:lpstr>
      <vt:lpstr>Open Queries</vt:lpstr>
      <vt:lpstr>Legal Age Of Buying Alcohol</vt:lpstr>
      <vt:lpstr>Expenses</vt:lpstr>
      <vt:lpstr>Budgeting Copy</vt:lpstr>
      <vt:lpstr>Points + Cash</vt:lpstr>
      <vt:lpstr>Transaction Costs</vt:lpstr>
      <vt:lpstr>Earning - By month &amp; phases - K</vt:lpstr>
      <vt:lpstr>Org Structure</vt:lpstr>
      <vt:lpstr>Earning - 7 Cities</vt:lpstr>
      <vt:lpstr>Earning - 7 Citi v2</vt:lpstr>
      <vt:lpstr>Earning - 7 Citi v3 25 Feb</vt:lpstr>
      <vt:lpstr>Expenses - Deck Jan 2021</vt:lpstr>
      <vt:lpstr>Customer Acquisition Theory</vt:lpstr>
      <vt:lpstr>Expenses - Deck (2) - Feb 25</vt:lpstr>
      <vt:lpstr>Earning - 7 Citi v3 28 Feb </vt:lpstr>
      <vt:lpstr>Expenses - Deck - 04 Oct 2021</vt:lpstr>
      <vt:lpstr>Earning - 7 Citi v3 27 sep 21</vt:lpstr>
      <vt:lpstr>Clique First Approach</vt:lpstr>
      <vt:lpstr>Phase Cost Breakup</vt:lpstr>
      <vt:lpstr>finvest</vt:lpstr>
      <vt:lpstr>Phase Cost Breakup (Clique)</vt:lpstr>
      <vt:lpstr>Clique Expense - Nov 15 2021</vt:lpstr>
      <vt:lpstr>Clique Phase Cost Breakup - 15 </vt:lpstr>
      <vt:lpstr>Expenses - Deck - 04 Oct 20 (2)</vt:lpstr>
      <vt:lpstr>Clique Expense - Dec 2 2021 (8)</vt:lpstr>
      <vt:lpstr>Clique Phase Cost Breakup (8Cr)</vt:lpstr>
      <vt:lpstr>WAIU - Cash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Microsoft Office User</cp:lastModifiedBy>
  <dcterms:created xsi:type="dcterms:W3CDTF">2020-06-06T08:54:04Z</dcterms:created>
  <dcterms:modified xsi:type="dcterms:W3CDTF">2022-03-16T12:21:57Z</dcterms:modified>
</cp:coreProperties>
</file>