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ES/"/>
    </mc:Choice>
  </mc:AlternateContent>
  <xr:revisionPtr revIDLastSave="0" documentId="8_{1640D6BF-3D1C-B347-9A16-D868CA661EF1}" xr6:coauthVersionLast="47" xr6:coauthVersionMax="47" xr10:uidLastSave="{00000000-0000-0000-0000-000000000000}"/>
  <bookViews>
    <workbookView xWindow="0" yWindow="600" windowWidth="33600" windowHeight="18940" firstSheet="16" activeTab="21" xr2:uid="{553DBB43-6103-E14A-8741-8322574D45DD}"/>
  </bookViews>
  <sheets>
    <sheet name="MFI" sheetId="1" r:id="rId1"/>
    <sheet name="Consumer acquisition" sheetId="2" r:id="rId2"/>
    <sheet name="Merchant Acquisition" sheetId="3" r:id="rId3"/>
    <sheet name="Support" sheetId="4" r:id="rId4"/>
    <sheet name="Sakal Financials" sheetId="5" r:id="rId5"/>
    <sheet name="Financial Summary for Deck" sheetId="6" r:id="rId6"/>
    <sheet name="Consumer count per city" sheetId="7" r:id="rId7"/>
    <sheet name="Consumer by City" sheetId="10" r:id="rId8"/>
    <sheet name="Updated sales" sheetId="11" r:id="rId9"/>
    <sheet name="Financial Summary Deck - 10 oct" sheetId="12" r:id="rId10"/>
    <sheet name="Sakal Financials 10 oct" sheetId="13" r:id="rId11"/>
    <sheet name="Financial Summary Deck - 17 oct" sheetId="14" r:id="rId12"/>
    <sheet name="P&amp;Cs" sheetId="15" r:id="rId13"/>
    <sheet name="Clique Expenses" sheetId="19" r:id="rId14"/>
    <sheet name="YK Meeting Numbers" sheetId="16" r:id="rId15"/>
    <sheet name="Sheet8" sheetId="21" r:id="rId16"/>
    <sheet name="Revenue Sharing Model 36%" sheetId="20" r:id="rId17"/>
    <sheet name="Godhuli" sheetId="27" r:id="rId18"/>
    <sheet name="Revenue Sharing Model 24%" sheetId="24" r:id="rId19"/>
    <sheet name="Independent Operation Model 36%" sheetId="23" r:id="rId20"/>
    <sheet name="Independent Operation Model 24%" sheetId="25" r:id="rId21"/>
    <sheet name="MoM Financials 36%" sheetId="22" r:id="rId22"/>
    <sheet name="MoM Financials 24%" sheetId="26" r:id="rId23"/>
    <sheet name="Financials without revennue sha" sheetId="18" r:id="rId2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7" l="1"/>
  <c r="G8" i="27"/>
  <c r="G9" i="27" s="1"/>
  <c r="F8" i="27"/>
  <c r="F9" i="27" s="1"/>
  <c r="D12" i="27"/>
  <c r="D13" i="27" s="1"/>
  <c r="D14" i="27" s="1"/>
  <c r="H9" i="27" l="1"/>
  <c r="F12" i="27"/>
  <c r="H12" i="27" s="1"/>
  <c r="F11" i="27"/>
  <c r="H23" i="26"/>
  <c r="I23" i="26"/>
  <c r="J23" i="26"/>
  <c r="K23" i="26"/>
  <c r="L23" i="26"/>
  <c r="M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U23" i="26"/>
  <c r="AV23" i="26"/>
  <c r="AW23" i="26"/>
  <c r="AX23" i="26"/>
  <c r="AY23" i="26"/>
  <c r="AZ23" i="26"/>
  <c r="BA23" i="26"/>
  <c r="BB23" i="26"/>
  <c r="BC23" i="26"/>
  <c r="BD23" i="26"/>
  <c r="BE23" i="26"/>
  <c r="BF23" i="26"/>
  <c r="BG23" i="26"/>
  <c r="BH23" i="26"/>
  <c r="BI23" i="26"/>
  <c r="BH19" i="26"/>
  <c r="BG19" i="26"/>
  <c r="BF19" i="26"/>
  <c r="BE19" i="26"/>
  <c r="BD19" i="26"/>
  <c r="BC19" i="26"/>
  <c r="BB19" i="26"/>
  <c r="BA19" i="26"/>
  <c r="AZ19" i="26"/>
  <c r="AY19" i="26"/>
  <c r="AX19" i="26"/>
  <c r="BH15" i="26"/>
  <c r="BH16" i="26" s="1"/>
  <c r="BG15" i="26"/>
  <c r="BG16" i="26" s="1"/>
  <c r="BF15" i="26"/>
  <c r="BF16" i="26" s="1"/>
  <c r="BE15" i="26"/>
  <c r="BE16" i="26" s="1"/>
  <c r="BD15" i="26"/>
  <c r="BD16" i="26" s="1"/>
  <c r="BC15" i="26"/>
  <c r="BC16" i="26" s="1"/>
  <c r="BB15" i="26"/>
  <c r="BB16" i="26" s="1"/>
  <c r="BA15" i="26"/>
  <c r="BA16" i="26" s="1"/>
  <c r="AZ15" i="26"/>
  <c r="AZ16" i="26" s="1"/>
  <c r="AY15" i="26"/>
  <c r="AY16" i="26" s="1"/>
  <c r="AX15" i="26"/>
  <c r="AX16" i="26" s="1"/>
  <c r="BH9" i="26"/>
  <c r="BH10" i="26" s="1"/>
  <c r="BG9" i="26"/>
  <c r="BG10" i="26" s="1"/>
  <c r="BG11" i="26" s="1"/>
  <c r="BF9" i="26"/>
  <c r="BF10" i="26" s="1"/>
  <c r="BE9" i="26"/>
  <c r="BE10" i="26" s="1"/>
  <c r="BE11" i="26" s="1"/>
  <c r="BD9" i="26"/>
  <c r="BD10" i="26" s="1"/>
  <c r="BD11" i="26" s="1"/>
  <c r="BC9" i="26"/>
  <c r="BC10" i="26" s="1"/>
  <c r="BC11" i="26" s="1"/>
  <c r="BB9" i="26"/>
  <c r="BB10" i="26" s="1"/>
  <c r="BB11" i="26" s="1"/>
  <c r="BA9" i="26"/>
  <c r="BA10" i="26" s="1"/>
  <c r="AZ9" i="26"/>
  <c r="AZ10" i="26" s="1"/>
  <c r="AY9" i="26"/>
  <c r="AY10" i="26" s="1"/>
  <c r="AX9" i="26"/>
  <c r="AX10" i="26" s="1"/>
  <c r="AX11" i="26" s="1"/>
  <c r="BH8" i="26"/>
  <c r="BG8" i="26"/>
  <c r="BF8" i="26"/>
  <c r="BE8" i="26"/>
  <c r="BD8" i="26"/>
  <c r="BC8" i="26"/>
  <c r="BB8" i="26"/>
  <c r="BA8" i="26"/>
  <c r="AZ8" i="26"/>
  <c r="AY8" i="26"/>
  <c r="AX8" i="26"/>
  <c r="BH5" i="26"/>
  <c r="BG5" i="26"/>
  <c r="BF5" i="26"/>
  <c r="BE5" i="26"/>
  <c r="BD5" i="26"/>
  <c r="BC5" i="26"/>
  <c r="BB5" i="26"/>
  <c r="BA5" i="26"/>
  <c r="AZ5" i="26"/>
  <c r="AY5" i="26"/>
  <c r="AX5" i="26"/>
  <c r="AV19" i="26"/>
  <c r="AU19" i="26"/>
  <c r="AT19" i="26"/>
  <c r="AS19" i="26"/>
  <c r="AR19" i="26"/>
  <c r="AQ19" i="26"/>
  <c r="AP19" i="26"/>
  <c r="AO19" i="26"/>
  <c r="AN19" i="26"/>
  <c r="AM19" i="26"/>
  <c r="AL19" i="26"/>
  <c r="AV15" i="26"/>
  <c r="AV16" i="26" s="1"/>
  <c r="AU15" i="26"/>
  <c r="AU16" i="26" s="1"/>
  <c r="AT15" i="26"/>
  <c r="AT16" i="26" s="1"/>
  <c r="AS15" i="26"/>
  <c r="AS16" i="26" s="1"/>
  <c r="AR15" i="26"/>
  <c r="AR16" i="26" s="1"/>
  <c r="AQ15" i="26"/>
  <c r="AQ16" i="26" s="1"/>
  <c r="AP15" i="26"/>
  <c r="AP16" i="26" s="1"/>
  <c r="AO15" i="26"/>
  <c r="AO16" i="26" s="1"/>
  <c r="AN15" i="26"/>
  <c r="AN16" i="26" s="1"/>
  <c r="AM15" i="26"/>
  <c r="AM16" i="26" s="1"/>
  <c r="AL15" i="26"/>
  <c r="AL16" i="26" s="1"/>
  <c r="AV9" i="26"/>
  <c r="AV10" i="26" s="1"/>
  <c r="AV11" i="26" s="1"/>
  <c r="AU9" i="26"/>
  <c r="AU10" i="26" s="1"/>
  <c r="AU11" i="26" s="1"/>
  <c r="AT9" i="26"/>
  <c r="AT10" i="26" s="1"/>
  <c r="AT11" i="26" s="1"/>
  <c r="AS9" i="26"/>
  <c r="AS10" i="26" s="1"/>
  <c r="AS11" i="26" s="1"/>
  <c r="AR9" i="26"/>
  <c r="AR10" i="26" s="1"/>
  <c r="AR11" i="26" s="1"/>
  <c r="AQ9" i="26"/>
  <c r="AQ10" i="26" s="1"/>
  <c r="AQ11" i="26" s="1"/>
  <c r="AP9" i="26"/>
  <c r="AP10" i="26" s="1"/>
  <c r="AP11" i="26" s="1"/>
  <c r="AO9" i="26"/>
  <c r="AO10" i="26" s="1"/>
  <c r="AO11" i="26" s="1"/>
  <c r="AN9" i="26"/>
  <c r="AN10" i="26" s="1"/>
  <c r="AM9" i="26"/>
  <c r="AM10" i="26" s="1"/>
  <c r="AM11" i="26" s="1"/>
  <c r="AL9" i="26"/>
  <c r="AL10" i="26" s="1"/>
  <c r="AL11" i="26" s="1"/>
  <c r="AV8" i="26"/>
  <c r="AU8" i="26"/>
  <c r="AT8" i="26"/>
  <c r="AS8" i="26"/>
  <c r="AR8" i="26"/>
  <c r="AQ8" i="26"/>
  <c r="AP8" i="26"/>
  <c r="AO8" i="26"/>
  <c r="AN8" i="26"/>
  <c r="AM8" i="26"/>
  <c r="AL8" i="26"/>
  <c r="AV5" i="26"/>
  <c r="AU5" i="26"/>
  <c r="AT5" i="26"/>
  <c r="AS5" i="26"/>
  <c r="AR5" i="26"/>
  <c r="AQ5" i="26"/>
  <c r="AP5" i="26"/>
  <c r="AO5" i="26"/>
  <c r="AN5" i="26"/>
  <c r="AM5" i="26"/>
  <c r="AL5" i="26"/>
  <c r="BI19" i="26"/>
  <c r="AW19" i="26"/>
  <c r="BI15" i="26"/>
  <c r="BI16" i="26" s="1"/>
  <c r="AW15" i="26"/>
  <c r="AW16" i="26" s="1"/>
  <c r="BI9" i="26"/>
  <c r="BI10" i="26" s="1"/>
  <c r="BI11" i="26" s="1"/>
  <c r="AW9" i="26"/>
  <c r="AW10" i="26" s="1"/>
  <c r="BI8" i="26"/>
  <c r="AW8" i="26"/>
  <c r="BI5" i="26"/>
  <c r="AW5" i="26"/>
  <c r="Z5" i="26"/>
  <c r="Z8" i="26"/>
  <c r="Z9" i="26"/>
  <c r="Z10" i="26" s="1"/>
  <c r="Z11" i="26" s="1"/>
  <c r="Z15" i="26"/>
  <c r="Z16" i="26" s="1"/>
  <c r="Z19" i="26"/>
  <c r="AJ19" i="26"/>
  <c r="AI19" i="26"/>
  <c r="AH19" i="26"/>
  <c r="AG19" i="26"/>
  <c r="AF19" i="26"/>
  <c r="AE19" i="26"/>
  <c r="AD19" i="26"/>
  <c r="AC19" i="26"/>
  <c r="AB19" i="26"/>
  <c r="AA19" i="26"/>
  <c r="AJ15" i="26"/>
  <c r="AJ16" i="26" s="1"/>
  <c r="AI15" i="26"/>
  <c r="AI16" i="26" s="1"/>
  <c r="AH15" i="26"/>
  <c r="AH16" i="26" s="1"/>
  <c r="AG15" i="26"/>
  <c r="AG16" i="26" s="1"/>
  <c r="AF15" i="26"/>
  <c r="AF16" i="26" s="1"/>
  <c r="AE15" i="26"/>
  <c r="AE16" i="26" s="1"/>
  <c r="AD15" i="26"/>
  <c r="AD16" i="26" s="1"/>
  <c r="AC15" i="26"/>
  <c r="AC16" i="26" s="1"/>
  <c r="AB15" i="26"/>
  <c r="AB16" i="26" s="1"/>
  <c r="AA15" i="26"/>
  <c r="AA16" i="26" s="1"/>
  <c r="AJ9" i="26"/>
  <c r="AJ10" i="26" s="1"/>
  <c r="AJ11" i="26" s="1"/>
  <c r="AI9" i="26"/>
  <c r="AI10" i="26" s="1"/>
  <c r="AI11" i="26" s="1"/>
  <c r="AH9" i="26"/>
  <c r="AH10" i="26" s="1"/>
  <c r="AH11" i="26" s="1"/>
  <c r="AG9" i="26"/>
  <c r="AG10" i="26" s="1"/>
  <c r="AG11" i="26" s="1"/>
  <c r="AF9" i="26"/>
  <c r="AF10" i="26" s="1"/>
  <c r="AF11" i="26" s="1"/>
  <c r="AE9" i="26"/>
  <c r="AE10" i="26" s="1"/>
  <c r="AE11" i="26" s="1"/>
  <c r="AD9" i="26"/>
  <c r="AD10" i="26" s="1"/>
  <c r="AD11" i="26" s="1"/>
  <c r="AC9" i="26"/>
  <c r="AC10" i="26" s="1"/>
  <c r="AC11" i="26" s="1"/>
  <c r="AB9" i="26"/>
  <c r="AB10" i="26" s="1"/>
  <c r="AB11" i="26" s="1"/>
  <c r="AA9" i="26"/>
  <c r="AA10" i="26" s="1"/>
  <c r="AA11" i="26" s="1"/>
  <c r="AJ8" i="26"/>
  <c r="AI8" i="26"/>
  <c r="AH8" i="26"/>
  <c r="AG8" i="26"/>
  <c r="AF8" i="26"/>
  <c r="AE8" i="26"/>
  <c r="AD8" i="26"/>
  <c r="AC8" i="26"/>
  <c r="AB8" i="26"/>
  <c r="AA8" i="26"/>
  <c r="AJ5" i="26"/>
  <c r="AI5" i="26"/>
  <c r="AH5" i="26"/>
  <c r="AG5" i="26"/>
  <c r="AF5" i="26"/>
  <c r="AE5" i="26"/>
  <c r="AD5" i="26"/>
  <c r="AC5" i="26"/>
  <c r="AB5" i="26"/>
  <c r="AA5" i="26"/>
  <c r="X19" i="26"/>
  <c r="W19" i="26"/>
  <c r="V19" i="26"/>
  <c r="U19" i="26"/>
  <c r="T19" i="26"/>
  <c r="X15" i="26"/>
  <c r="X16" i="26" s="1"/>
  <c r="W15" i="26"/>
  <c r="W16" i="26" s="1"/>
  <c r="V15" i="26"/>
  <c r="V16" i="26" s="1"/>
  <c r="U15" i="26"/>
  <c r="U16" i="26" s="1"/>
  <c r="T15" i="26"/>
  <c r="T16" i="26" s="1"/>
  <c r="X9" i="26"/>
  <c r="X10" i="26" s="1"/>
  <c r="X11" i="26" s="1"/>
  <c r="W9" i="26"/>
  <c r="W10" i="26" s="1"/>
  <c r="W11" i="26" s="1"/>
  <c r="V9" i="26"/>
  <c r="V10" i="26" s="1"/>
  <c r="V11" i="26" s="1"/>
  <c r="U9" i="26"/>
  <c r="U10" i="26" s="1"/>
  <c r="U11" i="26" s="1"/>
  <c r="T9" i="26"/>
  <c r="T10" i="26" s="1"/>
  <c r="T11" i="26" s="1"/>
  <c r="X8" i="26"/>
  <c r="W8" i="26"/>
  <c r="V8" i="26"/>
  <c r="U8" i="26"/>
  <c r="T8" i="26"/>
  <c r="X5" i="26"/>
  <c r="W5" i="26"/>
  <c r="V5" i="26"/>
  <c r="U5" i="26"/>
  <c r="T5" i="26"/>
  <c r="R19" i="26"/>
  <c r="Q19" i="26"/>
  <c r="P19" i="26"/>
  <c r="O19" i="26"/>
  <c r="N19" i="26"/>
  <c r="R15" i="26"/>
  <c r="R16" i="26" s="1"/>
  <c r="Q15" i="26"/>
  <c r="Q16" i="26" s="1"/>
  <c r="P15" i="26"/>
  <c r="P16" i="26" s="1"/>
  <c r="O15" i="26"/>
  <c r="O16" i="26" s="1"/>
  <c r="N15" i="26"/>
  <c r="N16" i="26" s="1"/>
  <c r="R9" i="26"/>
  <c r="R10" i="26" s="1"/>
  <c r="R11" i="26" s="1"/>
  <c r="Q9" i="26"/>
  <c r="Q10" i="26" s="1"/>
  <c r="Q11" i="26" s="1"/>
  <c r="P9" i="26"/>
  <c r="P10" i="26" s="1"/>
  <c r="P11" i="26" s="1"/>
  <c r="O9" i="26"/>
  <c r="O10" i="26" s="1"/>
  <c r="O11" i="26" s="1"/>
  <c r="N9" i="26"/>
  <c r="N10" i="26" s="1"/>
  <c r="N11" i="26" s="1"/>
  <c r="R8" i="26"/>
  <c r="Q8" i="26"/>
  <c r="P8" i="26"/>
  <c r="O8" i="26"/>
  <c r="N8" i="26"/>
  <c r="R5" i="26"/>
  <c r="Q5" i="26"/>
  <c r="P5" i="26"/>
  <c r="O5" i="26"/>
  <c r="N5" i="26"/>
  <c r="B40" i="22"/>
  <c r="B42" i="22" s="1"/>
  <c r="B44" i="22" s="1"/>
  <c r="AK19" i="26"/>
  <c r="Y19" i="26"/>
  <c r="S19" i="26"/>
  <c r="M19" i="26"/>
  <c r="L19" i="26"/>
  <c r="K19" i="26"/>
  <c r="J19" i="26"/>
  <c r="I19" i="26"/>
  <c r="H19" i="26"/>
  <c r="G19" i="26"/>
  <c r="F19" i="26"/>
  <c r="E19" i="26"/>
  <c r="D19" i="26"/>
  <c r="C19" i="26"/>
  <c r="B19" i="26"/>
  <c r="AK15" i="26"/>
  <c r="AK16" i="26" s="1"/>
  <c r="Y15" i="26"/>
  <c r="Y16" i="26" s="1"/>
  <c r="S15" i="26"/>
  <c r="S16" i="26" s="1"/>
  <c r="M15" i="26"/>
  <c r="M16" i="26" s="1"/>
  <c r="L15" i="26"/>
  <c r="L16" i="26" s="1"/>
  <c r="K15" i="26"/>
  <c r="K16" i="26" s="1"/>
  <c r="J15" i="26"/>
  <c r="J16" i="26" s="1"/>
  <c r="I15" i="26"/>
  <c r="I16" i="26" s="1"/>
  <c r="H15" i="26"/>
  <c r="H16" i="26" s="1"/>
  <c r="G15" i="26"/>
  <c r="G16" i="26" s="1"/>
  <c r="F15" i="26"/>
  <c r="F16" i="26" s="1"/>
  <c r="E15" i="26"/>
  <c r="E16" i="26" s="1"/>
  <c r="D15" i="26"/>
  <c r="D16" i="26" s="1"/>
  <c r="C15" i="26"/>
  <c r="C16" i="26" s="1"/>
  <c r="B15" i="26"/>
  <c r="B16" i="26" s="1"/>
  <c r="AK9" i="26"/>
  <c r="AK10" i="26" s="1"/>
  <c r="AK11" i="26" s="1"/>
  <c r="Y9" i="26"/>
  <c r="Y10" i="26" s="1"/>
  <c r="S9" i="26"/>
  <c r="S10" i="26" s="1"/>
  <c r="M9" i="26"/>
  <c r="M10" i="26" s="1"/>
  <c r="L9" i="26"/>
  <c r="L10" i="26" s="1"/>
  <c r="K9" i="26"/>
  <c r="K10" i="26" s="1"/>
  <c r="J9" i="26"/>
  <c r="J10" i="26" s="1"/>
  <c r="I9" i="26"/>
  <c r="I10" i="26" s="1"/>
  <c r="H9" i="26"/>
  <c r="H10" i="26" s="1"/>
  <c r="G9" i="26"/>
  <c r="G10" i="26" s="1"/>
  <c r="F9" i="26"/>
  <c r="F10" i="26" s="1"/>
  <c r="E9" i="26"/>
  <c r="E10" i="26" s="1"/>
  <c r="D9" i="26"/>
  <c r="D10" i="26" s="1"/>
  <c r="C9" i="26"/>
  <c r="C10" i="26" s="1"/>
  <c r="B9" i="26"/>
  <c r="B10" i="26" s="1"/>
  <c r="AK8" i="26"/>
  <c r="Y8" i="26"/>
  <c r="S8" i="26"/>
  <c r="M8" i="26"/>
  <c r="L8" i="26"/>
  <c r="K8" i="26"/>
  <c r="J8" i="26"/>
  <c r="I8" i="26"/>
  <c r="H8" i="26"/>
  <c r="G8" i="26"/>
  <c r="F8" i="26"/>
  <c r="E8" i="26"/>
  <c r="D8" i="26"/>
  <c r="C8" i="26"/>
  <c r="B8" i="26"/>
  <c r="AK5" i="26"/>
  <c r="Y5" i="26"/>
  <c r="S5" i="26"/>
  <c r="M5" i="26"/>
  <c r="L5" i="26"/>
  <c r="K5" i="26"/>
  <c r="J5" i="26"/>
  <c r="I5" i="26"/>
  <c r="H5" i="26"/>
  <c r="G5" i="26"/>
  <c r="F5" i="26"/>
  <c r="E5" i="26"/>
  <c r="D5" i="26"/>
  <c r="C5" i="26"/>
  <c r="B5" i="26"/>
  <c r="B31" i="25"/>
  <c r="B32" i="25" s="1"/>
  <c r="C27" i="25"/>
  <c r="B27" i="25" a="1"/>
  <c r="B27" i="25" s="1"/>
  <c r="B16" i="25"/>
  <c r="B17" i="25" s="1"/>
  <c r="B11" i="25"/>
  <c r="B12" i="25" s="1"/>
  <c r="B18" i="25" s="1"/>
  <c r="B9" i="25"/>
  <c r="B6" i="25"/>
  <c r="B30" i="24"/>
  <c r="B31" i="24" s="1"/>
  <c r="C26" i="24"/>
  <c r="B26" i="24" a="1"/>
  <c r="B26" i="24" s="1"/>
  <c r="B16" i="24"/>
  <c r="B17" i="24" s="1"/>
  <c r="B11" i="24"/>
  <c r="B12" i="24" s="1"/>
  <c r="B18" i="24" s="1"/>
  <c r="B9" i="24"/>
  <c r="B6" i="24"/>
  <c r="BG17" i="26" l="1"/>
  <c r="BD20" i="26"/>
  <c r="BI20" i="26"/>
  <c r="AW20" i="26"/>
  <c r="BB20" i="26"/>
  <c r="BF20" i="26"/>
  <c r="BF11" i="26"/>
  <c r="BF17" i="26" s="1"/>
  <c r="AZ11" i="26"/>
  <c r="AZ17" i="26" s="1"/>
  <c r="AZ20" i="26"/>
  <c r="BE17" i="26"/>
  <c r="BE20" i="26"/>
  <c r="AX17" i="26"/>
  <c r="BG20" i="26"/>
  <c r="BD17" i="26"/>
  <c r="AX20" i="26"/>
  <c r="AX21" i="26" s="1"/>
  <c r="AX24" i="26" s="1"/>
  <c r="BC17" i="26"/>
  <c r="BH20" i="26"/>
  <c r="BH11" i="26"/>
  <c r="BH17" i="26" s="1"/>
  <c r="AY11" i="26"/>
  <c r="AY17" i="26" s="1"/>
  <c r="AY20" i="26"/>
  <c r="BB17" i="26"/>
  <c r="BC20" i="26"/>
  <c r="BA11" i="26"/>
  <c r="BA17" i="26" s="1"/>
  <c r="BA20" i="26"/>
  <c r="AM20" i="26"/>
  <c r="AO17" i="26"/>
  <c r="AO20" i="26"/>
  <c r="AP17" i="26"/>
  <c r="AP20" i="26"/>
  <c r="H20" i="26"/>
  <c r="N22" i="26" s="1"/>
  <c r="AT17" i="26"/>
  <c r="AT20" i="26"/>
  <c r="AR20" i="26"/>
  <c r="AU17" i="26"/>
  <c r="AS20" i="26"/>
  <c r="AV17" i="26"/>
  <c r="AS17" i="26"/>
  <c r="AV20" i="26"/>
  <c r="AQ20" i="26"/>
  <c r="AU20" i="26"/>
  <c r="AM17" i="26"/>
  <c r="AQ17" i="26"/>
  <c r="AR17" i="26"/>
  <c r="AN20" i="26"/>
  <c r="AN11" i="26"/>
  <c r="AL17" i="26"/>
  <c r="AN17" i="26"/>
  <c r="AL20" i="26"/>
  <c r="AL21" i="26" s="1"/>
  <c r="AL24" i="26" s="1"/>
  <c r="AI20" i="26"/>
  <c r="Z20" i="26"/>
  <c r="Z21" i="26" s="1"/>
  <c r="Z24" i="26" s="1"/>
  <c r="AK20" i="26"/>
  <c r="AJ20" i="26"/>
  <c r="AB20" i="26"/>
  <c r="J20" i="26"/>
  <c r="N20" i="26"/>
  <c r="X17" i="26"/>
  <c r="AC20" i="26"/>
  <c r="B20" i="26"/>
  <c r="B21" i="26" s="1"/>
  <c r="B24" i="26" s="1"/>
  <c r="K20" i="26"/>
  <c r="Q22" i="26" s="1"/>
  <c r="Q23" i="26" s="1"/>
  <c r="O20" i="26"/>
  <c r="T20" i="26"/>
  <c r="AD20" i="26"/>
  <c r="D20" i="26"/>
  <c r="F20" i="26"/>
  <c r="L20" i="26"/>
  <c r="R22" i="26" s="1"/>
  <c r="R23" i="26" s="1"/>
  <c r="P20" i="26"/>
  <c r="U20" i="26"/>
  <c r="AE20" i="26"/>
  <c r="E20" i="26"/>
  <c r="G20" i="26"/>
  <c r="Q20" i="26"/>
  <c r="V20" i="26"/>
  <c r="AF20" i="26"/>
  <c r="R20" i="26"/>
  <c r="W20" i="26"/>
  <c r="AG20" i="26"/>
  <c r="Y20" i="26"/>
  <c r="X20" i="26"/>
  <c r="AH20" i="26"/>
  <c r="C20" i="26"/>
  <c r="AA20" i="26"/>
  <c r="I20" i="26"/>
  <c r="S20" i="26"/>
  <c r="M20" i="26"/>
  <c r="S22" i="26" s="1"/>
  <c r="S23" i="26" s="1"/>
  <c r="N17" i="26"/>
  <c r="AJ17" i="26"/>
  <c r="AF17" i="26"/>
  <c r="BI17" i="26"/>
  <c r="AW11" i="26"/>
  <c r="AW17" i="26" s="1"/>
  <c r="Z17" i="26"/>
  <c r="AH17" i="26"/>
  <c r="AD17" i="26"/>
  <c r="U17" i="26"/>
  <c r="AI17" i="26"/>
  <c r="AB17" i="26"/>
  <c r="AA17" i="26"/>
  <c r="AC17" i="26"/>
  <c r="AE17" i="26"/>
  <c r="AG17" i="26"/>
  <c r="W17" i="26"/>
  <c r="V17" i="26"/>
  <c r="T17" i="26"/>
  <c r="R17" i="26"/>
  <c r="O17" i="26"/>
  <c r="P17" i="26"/>
  <c r="Q17" i="26"/>
  <c r="B46" i="22"/>
  <c r="B48" i="22"/>
  <c r="E11" i="26"/>
  <c r="E17" i="26" s="1"/>
  <c r="S11" i="26"/>
  <c r="S17" i="26" s="1"/>
  <c r="C11" i="26"/>
  <c r="C17" i="26" s="1"/>
  <c r="Y11" i="26"/>
  <c r="Y17" i="26" s="1"/>
  <c r="AK17" i="26"/>
  <c r="B11" i="26"/>
  <c r="B17" i="26" s="1"/>
  <c r="G11" i="26"/>
  <c r="G17" i="26" s="1"/>
  <c r="H11" i="26"/>
  <c r="H17" i="26" s="1"/>
  <c r="L11" i="26"/>
  <c r="L17" i="26" s="1"/>
  <c r="I11" i="26"/>
  <c r="I17" i="26" s="1"/>
  <c r="J11" i="26"/>
  <c r="J17" i="26" s="1"/>
  <c r="K11" i="26"/>
  <c r="K17" i="26" s="1"/>
  <c r="M11" i="26"/>
  <c r="M17" i="26" s="1"/>
  <c r="D11" i="26"/>
  <c r="D17" i="26" s="1"/>
  <c r="F11" i="26"/>
  <c r="F17" i="26" s="1"/>
  <c r="N23" i="26" l="1"/>
  <c r="O22" i="26"/>
  <c r="P22" i="26" s="1"/>
  <c r="P23" i="26" s="1"/>
  <c r="N21" i="26"/>
  <c r="N24" i="26" s="1"/>
  <c r="T22" i="26"/>
  <c r="T23" i="26" s="1"/>
  <c r="AY21" i="26"/>
  <c r="AM21" i="26"/>
  <c r="AA21" i="26"/>
  <c r="C21" i="26"/>
  <c r="C24" i="26" s="1"/>
  <c r="O23" i="26" l="1"/>
  <c r="O21" i="26"/>
  <c r="U22" i="26" s="1"/>
  <c r="U23" i="26" s="1"/>
  <c r="AN21" i="26"/>
  <c r="AM24" i="26"/>
  <c r="D21" i="26"/>
  <c r="D24" i="26" s="1"/>
  <c r="AB21" i="26"/>
  <c r="AA24" i="26"/>
  <c r="AZ21" i="26"/>
  <c r="AY24" i="26"/>
  <c r="O24" i="26" l="1"/>
  <c r="P21" i="26"/>
  <c r="V22" i="26" s="1"/>
  <c r="V23" i="26" s="1"/>
  <c r="E21" i="26"/>
  <c r="E24" i="26" s="1"/>
  <c r="BA21" i="26"/>
  <c r="AZ24" i="26"/>
  <c r="AC21" i="26"/>
  <c r="AB24" i="26"/>
  <c r="Q21" i="26"/>
  <c r="W22" i="26" s="1"/>
  <c r="W23" i="26" s="1"/>
  <c r="P24" i="26"/>
  <c r="AO21" i="26"/>
  <c r="AN24" i="26"/>
  <c r="AP21" i="26" l="1"/>
  <c r="AO24" i="26"/>
  <c r="AD21" i="26"/>
  <c r="AC24" i="26"/>
  <c r="BB21" i="26"/>
  <c r="BA24" i="26"/>
  <c r="R21" i="26"/>
  <c r="Q24" i="26"/>
  <c r="F21" i="26"/>
  <c r="F24" i="26" s="1"/>
  <c r="X22" i="26" l="1"/>
  <c r="X23" i="26" s="1"/>
  <c r="S21" i="26"/>
  <c r="Y22" i="26" s="1"/>
  <c r="Y23" i="26" s="1"/>
  <c r="R24" i="26"/>
  <c r="G21" i="26"/>
  <c r="G24" i="26" s="1"/>
  <c r="BC21" i="26"/>
  <c r="BB24" i="26"/>
  <c r="AE21" i="26"/>
  <c r="AD24" i="26"/>
  <c r="AQ21" i="26"/>
  <c r="AP24" i="26"/>
  <c r="AR21" i="26" l="1"/>
  <c r="AQ24" i="26"/>
  <c r="AF21" i="26"/>
  <c r="AE24" i="26"/>
  <c r="BD21" i="26"/>
  <c r="BC24" i="26"/>
  <c r="H21" i="26"/>
  <c r="H24" i="26" s="1"/>
  <c r="T21" i="26"/>
  <c r="S24" i="26"/>
  <c r="AG21" i="26" l="1"/>
  <c r="AF24" i="26"/>
  <c r="BE21" i="26"/>
  <c r="BD24" i="26"/>
  <c r="U21" i="26"/>
  <c r="T24" i="26"/>
  <c r="I21" i="26"/>
  <c r="I24" i="26" s="1"/>
  <c r="AS21" i="26"/>
  <c r="AR24" i="26"/>
  <c r="AT21" i="26" l="1"/>
  <c r="AS24" i="26"/>
  <c r="J21" i="26"/>
  <c r="J24" i="26" s="1"/>
  <c r="BF21" i="26"/>
  <c r="BE24" i="26"/>
  <c r="V21" i="26"/>
  <c r="U24" i="26"/>
  <c r="AH21" i="26"/>
  <c r="AG24" i="26"/>
  <c r="AI21" i="26" l="1"/>
  <c r="AH24" i="26"/>
  <c r="W21" i="26"/>
  <c r="V24" i="26"/>
  <c r="BG21" i="26"/>
  <c r="BF24" i="26"/>
  <c r="K21" i="26"/>
  <c r="K24" i="26" s="1"/>
  <c r="AU21" i="26"/>
  <c r="AT24" i="26"/>
  <c r="AV21" i="26" l="1"/>
  <c r="AU24" i="26"/>
  <c r="X21" i="26"/>
  <c r="W24" i="26"/>
  <c r="L21" i="26"/>
  <c r="L24" i="26" s="1"/>
  <c r="BH21" i="26"/>
  <c r="BG24" i="26"/>
  <c r="AJ21" i="26"/>
  <c r="AI24" i="26"/>
  <c r="M21" i="26" l="1"/>
  <c r="M24" i="26" s="1"/>
  <c r="Y21" i="26"/>
  <c r="Y24" i="26" s="1"/>
  <c r="X24" i="26"/>
  <c r="AK21" i="26"/>
  <c r="AK24" i="26" s="1"/>
  <c r="AJ24" i="26"/>
  <c r="BI21" i="26"/>
  <c r="BI24" i="26" s="1"/>
  <c r="BH24" i="26"/>
  <c r="AW21" i="26"/>
  <c r="AW24" i="26" s="1"/>
  <c r="AV24" i="26"/>
  <c r="B11" i="23" l="1"/>
  <c r="B12" i="23" s="1"/>
  <c r="B31" i="23"/>
  <c r="B32" i="23" s="1"/>
  <c r="C27" i="23"/>
  <c r="B27" i="23" a="1"/>
  <c r="B27" i="23" s="1"/>
  <c r="B16" i="23"/>
  <c r="B17" i="23" s="1"/>
  <c r="B9" i="23"/>
  <c r="B6" i="23"/>
  <c r="B18" i="23" l="1"/>
  <c r="V34" i="22" l="1"/>
  <c r="U34" i="22"/>
  <c r="T34" i="22"/>
  <c r="S34" i="22"/>
  <c r="R34" i="22"/>
  <c r="Q34" i="22"/>
  <c r="V33" i="22"/>
  <c r="U33" i="22"/>
  <c r="T33" i="22"/>
  <c r="S33" i="22"/>
  <c r="R33" i="22"/>
  <c r="Q33" i="22"/>
  <c r="C19" i="22"/>
  <c r="C20" i="22" s="1"/>
  <c r="P9" i="22"/>
  <c r="O9" i="22"/>
  <c r="N9" i="22"/>
  <c r="M9" i="22"/>
  <c r="L9" i="22"/>
  <c r="L10" i="22" s="1"/>
  <c r="K9" i="22"/>
  <c r="K10" i="22" s="1"/>
  <c r="K11" i="22" s="1"/>
  <c r="J9" i="22"/>
  <c r="J10" i="22" s="1"/>
  <c r="J11" i="22" s="1"/>
  <c r="I9" i="22"/>
  <c r="I10" i="22" s="1"/>
  <c r="I11" i="22" s="1"/>
  <c r="H9" i="22"/>
  <c r="H10" i="22" s="1"/>
  <c r="H11" i="22" s="1"/>
  <c r="G9" i="22"/>
  <c r="F9" i="22"/>
  <c r="F10" i="22" s="1"/>
  <c r="F11" i="22" s="1"/>
  <c r="E9" i="22"/>
  <c r="E10" i="22" s="1"/>
  <c r="E11" i="22" s="1"/>
  <c r="D9" i="22"/>
  <c r="C9" i="22"/>
  <c r="B9" i="22"/>
  <c r="L19" i="22"/>
  <c r="L20" i="22" s="1"/>
  <c r="L15" i="22"/>
  <c r="L16" i="22" s="1"/>
  <c r="L8" i="22"/>
  <c r="L5" i="22"/>
  <c r="K19" i="22"/>
  <c r="K20" i="22" s="1"/>
  <c r="K15" i="22"/>
  <c r="K16" i="22" s="1"/>
  <c r="K8" i="22"/>
  <c r="K5" i="22"/>
  <c r="J19" i="22"/>
  <c r="J20" i="22" s="1"/>
  <c r="J15" i="22"/>
  <c r="J16" i="22" s="1"/>
  <c r="J8" i="22"/>
  <c r="J5" i="22"/>
  <c r="I19" i="22"/>
  <c r="I20" i="22" s="1"/>
  <c r="I15" i="22"/>
  <c r="I16" i="22" s="1"/>
  <c r="I8" i="22"/>
  <c r="I5" i="22"/>
  <c r="H19" i="22"/>
  <c r="H20" i="22" s="1"/>
  <c r="H15" i="22"/>
  <c r="H16" i="22" s="1"/>
  <c r="H8" i="22"/>
  <c r="H5" i="22"/>
  <c r="F19" i="22"/>
  <c r="F20" i="22" s="1"/>
  <c r="F15" i="22"/>
  <c r="F16" i="22" s="1"/>
  <c r="F8" i="22"/>
  <c r="F5" i="22"/>
  <c r="E19" i="22"/>
  <c r="E20" i="22" s="1"/>
  <c r="E15" i="22"/>
  <c r="E16" i="22" s="1"/>
  <c r="E8" i="22"/>
  <c r="E5" i="22"/>
  <c r="P19" i="22"/>
  <c r="P20" i="22" s="1"/>
  <c r="O19" i="22"/>
  <c r="O20" i="22" s="1"/>
  <c r="N19" i="22"/>
  <c r="N20" i="22" s="1"/>
  <c r="M19" i="22"/>
  <c r="M20" i="22" s="1"/>
  <c r="G19" i="22"/>
  <c r="G20" i="22" s="1"/>
  <c r="D19" i="22"/>
  <c r="D20" i="22" s="1"/>
  <c r="B20" i="22"/>
  <c r="C34" i="22" l="1"/>
  <c r="F34" i="22"/>
  <c r="H33" i="22"/>
  <c r="I33" i="22"/>
  <c r="L11" i="22"/>
  <c r="L17" i="22" s="1"/>
  <c r="L33" i="22"/>
  <c r="K34" i="22"/>
  <c r="F33" i="22"/>
  <c r="L34" i="22"/>
  <c r="M34" i="22"/>
  <c r="N34" i="22"/>
  <c r="J33" i="22"/>
  <c r="O34" i="22"/>
  <c r="K33" i="22"/>
  <c r="B34" i="22"/>
  <c r="P34" i="22"/>
  <c r="D34" i="22"/>
  <c r="E34" i="22"/>
  <c r="G34" i="22"/>
  <c r="E33" i="22"/>
  <c r="J34" i="22"/>
  <c r="I34" i="22"/>
  <c r="H34" i="22"/>
  <c r="J17" i="22"/>
  <c r="I17" i="22"/>
  <c r="H17" i="22"/>
  <c r="K17" i="22"/>
  <c r="F17" i="22"/>
  <c r="E17" i="22"/>
  <c r="P15" i="22" l="1"/>
  <c r="P16" i="22" s="1"/>
  <c r="O15" i="22"/>
  <c r="O16" i="22" s="1"/>
  <c r="N15" i="22"/>
  <c r="N16" i="22" s="1"/>
  <c r="M15" i="22"/>
  <c r="M16" i="22" s="1"/>
  <c r="G15" i="22"/>
  <c r="G16" i="22" s="1"/>
  <c r="D15" i="22"/>
  <c r="D16" i="22" s="1"/>
  <c r="C15" i="22"/>
  <c r="C16" i="22" s="1"/>
  <c r="P10" i="22"/>
  <c r="O10" i="22"/>
  <c r="N10" i="22"/>
  <c r="N33" i="22" s="1"/>
  <c r="M10" i="22"/>
  <c r="G10" i="22"/>
  <c r="D10" i="22"/>
  <c r="C10" i="22"/>
  <c r="P8" i="22"/>
  <c r="O8" i="22"/>
  <c r="N8" i="22"/>
  <c r="M8" i="22"/>
  <c r="G8" i="22"/>
  <c r="D8" i="22"/>
  <c r="C8" i="22"/>
  <c r="P5" i="22"/>
  <c r="O5" i="22"/>
  <c r="N5" i="22"/>
  <c r="M5" i="22"/>
  <c r="G5" i="22"/>
  <c r="D5" i="22"/>
  <c r="C5" i="22"/>
  <c r="B15" i="22"/>
  <c r="B16" i="22" s="1"/>
  <c r="B10" i="22"/>
  <c r="B8" i="22"/>
  <c r="B5" i="22"/>
  <c r="B30" i="20"/>
  <c r="B31" i="20" s="1"/>
  <c r="C26" i="20"/>
  <c r="B26" i="20" a="1"/>
  <c r="B26" i="20" s="1"/>
  <c r="B16" i="20"/>
  <c r="B17" i="20" s="1"/>
  <c r="B9" i="20"/>
  <c r="B6" i="20"/>
  <c r="D2" i="21"/>
  <c r="C2" i="21"/>
  <c r="E5" i="21"/>
  <c r="C4" i="21"/>
  <c r="D4" i="21" s="1"/>
  <c r="B3" i="21"/>
  <c r="E13" i="16"/>
  <c r="E12" i="16"/>
  <c r="E8" i="16" a="1"/>
  <c r="E8" i="16" s="1"/>
  <c r="F8" i="16"/>
  <c r="E19" i="16"/>
  <c r="E20" i="16" s="1"/>
  <c r="E21" i="16" s="1"/>
  <c r="B12" i="16"/>
  <c r="B13" i="16" s="1"/>
  <c r="B14" i="16" s="1"/>
  <c r="B9" i="16"/>
  <c r="B6" i="16"/>
  <c r="B18" i="16"/>
  <c r="B19" i="16" s="1"/>
  <c r="B19" i="18"/>
  <c r="B17" i="18"/>
  <c r="E11" i="18"/>
  <c r="E12" i="18" s="1"/>
  <c r="B11" i="18"/>
  <c r="B10" i="18"/>
  <c r="B14" i="13"/>
  <c r="B20" i="13" s="1"/>
  <c r="M11" i="22" l="1"/>
  <c r="M17" i="22" s="1"/>
  <c r="M33" i="22"/>
  <c r="O11" i="22"/>
  <c r="O33" i="22"/>
  <c r="G17" i="22"/>
  <c r="P11" i="22"/>
  <c r="P33" i="22"/>
  <c r="B11" i="22"/>
  <c r="B17" i="22" s="1"/>
  <c r="B33" i="22"/>
  <c r="N17" i="22"/>
  <c r="C11" i="22"/>
  <c r="C17" i="22" s="1"/>
  <c r="C33" i="22"/>
  <c r="D11" i="22"/>
  <c r="D33" i="22"/>
  <c r="G11" i="22"/>
  <c r="G33" i="22"/>
  <c r="N11" i="22"/>
  <c r="D17" i="22"/>
  <c r="O17" i="22"/>
  <c r="P17" i="22"/>
  <c r="C23" i="16"/>
  <c r="C24" i="16" s="1"/>
  <c r="B11" i="20"/>
  <c r="B12" i="20" s="1"/>
  <c r="B18" i="20" s="1"/>
  <c r="B20" i="16"/>
  <c r="B21" i="16" s="1"/>
  <c r="B11" i="16"/>
  <c r="B49" i="13"/>
  <c r="B62" i="13"/>
  <c r="B64" i="13" s="1"/>
  <c r="C64" i="13" s="1"/>
  <c r="B16" i="13"/>
  <c r="B17" i="13" s="1"/>
  <c r="C11" i="13"/>
  <c r="B11" i="13"/>
  <c r="B13" i="13" s="1"/>
  <c r="C22" i="12"/>
  <c r="B51" i="13" l="1"/>
  <c r="C34" i="13"/>
  <c r="C35" i="13" s="1"/>
  <c r="B53" i="13"/>
  <c r="C51" i="13"/>
  <c r="D28" i="10"/>
  <c r="E17" i="10"/>
  <c r="C37" i="10"/>
  <c r="E37" i="10" s="1"/>
  <c r="C36" i="10"/>
  <c r="C35" i="10"/>
  <c r="C34" i="10"/>
  <c r="C33" i="10"/>
  <c r="C32" i="10"/>
  <c r="C31" i="10"/>
  <c r="C30" i="10"/>
  <c r="C29" i="10"/>
  <c r="C28" i="10"/>
  <c r="C27" i="10"/>
  <c r="C26" i="10"/>
  <c r="F26" i="10"/>
  <c r="C25" i="10"/>
  <c r="D6" i="10"/>
  <c r="D5" i="10"/>
  <c r="B5" i="10"/>
  <c r="C5" i="10"/>
  <c r="C9" i="10" s="1"/>
  <c r="C10" i="10" s="1"/>
  <c r="C11" i="10" s="1"/>
  <c r="H41" i="11"/>
  <c r="H39" i="11"/>
  <c r="H40" i="11" s="1"/>
  <c r="H38" i="11"/>
  <c r="G32" i="11"/>
  <c r="E32" i="11"/>
  <c r="U31" i="11"/>
  <c r="U32" i="11" s="1"/>
  <c r="J31" i="11"/>
  <c r="E31" i="11"/>
  <c r="U30" i="11"/>
  <c r="D27" i="11"/>
  <c r="E27" i="11" s="1"/>
  <c r="E26" i="11"/>
  <c r="E25" i="11"/>
  <c r="C22" i="11"/>
  <c r="C21" i="11"/>
  <c r="P18" i="11"/>
  <c r="C18" i="11"/>
  <c r="H17" i="11"/>
  <c r="H18" i="11" s="1"/>
  <c r="G17" i="11"/>
  <c r="G18" i="11" s="1"/>
  <c r="G20" i="11" s="1"/>
  <c r="C17" i="11"/>
  <c r="G14" i="11"/>
  <c r="C13" i="11"/>
  <c r="C15" i="11" s="1"/>
  <c r="H12" i="11"/>
  <c r="G12" i="11"/>
  <c r="C9" i="11"/>
  <c r="C10" i="11" s="1"/>
  <c r="C5" i="11"/>
  <c r="C4" i="11"/>
  <c r="D3" i="11"/>
  <c r="C3" i="11"/>
  <c r="E6" i="10"/>
  <c r="E5" i="10"/>
  <c r="E4" i="10"/>
  <c r="E3" i="10"/>
  <c r="E2" i="10"/>
  <c r="D4" i="10"/>
  <c r="D3" i="10"/>
  <c r="D2" i="10"/>
  <c r="B9" i="10"/>
  <c r="B17" i="7"/>
  <c r="B18" i="7" s="1"/>
  <c r="C12" i="7"/>
  <c r="B12" i="7"/>
  <c r="B14" i="7" s="1"/>
  <c r="B15" i="7" s="1"/>
  <c r="B21" i="7" s="1"/>
  <c r="C52" i="5"/>
  <c r="C51" i="5"/>
  <c r="C47" i="5"/>
  <c r="C21" i="6"/>
  <c r="B16" i="5"/>
  <c r="B17" i="5" s="1"/>
  <c r="B45" i="5" s="1"/>
  <c r="B58" i="5"/>
  <c r="B60" i="5" s="1"/>
  <c r="C60" i="5" s="1"/>
  <c r="B26" i="13" l="1"/>
  <c r="C26" i="13" s="1"/>
  <c r="C32" i="13"/>
  <c r="B32" i="13"/>
  <c r="B54" i="13"/>
  <c r="C56" i="13" s="1"/>
  <c r="C55" i="13"/>
  <c r="B41" i="13"/>
  <c r="D37" i="10"/>
  <c r="C11" i="11"/>
  <c r="C12" i="11" s="1"/>
  <c r="D28" i="11"/>
  <c r="D29" i="11"/>
  <c r="E29" i="11" s="1"/>
  <c r="C23" i="11"/>
  <c r="C24" i="11" s="1"/>
  <c r="D9" i="10"/>
  <c r="E9" i="10"/>
  <c r="B47" i="5"/>
  <c r="B49" i="5" s="1"/>
  <c r="B50" i="5" s="1"/>
  <c r="B30" i="13" l="1"/>
  <c r="C30" i="13"/>
  <c r="B36" i="13"/>
  <c r="B37" i="13" s="1"/>
  <c r="D32" i="13"/>
  <c r="D33" i="13" s="1"/>
  <c r="C33" i="13"/>
  <c r="D30" i="13"/>
  <c r="D31" i="13" s="1"/>
  <c r="C31" i="13"/>
  <c r="C44" i="13"/>
  <c r="D44" i="13" s="1"/>
  <c r="C43" i="13"/>
  <c r="D43" i="13" s="1"/>
  <c r="C42" i="13"/>
  <c r="D42" i="13" s="1"/>
  <c r="C45" i="13"/>
  <c r="D45" i="13" s="1"/>
  <c r="C36" i="11"/>
  <c r="C39" i="11"/>
  <c r="C37" i="11"/>
  <c r="C40" i="11"/>
  <c r="C42" i="11"/>
  <c r="C35" i="11"/>
  <c r="C41" i="11"/>
  <c r="C38" i="11"/>
  <c r="C34" i="11"/>
  <c r="C33" i="11"/>
  <c r="D30" i="11"/>
  <c r="E30" i="11" s="1"/>
  <c r="E28" i="11"/>
  <c r="C11" i="5"/>
  <c r="B11" i="5"/>
  <c r="B13" i="5" s="1"/>
  <c r="B14" i="5" s="1"/>
  <c r="B20" i="5" s="1"/>
  <c r="B16" i="2"/>
  <c r="E7" i="1"/>
  <c r="E9" i="1" s="1"/>
  <c r="E11" i="1" s="1"/>
  <c r="D7" i="1"/>
  <c r="D9" i="1" s="1"/>
  <c r="C7" i="1"/>
  <c r="C9" i="1" s="1"/>
  <c r="B38" i="13" l="1"/>
  <c r="D38" i="13" s="1"/>
  <c r="D37" i="13"/>
  <c r="D39" i="11"/>
  <c r="D38" i="11"/>
  <c r="E38" i="11" s="1"/>
  <c r="D37" i="11"/>
  <c r="E37" i="11" s="1"/>
  <c r="D35" i="11"/>
  <c r="E35" i="11" s="1"/>
  <c r="D34" i="11"/>
  <c r="E34" i="11" s="1"/>
  <c r="D36" i="11"/>
  <c r="E36" i="11" s="1"/>
  <c r="B26" i="5"/>
  <c r="B31" i="5"/>
  <c r="D11" i="1"/>
  <c r="D10" i="1"/>
  <c r="C11" i="1"/>
  <c r="C10" i="1"/>
  <c r="E10" i="1"/>
  <c r="E39" i="11" l="1"/>
  <c r="D42" i="11"/>
  <c r="D40" i="11"/>
  <c r="D41" i="11"/>
  <c r="B37" i="5"/>
  <c r="B30" i="5"/>
  <c r="B32" i="5" s="1"/>
  <c r="B34" i="5" s="1"/>
  <c r="E42" i="11" l="1"/>
  <c r="E40" i="11"/>
  <c r="E41" i="11" s="1"/>
  <c r="B33" i="5"/>
  <c r="C41" i="5"/>
  <c r="D41" i="5" s="1"/>
  <c r="C40" i="5"/>
  <c r="D40" i="5" s="1"/>
  <c r="C39" i="5"/>
  <c r="D39" i="5" s="1"/>
  <c r="C38" i="5"/>
  <c r="D38" i="5" s="1"/>
  <c r="D33" i="5" l="1"/>
  <c r="D3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tc={987E812B-70E8-CF44-917E-281A2E915538}</author>
    <author>tc={8B7A6FEF-D285-0A4A-AD4A-ABA46563F95E}</author>
    <author>tc={8F03D8EF-44BD-894A-B33A-13DF03AEC025}</author>
    <author>tc={DB6B20E7-0064-C546-A98E-E9D432D0DCB3}</author>
    <author>tc={42F39EC5-D23E-BD43-9FF8-091654F1148D}</author>
    <author>tc={E2FD00ED-1163-7547-90AA-3E05AEA01E83}</author>
  </authors>
  <commentList>
    <comment ref="C2" authorId="0" shapeId="0" xr:uid="{987E812B-70E8-CF44-917E-281A2E91553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is higher due to dineout promotes eating out</t>
      </text>
    </comment>
    <comment ref="D2" authorId="1" shapeId="0" xr:uid="{8B7A6FEF-D285-0A4A-AD4A-ABA46563F95E}">
      <text>
        <t>[Threaded comment]
Your version of Excel allows you to read this threaded comment; however, any edits to it will get removed if the file is opened in a newer version of Excel. Learn more: https://go.microsoft.com/fwlink/?linkid=870924
Comment:
    20R per customer with 50% accuracy/data correctness/active</t>
      </text>
    </comment>
    <comment ref="C3" authorId="2" shapeId="0" xr:uid="{8F03D8EF-44BD-894A-B33A-13DF03AEC025}">
      <text>
        <t>[Threaded comment]
Your version of Excel allows you to read this threaded comment; however, any edits to it will get removed if the file is opened in a newer version of Excel. Learn more: https://go.microsoft.com/fwlink/?linkid=870924
Comment:
    12%</t>
      </text>
    </comment>
    <comment ref="C4" authorId="3" shapeId="0" xr:uid="{DB6B20E7-0064-C546-A98E-E9D432D0DCB3}">
      <text>
        <t>[Threaded comment]
Your version of Excel allows you to read this threaded comment; however, any edits to it will get removed if the file is opened in a newer version of Excel. Learn more: https://go.microsoft.com/fwlink/?linkid=870924
Comment:
    13%</t>
      </text>
    </comment>
    <comment ref="B5" authorId="4" shapeId="0" xr:uid="{42F39EC5-D23E-BD43-9FF8-091654F1148D}">
      <text>
        <t>[Threaded comment]
Your version of Excel allows you to read this threaded comment; however, any edits to it will get removed if the file is opened in a newer version of Excel. Learn more: https://go.microsoft.com/fwlink/?linkid=870924
Comment:
    550 potential FL3 merchants but there could be more non-FL3</t>
      </text>
    </comment>
    <comment ref="C5" authorId="5" shapeId="0" xr:uid="{E2FD00ED-1163-7547-90AA-3E05AEA01E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 restaurants during buffer &amp; then monthly 10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26" authorId="0" shapeId="0" xr:uid="{4DA3BF11-7B27-0A41-94C5-E41FE8720AF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Use credit tentd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tc={FB95B5ED-4549-1E4B-A661-9D3A0607C59D}</author>
    <author>tc={86D43A48-EF6E-D04D-A958-6F9040E907D9}</author>
    <author>tc={02982BE1-DCD6-D44F-A882-D223480361D1}</author>
    <author>tc={3E5C774C-E9D1-964D-9407-EEE4B183EE07}</author>
    <author>tc={5D13AA24-695C-014E-A8D4-925C3FCE5120}</author>
    <author>tc={21279F79-B1F4-E244-AD1F-AB1898DF7105}</author>
    <author>tc={AEAC3282-BA13-924D-8F3F-EE8B4B156478}</author>
    <author>tc={8C60C3F2-1066-374B-B29A-4D39C22D1BFC}</author>
  </authors>
  <commentList>
    <comment ref="B4" authorId="0" shapeId="0" xr:uid="{FB95B5ED-4549-1E4B-A661-9D3A0607C5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- 2.5%</t>
      </text>
    </comment>
    <comment ref="C4" authorId="1" shapeId="0" xr:uid="{86D43A48-EF6E-D04D-A958-6F9040E907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- 5%</t>
      </text>
    </comment>
    <comment ref="D4" authorId="2" shapeId="0" xr:uid="{02982BE1-DCD6-D44F-A882-D223480361D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- 7.5%</t>
      </text>
    </comment>
    <comment ref="D5" authorId="3" shapeId="0" xr:uid="{3E5C774C-E9D1-964D-9407-EEE4B183EE07}">
      <text>
        <t>[Threaded comment]
Your version of Excel allows you to read this threaded comment; however, any edits to it will get removed if the file is opened in a newer version of Excel. Learn more: https://go.microsoft.com/fwlink/?linkid=870924
Comment:
    Decreased credit risks through maturity</t>
      </text>
    </comment>
    <comment ref="D10" authorId="4" shapeId="0" xr:uid="{5D13AA24-695C-014E-A8D4-925C3FCE51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Recovery increase over time</t>
      </text>
    </comment>
    <comment ref="B17" authorId="5" shapeId="0" xr:uid="{21279F79-B1F4-E244-AD1F-AB1898DF7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- 24%</t>
      </text>
    </comment>
    <comment ref="C17" authorId="6" shapeId="0" xr:uid="{AEAC3282-BA13-924D-8F3F-EE8B4B1564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- 33%</t>
      </text>
    </comment>
    <comment ref="D17" authorId="7" shapeId="0" xr:uid="{8C60C3F2-1066-374B-B29A-4D39C22D1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- 35%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<sst xmlns="http://schemas.openxmlformats.org/spreadsheetml/2006/main" count="1422" uniqueCount="804">
  <si>
    <t>S. No.</t>
  </si>
  <si>
    <t>Source</t>
  </si>
  <si>
    <t>MFI / NBFC</t>
  </si>
  <si>
    <t>Bank</t>
  </si>
  <si>
    <t>Merchant Partners</t>
  </si>
  <si>
    <t>25L</t>
  </si>
  <si>
    <t>11L</t>
  </si>
  <si>
    <t>10L</t>
  </si>
  <si>
    <t>38L</t>
  </si>
  <si>
    <t>16L</t>
  </si>
  <si>
    <t>20L</t>
  </si>
  <si>
    <t>50L</t>
  </si>
  <si>
    <t>22L</t>
  </si>
  <si>
    <t>30L</t>
  </si>
  <si>
    <t>Y1 Signup (50%)</t>
  </si>
  <si>
    <t>Total</t>
  </si>
  <si>
    <t>56L</t>
  </si>
  <si>
    <t>94L</t>
  </si>
  <si>
    <t>Conversion @ 0.5%</t>
  </si>
  <si>
    <t>Average Sale Value</t>
  </si>
  <si>
    <t>Gross Sale</t>
  </si>
  <si>
    <t>1.32CR</t>
  </si>
  <si>
    <t>Interest @ 20%</t>
  </si>
  <si>
    <t>Y2 Signup (75%)</t>
  </si>
  <si>
    <t>Y3 Signup (100%)</t>
  </si>
  <si>
    <t>WAIU Direct Customers</t>
  </si>
  <si>
    <t>Credit lending to consumers?</t>
  </si>
  <si>
    <t>Credit lending to merchants?</t>
  </si>
  <si>
    <t>Sales Earning @5%</t>
  </si>
  <si>
    <t>CPM</t>
  </si>
  <si>
    <t>CPL</t>
  </si>
  <si>
    <t>CPA</t>
  </si>
  <si>
    <t>CPV</t>
  </si>
  <si>
    <t>CPE</t>
  </si>
  <si>
    <t>CPI</t>
  </si>
  <si>
    <t>CPC</t>
  </si>
  <si>
    <t>CPAd</t>
  </si>
  <si>
    <t>CPLead</t>
  </si>
  <si>
    <t>CPConv</t>
  </si>
  <si>
    <t>CPI only Calculations</t>
  </si>
  <si>
    <t>Pune total customers</t>
  </si>
  <si>
    <t>Acquisition cost</t>
  </si>
  <si>
    <t>Make 20% higher for Insta</t>
  </si>
  <si>
    <t>50% lower for FB</t>
  </si>
  <si>
    <t>1.35CR</t>
  </si>
  <si>
    <t>60L</t>
  </si>
  <si>
    <t>Maintenance - per year per city</t>
  </si>
  <si>
    <t>2CR</t>
  </si>
  <si>
    <t>4CR</t>
  </si>
  <si>
    <t>Included in merchant CAC</t>
  </si>
  <si>
    <t>Buffer period signup costs</t>
  </si>
  <si>
    <t>Yearly costs</t>
  </si>
  <si>
    <t>Category</t>
  </si>
  <si>
    <t>Costs</t>
  </si>
  <si>
    <t>Total Y1 costs</t>
  </si>
  <si>
    <t>Total Y2 costs</t>
  </si>
  <si>
    <t>3 CR</t>
  </si>
  <si>
    <t>4 CR</t>
  </si>
  <si>
    <t>2 CR</t>
  </si>
  <si>
    <t>Total Y3 costs</t>
  </si>
  <si>
    <t>Customer interfacing</t>
  </si>
  <si>
    <t>Merchant interfacing</t>
  </si>
  <si>
    <t>Transaction management</t>
  </si>
  <si>
    <t>Customer profiling &amp; risk scoring</t>
  </si>
  <si>
    <t>AML checks (shared)</t>
  </si>
  <si>
    <t>Branding</t>
  </si>
  <si>
    <t>Customer onboarding</t>
  </si>
  <si>
    <t>Technical integration</t>
  </si>
  <si>
    <t>Recovery processing</t>
  </si>
  <si>
    <t>PG</t>
  </si>
  <si>
    <t>Promotion/Awareness campaigns</t>
  </si>
  <si>
    <t>Magma support</t>
  </si>
  <si>
    <t>WAIU support</t>
  </si>
  <si>
    <t>Costing (Rs)</t>
  </si>
  <si>
    <t>Range: 20-110L</t>
  </si>
  <si>
    <t>NPCI Tie-Up</t>
  </si>
  <si>
    <t>Zomato : 1L</t>
  </si>
  <si>
    <t>Customer through partner merchants? </t>
  </si>
  <si>
    <t>21-30 working class</t>
  </si>
  <si>
    <t>Credit card customers : 5CR in India</t>
  </si>
  <si>
    <t>On Paper WAIU customers in Pune at end of Y1</t>
  </si>
  <si>
    <t>Cosmos</t>
  </si>
  <si>
    <t>Dineout</t>
  </si>
  <si>
    <t>MFI</t>
  </si>
  <si>
    <t>?</t>
  </si>
  <si>
    <t>Total Potential (Lakhs)</t>
  </si>
  <si>
    <t>18-25 graduates - 5 Lacs</t>
  </si>
  <si>
    <t>Overlap quotient</t>
  </si>
  <si>
    <t>Unique customers</t>
  </si>
  <si>
    <t>Clique customers @ 5% conversion</t>
  </si>
  <si>
    <t>Why 5%?</t>
  </si>
  <si>
    <t>CARE Ratings</t>
  </si>
  <si>
    <t>F&amp;B is 3rd biggest credit service after airline &amp; accomodation</t>
  </si>
  <si>
    <t>Between May-19 &amp; Apr-20, India added 9M credit card &amp; lost 30M debit cards</t>
  </si>
  <si>
    <t>Average transaction value of CC is higher</t>
  </si>
  <si>
    <t>India Buy Now Pay Later Market Report 2021: BNPL Payments are Expected to Grow by 72.7% - Forecast to 2028</t>
  </si>
  <si>
    <t>Total Customers</t>
  </si>
  <si>
    <t>Late payment fee</t>
  </si>
  <si>
    <t>Delinquency</t>
  </si>
  <si>
    <t>15-20% of card carrying customers are in default for up to 30 days,</t>
  </si>
  <si>
    <t>Y1 Target (Lakhs)</t>
  </si>
  <si>
    <t>WAIU direct customers: 1.2L at Y1</t>
  </si>
  <si>
    <t>Total expense</t>
  </si>
  <si>
    <t>Average delay in months (Market avg is 6-8 months)</t>
  </si>
  <si>
    <t>Total Interest</t>
  </si>
  <si>
    <t>Total Late Fee</t>
  </si>
  <si>
    <t>Interest Free Period in months</t>
  </si>
  <si>
    <t>HDFC 950 for &lt;25k</t>
  </si>
  <si>
    <t>HDFC interest rate on ‘revolving balances’ from 3.49-3.6% monthly 
(that's 41.88-43.2% annually)</t>
  </si>
  <si>
    <t>Although limit increases with spend credibility. Plus its revolving</t>
  </si>
  <si>
    <t>Sales Figures</t>
  </si>
  <si>
    <t>Merchant Fees Rate (15%)</t>
  </si>
  <si>
    <t>Merchant Fee Value</t>
  </si>
  <si>
    <t>WAIU Share</t>
  </si>
  <si>
    <t>MFI Share</t>
  </si>
  <si>
    <t>Billdesk</t>
  </si>
  <si>
    <t>Customer Share</t>
  </si>
  <si>
    <t>Total charges</t>
  </si>
  <si>
    <t>WAIU Clique Share 10% - Admin cost</t>
  </si>
  <si>
    <t>https://www.rbi.org.in/Scripts/PublicationsView.aspx?id=20377</t>
  </si>
  <si>
    <t>How soon people repay loan?</t>
  </si>
  <si>
    <t>Portfolio performance (Delinquency in terms of days past due)</t>
  </si>
  <si>
    <t>30+ days</t>
  </si>
  <si>
    <t>60+ days</t>
  </si>
  <si>
    <t>90+ days</t>
  </si>
  <si>
    <t>Industry level</t>
  </si>
  <si>
    <t>a)</t>
  </si>
  <si>
    <t>Banks</t>
  </si>
  <si>
    <t>b)</t>
  </si>
  <si>
    <t>NBFC-MFIs</t>
  </si>
  <si>
    <t>c)</t>
  </si>
  <si>
    <t>SFBs</t>
  </si>
  <si>
    <t>d)</t>
  </si>
  <si>
    <t>NBFCs</t>
  </si>
  <si>
    <t>e)</t>
  </si>
  <si>
    <t>Non-profit MFIs</t>
  </si>
  <si>
    <t>Conservative approach, although Clique customer are likely to have higher credit disposition &amp; worthiness</t>
  </si>
  <si>
    <t>Average Loan (10-50k range owns 66% of MF market)</t>
  </si>
  <si>
    <t>Total loan value</t>
  </si>
  <si>
    <t>Non-MFI consumers</t>
  </si>
  <si>
    <t>Unique MFI customers</t>
  </si>
  <si>
    <t>Interest percentage ( Usually 20-26% for MFIs)</t>
  </si>
  <si>
    <t>Conservative figure to challenge credit cards &amp; traditional EMI services</t>
  </si>
  <si>
    <t>Total Interest Earnings</t>
  </si>
  <si>
    <t>1 location</t>
  </si>
  <si>
    <t>7 location</t>
  </si>
  <si>
    <t>Total lending pool (Home Credit India survey - 33%)</t>
  </si>
  <si>
    <t>Total merchant partners - 1 location in 1 year</t>
  </si>
  <si>
    <t>7 Locations</t>
  </si>
  <si>
    <t>Total interest per location</t>
  </si>
  <si>
    <t>Without bank &amp; MFI customers</t>
  </si>
  <si>
    <t>The survey revealed that 33 per cent of Indians are willing to take a loan for a consumer durable item such as- Mobile Phone, Television, Refrigerator etc.</t>
  </si>
  <si>
    <t>Interest lower than consumers as market trend</t>
  </si>
  <si>
    <t>Digital Consumer Lending Figures</t>
  </si>
  <si>
    <t>Digital Merchant / Restaurant Lending Figures</t>
  </si>
  <si>
    <t>Note its less than Clique member count &amp; pool includes all potential customers</t>
  </si>
  <si>
    <t>Average loan value: 10-40L</t>
  </si>
  <si>
    <t>Total count of customers</t>
  </si>
  <si>
    <t>Total Interest Earnings for 7 locations</t>
  </si>
  <si>
    <t xml:space="preserve">Value add? 50% processing fee, late payment charges, WAIU discounts, </t>
  </si>
  <si>
    <t>To avoid reaching relational lenders</t>
  </si>
  <si>
    <t>7 locations for Y1</t>
  </si>
  <si>
    <t>????</t>
  </si>
  <si>
    <t>Target customers for Clique @ 5%</t>
  </si>
  <si>
    <t>Average credit value per customer</t>
  </si>
  <si>
    <t>31.2CR</t>
  </si>
  <si>
    <t>Total business in the year, by value</t>
  </si>
  <si>
    <t>14L</t>
  </si>
  <si>
    <t>4.7L</t>
  </si>
  <si>
    <t>Total collection for 7 locations in Year 1</t>
  </si>
  <si>
    <t>MFI Clique Share 90%</t>
  </si>
  <si>
    <t>1.31CR</t>
  </si>
  <si>
    <t>Average loan value</t>
  </si>
  <si>
    <t>26.4CR</t>
  </si>
  <si>
    <t>Unique new consumers for Year 1 in Pune</t>
  </si>
  <si>
    <t>Interest Collection @ 18%</t>
  </si>
  <si>
    <t>Lending pool 10%</t>
  </si>
  <si>
    <t>Average loan value (Industry average is 10-40L)</t>
  </si>
  <si>
    <t>Total interest per location based on Interest rate @ 14%</t>
  </si>
  <si>
    <t>34L</t>
  </si>
  <si>
    <t>2.4CR</t>
  </si>
  <si>
    <t>Year 1 - Potential customer acquision in 1 City (Pune)</t>
  </si>
  <si>
    <t>Assume acq charges for this</t>
  </si>
  <si>
    <t>Based on aggregation model, de-duped across partners</t>
  </si>
  <si>
    <t>Assuming launch in same regions as WAIU</t>
  </si>
  <si>
    <t>Industry range is ₹10-50k in 66% cases</t>
  </si>
  <si>
    <t>Conservative rate as compared to trend, BAU lenders</t>
  </si>
  <si>
    <t xml:space="preserve">Exclusive of late fee, processing charges, documentation charges </t>
  </si>
  <si>
    <t>Delinquency applied later at 4%</t>
  </si>
  <si>
    <t>Digital Merchant / Restaurant Lending</t>
  </si>
  <si>
    <t>Digital Consumer Lending</t>
  </si>
  <si>
    <t>Clique Revenue Stream</t>
  </si>
  <si>
    <t>Proposed Financial Draft</t>
  </si>
  <si>
    <t>Total merchant partners - 1 location in Year 1</t>
  </si>
  <si>
    <t>Based on WAIU acquisition strategy, after pre-launch</t>
  </si>
  <si>
    <t>Assumed &amp; open for feedback</t>
  </si>
  <si>
    <t>Total loan portfolio</t>
  </si>
  <si>
    <t>Interest @3%,  assuming 10% customers will enroll</t>
  </si>
  <si>
    <t>Flat Late Fee @ Rs 100 per month</t>
  </si>
  <si>
    <t>Industry trend is &gt;₹500 &amp; incremental</t>
  </si>
  <si>
    <t>By policy but will always increase based on credit scoring</t>
  </si>
  <si>
    <t>Based on a conservative 5% active consumer base, but likely to be higher</t>
  </si>
  <si>
    <t>Controlled share, derived from BNPL statistics</t>
  </si>
  <si>
    <t>EMI cycle 2.5 months with M1 free; Conservative rate</t>
  </si>
  <si>
    <t>4.5CR</t>
  </si>
  <si>
    <t>32CR</t>
  </si>
  <si>
    <t>Merchant Interest collection for 7 locations in Year 1</t>
  </si>
  <si>
    <t>Consumer Interest collection for 7 locations in Year 1</t>
  </si>
  <si>
    <t>Median value assumed</t>
  </si>
  <si>
    <t>Qs:</t>
  </si>
  <si>
    <t>Yash - Dineout numbers for our cities</t>
  </si>
  <si>
    <t>Dhurandar -  Zomato numbers for our cities</t>
  </si>
  <si>
    <t>Notes</t>
  </si>
  <si>
    <t>Not applicable for all cities</t>
  </si>
  <si>
    <t>1 CR on converted consumer, maybe 5 times for all coverage i.e. 5L consumers?</t>
  </si>
  <si>
    <t>As above</t>
  </si>
  <si>
    <t>How many signups in buffer period and then 10 PM?</t>
  </si>
  <si>
    <t>Based on above</t>
  </si>
  <si>
    <t>Partnerships in location?</t>
  </si>
  <si>
    <t>Maybe other banks in the location or a national bank?</t>
  </si>
  <si>
    <t>Mudra like ad agency for e2e campaign cost</t>
  </si>
  <si>
    <t>TV campaign based influence &amp; conversion?</t>
  </si>
  <si>
    <t>3-5-10 year plan</t>
  </si>
  <si>
    <t>Zomato</t>
  </si>
  <si>
    <t>Swiggy</t>
  </si>
  <si>
    <t>Merchant</t>
  </si>
  <si>
    <t>WAIU</t>
  </si>
  <si>
    <t>Bank - Cosmos</t>
  </si>
  <si>
    <t>Total Scope</t>
  </si>
  <si>
    <t>Conversion</t>
  </si>
  <si>
    <t>Cost of Contact</t>
  </si>
  <si>
    <t>Cost of conversion</t>
  </si>
  <si>
    <t>Per city consumer stats (Pune)</t>
  </si>
  <si>
    <t xml:space="preserve">EOY1 Total Scope </t>
  </si>
  <si>
    <t>EOY1 Total Target</t>
  </si>
  <si>
    <t>WAIU (campaign driven)</t>
  </si>
  <si>
    <t>N/A</t>
  </si>
  <si>
    <t>Overlap Quotient: 50%</t>
  </si>
  <si>
    <t>Per standard strategy</t>
  </si>
  <si>
    <t>Merchant acquisition rates to continue from day 1</t>
  </si>
  <si>
    <t>Assume no business in first 2 months, but recover by EOY</t>
  </si>
  <si>
    <t>MFI/Bank numbers to be confirmed</t>
  </si>
  <si>
    <t>Conservative, as uers are likely to use app recurringly</t>
  </si>
  <si>
    <t>Pune, Mumbai, Indore, Bangalore, Hyderabad - Goa, NCR</t>
  </si>
  <si>
    <t>Cosmos states: MH, GJ, MP, Karnataka, AP, Telangana, TN</t>
  </si>
  <si>
    <t>MAGMA States - All except GOA</t>
  </si>
  <si>
    <t>Technical Integration costs</t>
  </si>
  <si>
    <t>App usage quotient: 50% users at MAX to use at least once</t>
  </si>
  <si>
    <t>Customer acquisition costs per city for 1.75L consumers per year</t>
  </si>
  <si>
    <t>3.5CR</t>
  </si>
  <si>
    <t>25CR for 7 cities</t>
  </si>
  <si>
    <t>Drop GOA?</t>
  </si>
  <si>
    <t>60Rs as these are F&amp;B enthusiasts</t>
  </si>
  <si>
    <t>Count likely to be more due to TV commercial spikes</t>
  </si>
  <si>
    <t>Click</t>
  </si>
  <si>
    <t>Like</t>
  </si>
  <si>
    <t>Action - Chat etc</t>
  </si>
  <si>
    <t>View</t>
  </si>
  <si>
    <t>Seen by 1000 people</t>
  </si>
  <si>
    <t>Install</t>
  </si>
  <si>
    <t>Engagement - watch, pause, fill a form</t>
  </si>
  <si>
    <t>To pay via app</t>
  </si>
  <si>
    <t>Ad cost</t>
  </si>
  <si>
    <t>Lead</t>
  </si>
  <si>
    <t>Revenue Category &amp; Phases</t>
  </si>
  <si>
    <t>Details</t>
  </si>
  <si>
    <t>1 FL3 Only</t>
  </si>
  <si>
    <t>1 City</t>
  </si>
  <si>
    <t>7 Cities</t>
  </si>
  <si>
    <t>Points</t>
  </si>
  <si>
    <t>Cash</t>
  </si>
  <si>
    <t>Average Customers per FL3</t>
  </si>
  <si>
    <t>Assuming 3 years old business</t>
  </si>
  <si>
    <t>Based on FL3 selection criteria</t>
  </si>
  <si>
    <t>Liquor</t>
  </si>
  <si>
    <t>Vat 5%</t>
  </si>
  <si>
    <t>No GST</t>
  </si>
  <si>
    <t>Regular customers</t>
  </si>
  <si>
    <t>Average regular customers - 15%</t>
  </si>
  <si>
    <t>Current market trend</t>
  </si>
  <si>
    <t>Food</t>
  </si>
  <si>
    <t>zero vat</t>
  </si>
  <si>
    <t>5% GST</t>
  </si>
  <si>
    <t>FreeSpirit Target</t>
  </si>
  <si>
    <r>
      <t xml:space="preserve">Drink Sharing - 25% of </t>
    </r>
    <r>
      <rPr>
        <sz val="11"/>
        <color rgb="FF00B050"/>
        <rFont val="Calibri"/>
        <family val="2"/>
        <scheme val="minor"/>
      </rPr>
      <t xml:space="preserve">Regular </t>
    </r>
    <r>
      <rPr>
        <sz val="12"/>
        <color theme="1"/>
        <rFont val="Calibri"/>
        <family val="2"/>
        <scheme val="minor"/>
      </rPr>
      <t>Customers</t>
    </r>
  </si>
  <si>
    <t>Food - 5* hotel</t>
  </si>
  <si>
    <t>18% GST</t>
  </si>
  <si>
    <r>
      <t xml:space="preserve">Drink Sharing - 10% of </t>
    </r>
    <r>
      <rPr>
        <sz val="11"/>
        <color rgb="FF00B0F0"/>
        <rFont val="Calibri"/>
        <family val="2"/>
        <scheme val="minor"/>
      </rPr>
      <t>Remaining</t>
    </r>
    <r>
      <rPr>
        <sz val="12"/>
        <color theme="1"/>
        <rFont val="Calibri"/>
        <family val="2"/>
        <scheme val="minor"/>
      </rPr>
      <t xml:space="preserve"> Customers</t>
    </r>
  </si>
  <si>
    <t>Waiu Direct Customers (20%)</t>
  </si>
  <si>
    <t>??</t>
  </si>
  <si>
    <t>Food &amp; Drink Purchase &amp; Sharing</t>
  </si>
  <si>
    <t>Total customer target per FL3</t>
  </si>
  <si>
    <t>Minimum target for FL4 Customers Per FL3</t>
  </si>
  <si>
    <t>Paid</t>
  </si>
  <si>
    <t>Average per sale spend per month</t>
  </si>
  <si>
    <t>Conservative Figures - Sale value ₹18 Lacs</t>
  </si>
  <si>
    <t>bill</t>
  </si>
  <si>
    <t>Monthly sale value</t>
  </si>
  <si>
    <t>FreeSpirit Discount</t>
  </si>
  <si>
    <t>Customer Cashback</t>
  </si>
  <si>
    <t>12% cashback for partner bank's customers
10% cashback for all other customers</t>
  </si>
  <si>
    <t>FL3 bill</t>
  </si>
  <si>
    <t>FreeSpirit Revenue</t>
  </si>
  <si>
    <t>BS to pay</t>
  </si>
  <si>
    <t>Drink Offering</t>
  </si>
  <si>
    <t>5% Members</t>
  </si>
  <si>
    <t xml:space="preserve"> </t>
  </si>
  <si>
    <t>BS to FL4</t>
  </si>
  <si>
    <t>Sale value per person per month</t>
  </si>
  <si>
    <t>Total sale value ₹24000</t>
  </si>
  <si>
    <t>Monthly valuation of offers made</t>
  </si>
  <si>
    <t>FreeSpirit Offer Charges</t>
  </si>
  <si>
    <t>Premium service charges</t>
  </si>
  <si>
    <t>Offering FL3 Profit</t>
  </si>
  <si>
    <t>For FL3 who provisioned the offer</t>
  </si>
  <si>
    <t>Points redemption can happen at any FL3</t>
  </si>
  <si>
    <t>BS balance</t>
  </si>
  <si>
    <t>Delivery</t>
  </si>
  <si>
    <t>10% members</t>
  </si>
  <si>
    <t>10% of Waiu customers will choose delivery</t>
  </si>
  <si>
    <t>setoff</t>
  </si>
  <si>
    <t>Profit</t>
  </si>
  <si>
    <t>Sale value ₹30000</t>
  </si>
  <si>
    <t>Transactions per month per FL3</t>
  </si>
  <si>
    <t>6% cashback for partner bank's customers
5% cashback for all other customers</t>
  </si>
  <si>
    <t>Month</t>
  </si>
  <si>
    <t>FL3 Count</t>
  </si>
  <si>
    <t>Starting FL3 count</t>
  </si>
  <si>
    <t>Pay Later</t>
  </si>
  <si>
    <t>0.11% bank customers</t>
  </si>
  <si>
    <t>Use credit card trend from Amex, dhurandar</t>
  </si>
  <si>
    <t>10 FL3 added per month in each location</t>
  </si>
  <si>
    <t xml:space="preserve">Sale value per ticket per month </t>
  </si>
  <si>
    <t>Total sale value 20Lacs per Location; 1.4Cr 7 Location</t>
  </si>
  <si>
    <t>And so on…</t>
  </si>
  <si>
    <t>Bank share</t>
  </si>
  <si>
    <t>6% cashback for partner bank
5% cashback for all other customers</t>
  </si>
  <si>
    <t>FreeSpirit Profit</t>
  </si>
  <si>
    <t>Broadcast</t>
  </si>
  <si>
    <t>10% of partners</t>
  </si>
  <si>
    <t>done</t>
  </si>
  <si>
    <t>20k Per Merchant Per Month</t>
  </si>
  <si>
    <t>Total Earning Per FL3 Per Month</t>
  </si>
  <si>
    <t>Average Earning - ₹170 per transaction</t>
  </si>
  <si>
    <t>Wave 1 Target - 1st month</t>
  </si>
  <si>
    <t>Earning per month at the end of 1st month</t>
  </si>
  <si>
    <t>100 FL3 All Location; 1,00,000 FL4 All Cities</t>
  </si>
  <si>
    <t>Wave 1 Target - 2nd month</t>
  </si>
  <si>
    <t>Earning per month at the end of 2nd month</t>
  </si>
  <si>
    <t>20 FL3 Per Location; 200 FL3 All Location 
20,000 FL4 Per City; 2,00,000 FL4 All Cities</t>
  </si>
  <si>
    <t>Wave 1 Target - 3rd month</t>
  </si>
  <si>
    <t>Earning per month at the end of 3rd month</t>
  </si>
  <si>
    <t>30 FL3 Per Location; 300 FL3 All Location 
30,000 FL4 Per City; 3,00,000 FL4 All Cities</t>
  </si>
  <si>
    <t>Wave 1 Target - 4th month</t>
  </si>
  <si>
    <t>Earning per month at the end of 4th month</t>
  </si>
  <si>
    <t>40 FL3 Per Location; 400 FL3 All Location 
40,000 FL4 Per City; 4,00,000 FL4 All Cities</t>
  </si>
  <si>
    <t>Total national FL3 count at end of year 1</t>
  </si>
  <si>
    <t>Wave 1 Target - 5th month</t>
  </si>
  <si>
    <t>Earning per month at the end of 5th month</t>
  </si>
  <si>
    <t>50 FL3 Per Location; 500 FL3 All Location 
50,000 FL4 Per City; 5,00,000 FL4 All Cities</t>
  </si>
  <si>
    <t>Total count of transactions at end of year 1 - Only Resto customer</t>
  </si>
  <si>
    <t>Wave 1 Target - First 6 months</t>
  </si>
  <si>
    <r>
      <t xml:space="preserve">Earning per month at 6 months i.e. </t>
    </r>
    <r>
      <rPr>
        <b/>
        <sz val="11"/>
        <color theme="1"/>
        <rFont val="Calibri"/>
        <family val="2"/>
        <scheme val="minor"/>
      </rPr>
      <t>Phase 1</t>
    </r>
  </si>
  <si>
    <t>600 FL3 All Location; 6,00,000 FL4 All Cities</t>
  </si>
  <si>
    <t>Total count of transactions at end of year 1 - Resto &amp; Waiu customers</t>
  </si>
  <si>
    <t xml:space="preserve">After 2nd Wave </t>
  </si>
  <si>
    <r>
      <t xml:space="preserve">Earning per month at 1 year i.e. </t>
    </r>
    <r>
      <rPr>
        <b/>
        <sz val="11"/>
        <color theme="1"/>
        <rFont val="Calibri"/>
        <family val="2"/>
        <scheme val="minor"/>
      </rPr>
      <t>Phase 2</t>
    </r>
  </si>
  <si>
    <t>1200 FL3 All Location; 12,00,000 FL4 All Cities</t>
  </si>
  <si>
    <t>Billdesk costs at end of year 1</t>
  </si>
  <si>
    <t xml:space="preserve">After 4th Wave </t>
  </si>
  <si>
    <r>
      <t xml:space="preserve">Earning per month at 2 years i.e. </t>
    </r>
    <r>
      <rPr>
        <b/>
        <sz val="11"/>
        <color theme="1"/>
        <rFont val="Calibri"/>
        <family val="2"/>
        <scheme val="minor"/>
      </rPr>
      <t>Phase 4</t>
    </r>
  </si>
  <si>
    <t>2400 FL3 All Location; 24,00,000 FL4 All Cities</t>
  </si>
  <si>
    <t>Total customers signed up</t>
  </si>
  <si>
    <t xml:space="preserve">After 6th Wave </t>
  </si>
  <si>
    <t>Earning per month at 3 years i.e. Phase 6</t>
  </si>
  <si>
    <t>3600 FL3 All Location 36,00,000 FL4 All Cities</t>
  </si>
  <si>
    <t>End of D1</t>
  </si>
  <si>
    <t>End of M1</t>
  </si>
  <si>
    <t>End of M2</t>
  </si>
  <si>
    <t>End of M3</t>
  </si>
  <si>
    <t>Merchant count</t>
  </si>
  <si>
    <t>Customer count</t>
  </si>
  <si>
    <t>Merchant (30 merchants signed during pre-launch)</t>
  </si>
  <si>
    <t>Transaction count</t>
  </si>
  <si>
    <t>M5</t>
  </si>
  <si>
    <t>M6</t>
  </si>
  <si>
    <t>M7</t>
  </si>
  <si>
    <t>M8</t>
  </si>
  <si>
    <t>M9</t>
  </si>
  <si>
    <t>M10</t>
  </si>
  <si>
    <t>M11</t>
  </si>
  <si>
    <t>M12</t>
  </si>
  <si>
    <t>M4</t>
  </si>
  <si>
    <t>GOA CONS</t>
  </si>
  <si>
    <t>GOA PROS</t>
  </si>
  <si>
    <t>Low liquor price</t>
  </si>
  <si>
    <t>no cosmos</t>
  </si>
  <si>
    <t>no magma</t>
  </si>
  <si>
    <t>Small state</t>
  </si>
  <si>
    <t>less merchants in selection criteria</t>
  </si>
  <si>
    <t>Open minded state</t>
  </si>
  <si>
    <t>Word of mouth publicity</t>
  </si>
  <si>
    <t>Annual Delay Fees % (Market Avg is 3-4% monthly)</t>
  </si>
  <si>
    <t>Revolve factor</t>
  </si>
  <si>
    <t>Lent funds to cycle 2.5 time in a given year</t>
  </si>
  <si>
    <t>35L</t>
  </si>
  <si>
    <t>11.7L</t>
  </si>
  <si>
    <t>Why 16? Under market trend</t>
  </si>
  <si>
    <t>Average credit value</t>
  </si>
  <si>
    <t>???</t>
  </si>
  <si>
    <t>Share of consumers with delayed payments (Mkt Avg: 15-20%)</t>
  </si>
  <si>
    <t>Monthly Delay Fees % (Market Avg is 3-4% monthly)</t>
  </si>
  <si>
    <t>Why 20? Under market trend of 30-40%</t>
  </si>
  <si>
    <t>Monthly late payment fee</t>
  </si>
  <si>
    <t>Interest free full payment period, EMI charge extra</t>
  </si>
  <si>
    <t>Processing Fee</t>
  </si>
  <si>
    <t>why 12 times if revolution is just 2.5?</t>
  </si>
  <si>
    <t>this is virtual</t>
  </si>
  <si>
    <t>Rotation is the key here, now marked at 2.5 times</t>
  </si>
  <si>
    <t>per month &amp; year with cycle 2.5</t>
  </si>
  <si>
    <t>So actual money in market becomes 2.4cr + 3.1CR delinquency</t>
  </si>
  <si>
    <t>Fee for 2 months</t>
  </si>
  <si>
    <t>When to writeoff? Retain charges for late payers?</t>
  </si>
  <si>
    <t>Retained processing free from late payers (included defaulters)</t>
  </si>
  <si>
    <t>Bank partner</t>
  </si>
  <si>
    <t>9-15</t>
  </si>
  <si>
    <t>Interest Free Period (Months)</t>
  </si>
  <si>
    <t>Redeemable Processing Fee</t>
  </si>
  <si>
    <t>Share of consumers with delayed payments</t>
  </si>
  <si>
    <t>Average Delay (Months)</t>
  </si>
  <si>
    <t>Monthly Delay Fees</t>
  </si>
  <si>
    <t>Total late charges</t>
  </si>
  <si>
    <t>18L</t>
  </si>
  <si>
    <t>Retained Processing Fee</t>
  </si>
  <si>
    <t>Total earning per cycle</t>
  </si>
  <si>
    <t>48L</t>
  </si>
  <si>
    <t>Merchant Discount Revenue (15%)</t>
  </si>
  <si>
    <t>4.6CR</t>
  </si>
  <si>
    <t>MFI/NBFC Share of DR (1/3)</t>
  </si>
  <si>
    <t>Total MFI/NBFC Earning per cycle</t>
  </si>
  <si>
    <t>1.53CR</t>
  </si>
  <si>
    <t>5CR</t>
  </si>
  <si>
    <t>By policy but will always be higher due to the credit score</t>
  </si>
  <si>
    <t>Clique Revenue Stream - Per City (Sample Set - Pune)</t>
  </si>
  <si>
    <t>Year 1 - Potential customer acquision in 1 City</t>
  </si>
  <si>
    <t>Average industry credit term is between 2.6-4.2%</t>
  </si>
  <si>
    <t>Business policy to help overcome competition</t>
  </si>
  <si>
    <t>Average credit line per customer</t>
  </si>
  <si>
    <t>Market trend, after which most funds will be recovered or written off</t>
  </si>
  <si>
    <t>Below market standards and redeemable upon credit rotation</t>
  </si>
  <si>
    <t>Drive actuals as opposed to virtual credits</t>
  </si>
  <si>
    <t>Recovery via Interests</t>
  </si>
  <si>
    <t>Recovery via late fees</t>
  </si>
  <si>
    <t>Recovery via late payers &amp; defaulters</t>
  </si>
  <si>
    <t>Per city per cycle</t>
  </si>
  <si>
    <t>Based on 31CR circulation</t>
  </si>
  <si>
    <t>Remaining to be shared betwee Clique, payment gateways &amp; cashbacks</t>
  </si>
  <si>
    <t>Combining Clique fees &amp; DR returns</t>
  </si>
  <si>
    <t>To match market curve, considering 10% delinquency</t>
  </si>
  <si>
    <t>Total MFI earning for 2.5 cycles (Guestimated over a year)</t>
  </si>
  <si>
    <t>36.2CR</t>
  </si>
  <si>
    <t>Unique new consumers for Year 1</t>
  </si>
  <si>
    <t>Based on a conservative 5% active MFI customers only</t>
  </si>
  <si>
    <t>44CR</t>
  </si>
  <si>
    <t>8CR</t>
  </si>
  <si>
    <t>47.6L</t>
  </si>
  <si>
    <t>3.4CR</t>
  </si>
  <si>
    <t>Total MFI/NBFC Revenue at Y1</t>
  </si>
  <si>
    <t>Total MFI/NBFC Clique revenue after Y1</t>
  </si>
  <si>
    <t>Combining all products</t>
  </si>
  <si>
    <t>Values to &gt;16% returns</t>
  </si>
  <si>
    <t>13.5CR</t>
  </si>
  <si>
    <t>‹</t>
  </si>
  <si>
    <t>7.8CR</t>
  </si>
  <si>
    <t>2.5L</t>
  </si>
  <si>
    <t>9L</t>
  </si>
  <si>
    <t>21.5L</t>
  </si>
  <si>
    <t>1.2CR</t>
  </si>
  <si>
    <t>58.5CR</t>
  </si>
  <si>
    <t>15L</t>
  </si>
  <si>
    <t>23L</t>
  </si>
  <si>
    <t>28L</t>
  </si>
  <si>
    <t>66L</t>
  </si>
  <si>
    <t>8.77CR</t>
  </si>
  <si>
    <t>67.5CR</t>
  </si>
  <si>
    <t>28.5L</t>
  </si>
  <si>
    <t>1.25CR</t>
  </si>
  <si>
    <t>9.05CR</t>
  </si>
  <si>
    <t>9.35CR</t>
  </si>
  <si>
    <t>3.74CR</t>
  </si>
  <si>
    <t>3.08CR</t>
  </si>
  <si>
    <t>Year 1</t>
  </si>
  <si>
    <t>Year 2</t>
  </si>
  <si>
    <t>Year 3</t>
  </si>
  <si>
    <t>Potential target customer in 1 City</t>
  </si>
  <si>
    <t>Based on aggregation model, de-duped across acquisition channels</t>
  </si>
  <si>
    <t>Yearly increase in conversion quotient from 2.5% to 7.5% in 3 years</t>
  </si>
  <si>
    <t>By policy &amp; following increasing trend due to maturity</t>
  </si>
  <si>
    <t>Reduing trend due to maturity</t>
  </si>
  <si>
    <t>Recovery via late payers &amp; defaulters. Redemption upon payments over credit line</t>
  </si>
  <si>
    <t>Total MFI/NBFC Clique revenue at EOY</t>
  </si>
  <si>
    <t>MFI/NBFC Share of DR</t>
  </si>
  <si>
    <t>Maintain 16% returns YoY</t>
  </si>
  <si>
    <t>Revolve target to meet market curve, considering 10% delinquency</t>
  </si>
  <si>
    <t>Combining Clique earnings &amp; DR returns</t>
  </si>
  <si>
    <t>MFI/NBFC share to evolve from 24% at the outset &amp; stablize at 35% to meet returns</t>
  </si>
  <si>
    <t>Policy decision to retain 15% DR</t>
  </si>
  <si>
    <t>Assumed total interest</t>
  </si>
  <si>
    <t>2% Monthly</t>
  </si>
  <si>
    <t>Average transaction value</t>
  </si>
  <si>
    <t>Average wallet credit</t>
  </si>
  <si>
    <t>Particular</t>
  </si>
  <si>
    <t>Value</t>
  </si>
  <si>
    <t>Virtual credit with range 5k to 30k</t>
  </si>
  <si>
    <t>Average delayed payment percentage</t>
  </si>
  <si>
    <t>1.7% of city potential of 6L customers</t>
  </si>
  <si>
    <t>Total customers per city for 1 cycle</t>
  </si>
  <si>
    <t>credit book</t>
  </si>
  <si>
    <t>Total actual money disbursed used</t>
  </si>
  <si>
    <t>1.25Cr</t>
  </si>
  <si>
    <t>Interest value per transaction at 45 days</t>
  </si>
  <si>
    <t>Total interest</t>
  </si>
  <si>
    <t>3.75L</t>
  </si>
  <si>
    <t>Delay fees per day</t>
  </si>
  <si>
    <t>Rupees</t>
  </si>
  <si>
    <t>Percent</t>
  </si>
  <si>
    <t>Average delay period</t>
  </si>
  <si>
    <t>Days</t>
  </si>
  <si>
    <t>Collected in 60 days due to 15 day delay</t>
  </si>
  <si>
    <t>Annual interest</t>
  </si>
  <si>
    <t>30.5L</t>
  </si>
  <si>
    <t>Per location, comes as 8 cycles</t>
  </si>
  <si>
    <t>Delay charges per cycle</t>
  </si>
  <si>
    <t>True loan book</t>
  </si>
  <si>
    <t>Annual delay charges</t>
  </si>
  <si>
    <t>15% over per cycle</t>
  </si>
  <si>
    <t>1.5CR</t>
  </si>
  <si>
    <t>8 cycles for the year</t>
  </si>
  <si>
    <t>Clique earning per cycle</t>
  </si>
  <si>
    <t>Clique annual revenue per city</t>
  </si>
  <si>
    <t>2.5CR</t>
  </si>
  <si>
    <t>Platform Fee</t>
  </si>
  <si>
    <t>NBFC Customer</t>
  </si>
  <si>
    <t>Clique Customer</t>
  </si>
  <si>
    <t>1st Cibil Fee</t>
  </si>
  <si>
    <t>Bureau costs</t>
  </si>
  <si>
    <t>Weighted Average</t>
  </si>
  <si>
    <t>2% PM for 45 days</t>
  </si>
  <si>
    <t xml:space="preserve">Clique revenue per transaction </t>
  </si>
  <si>
    <t>For 5k customers</t>
  </si>
  <si>
    <t>9:1 ratio of customer onboarding</t>
  </si>
  <si>
    <t>Full verification for new customer</t>
  </si>
  <si>
    <t>Half of delay fees</t>
  </si>
  <si>
    <t>Average</t>
  </si>
  <si>
    <t xml:space="preserve">Reducing until stable at </t>
  </si>
  <si>
    <t>5th Cibil fee</t>
  </si>
  <si>
    <t>2/3/4 Cibil Fee</t>
  </si>
  <si>
    <t>No need to repeat for loyal cust</t>
  </si>
  <si>
    <t>Scrub cost</t>
  </si>
  <si>
    <r>
      <t xml:space="preserve">Alok: Should be shared with clique </t>
    </r>
    <r>
      <rPr>
        <b/>
        <i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
Affected in overall financials</t>
    </r>
  </si>
  <si>
    <t>Conservative - APC of 1250 &amp; 2 people table</t>
  </si>
  <si>
    <t>Collection costs</t>
  </si>
  <si>
    <t>Need more information here</t>
  </si>
  <si>
    <t>Revenue Sharing Model</t>
  </si>
  <si>
    <t>Probably fair to assume 1-1.5% credit costs</t>
  </si>
  <si>
    <t xml:space="preserve">Annual delay charges @20% </t>
  </si>
  <si>
    <t>Reducing trend, so assume 100</t>
  </si>
  <si>
    <t>Clique expense</t>
  </si>
  <si>
    <t xml:space="preserve">PG, infra, salary, promo, app, </t>
  </si>
  <si>
    <t>Loyal customer for a year</t>
  </si>
  <si>
    <t>Reducing trend, so assume 40</t>
  </si>
  <si>
    <t>Much less than delay fee</t>
  </si>
  <si>
    <t>Assumed total interest for lender</t>
  </si>
  <si>
    <t>Total actual money disbursed by lender</t>
  </si>
  <si>
    <t>Can be managed within the delay pool</t>
  </si>
  <si>
    <t>Delay fees per day (Rs)</t>
  </si>
  <si>
    <t>Average delay period in days</t>
  </si>
  <si>
    <t>Conservative, assumes its paid in 2 weeks</t>
  </si>
  <si>
    <t>2% PM i.e entire interest paid even upon delays</t>
  </si>
  <si>
    <t>Total interest per cycle</t>
  </si>
  <si>
    <t>Annual interest over 365 days</t>
  </si>
  <si>
    <t>Average delayed pool %</t>
  </si>
  <si>
    <t>Conservative - Industry trend is 25-45%</t>
  </si>
  <si>
    <t>@15% average</t>
  </si>
  <si>
    <t>Notes:</t>
  </si>
  <si>
    <t>No processing fees</t>
  </si>
  <si>
    <t>No interest when paid on time</t>
  </si>
  <si>
    <t>Wallet credit upon partial payment not considered in the calculations, which is additional revenue source.</t>
  </si>
  <si>
    <t>Qs</t>
  </si>
  <si>
    <t>Cash collateral for delayed payments or writeoffs?</t>
  </si>
  <si>
    <t>Clique to do initial assessments &amp; rejects</t>
  </si>
  <si>
    <t>Clique KYC costs</t>
  </si>
  <si>
    <t>CAC</t>
  </si>
  <si>
    <t>mail, SM, online postings</t>
  </si>
  <si>
    <t>Office</t>
  </si>
  <si>
    <t>Salaries</t>
  </si>
  <si>
    <t>Maintenance</t>
  </si>
  <si>
    <t>Contingency</t>
  </si>
  <si>
    <t>Management</t>
  </si>
  <si>
    <t>App</t>
  </si>
  <si>
    <t>Legal &amp; Accounting</t>
  </si>
  <si>
    <t>Travel</t>
  </si>
  <si>
    <t>Training</t>
  </si>
  <si>
    <t>Recruiting</t>
  </si>
  <si>
    <t>Marketing (Online/Offline)</t>
  </si>
  <si>
    <t>Working Capital</t>
  </si>
  <si>
    <t>Supplies</t>
  </si>
  <si>
    <t>KYC</t>
  </si>
  <si>
    <t>Weighted Average Rs.</t>
  </si>
  <si>
    <t>Cash Collateral</t>
  </si>
  <si>
    <t>Computers, Phone</t>
  </si>
  <si>
    <t>Buffer period expenses</t>
  </si>
  <si>
    <t>Expense entry</t>
  </si>
  <si>
    <t>Discount Revenue Percentage</t>
  </si>
  <si>
    <t>Collected in 60 days due to 14 day delay</t>
  </si>
  <si>
    <t>NPA &amp; Collection costs</t>
  </si>
  <si>
    <t>Delinquency %</t>
  </si>
  <si>
    <t>Expected Interest</t>
  </si>
  <si>
    <t>This is nullified by DR sharing</t>
  </si>
  <si>
    <t>Average per cust per trans</t>
  </si>
  <si>
    <t>Average bill</t>
  </si>
  <si>
    <t>Subvention</t>
  </si>
  <si>
    <t>ROI</t>
  </si>
  <si>
    <t>Lender</t>
  </si>
  <si>
    <t>Clique</t>
  </si>
  <si>
    <t>MKTG</t>
  </si>
  <si>
    <t>OPERATION</t>
  </si>
  <si>
    <t>Promotional event</t>
  </si>
  <si>
    <t>PROCESSING COST/LOAN</t>
  </si>
  <si>
    <t>CREDIT COST</t>
  </si>
  <si>
    <t>5-7.5% liability coverage by Clique, anything on top of it to be covered by lender</t>
  </si>
  <si>
    <t>Virtual only</t>
  </si>
  <si>
    <t>Credit book</t>
  </si>
  <si>
    <t>Actuals</t>
  </si>
  <si>
    <t>Funds disbursed</t>
  </si>
  <si>
    <t>Per cycle</t>
  </si>
  <si>
    <t xml:space="preserve">Delay charges </t>
  </si>
  <si>
    <t>Per location, per year</t>
  </si>
  <si>
    <t>Financials</t>
  </si>
  <si>
    <t>Annual</t>
  </si>
  <si>
    <t>Total Annual earning per city</t>
  </si>
  <si>
    <t>Key Assumptions</t>
  </si>
  <si>
    <t>0.8% of city potential of 6L customers</t>
  </si>
  <si>
    <t>Credit costs (Default &amp; NPA) to be covered upto 5% by Clique</t>
  </si>
  <si>
    <t>No processing fees to be applied to customers</t>
  </si>
  <si>
    <t>On same credit book (Over 50% returns)</t>
  </si>
  <si>
    <t>Average delay pool</t>
  </si>
  <si>
    <t xml:space="preserve">Customer wallet to be credited by EMI amount once EMI is paid. </t>
  </si>
  <si>
    <t>NBFC return per transaction</t>
  </si>
  <si>
    <t>Total returns per cycle</t>
  </si>
  <si>
    <t>Annual returns</t>
  </si>
  <si>
    <t>Delay fee to be entirely managed &amp; owned by lender</t>
  </si>
  <si>
    <t>Total customers per city per cycle</t>
  </si>
  <si>
    <t>Conservative</t>
  </si>
  <si>
    <t>APC 1250</t>
  </si>
  <si>
    <t>Process design to be open for onboarding multiple lender in future</t>
  </si>
  <si>
    <t>Rotation of partial credits to be allowed &amp; managed as BAU</t>
  </si>
  <si>
    <t>An overall conservative model is assumed for reference purposes</t>
  </si>
  <si>
    <t>Zero interest payments in 3 installments at 45, 60 &amp; 75 days</t>
  </si>
  <si>
    <t>Delay charges applied at Rs 10/day, to a maximum of 45 days</t>
  </si>
  <si>
    <t>Bureau &amp; payment gateway costs are built into return</t>
  </si>
  <si>
    <t>Initial customer screening to be done by Clique</t>
  </si>
  <si>
    <t>Reducing trend, so assume 15</t>
  </si>
  <si>
    <t>M1</t>
  </si>
  <si>
    <t>M2</t>
  </si>
  <si>
    <t>M3</t>
  </si>
  <si>
    <t>Y2</t>
  </si>
  <si>
    <t>Y3</t>
  </si>
  <si>
    <t>M18</t>
  </si>
  <si>
    <t>Annual Delay Charges</t>
  </si>
  <si>
    <t>Per Cycle Financial Forecast</t>
  </si>
  <si>
    <t>Revenue Sharing Model - End of Year 1 Financials</t>
  </si>
  <si>
    <t>Merchant acquisition</t>
  </si>
  <si>
    <t>Clique Earning Per Cycle</t>
  </si>
  <si>
    <t>Annual Lender's Earnings</t>
  </si>
  <si>
    <t>Clique Share (Weighted Mean)</t>
  </si>
  <si>
    <t>Independent Operation Model - End of Year 1 Financials</t>
  </si>
  <si>
    <t>Based on financer's operational model</t>
  </si>
  <si>
    <t>Clique Revenue</t>
  </si>
  <si>
    <t>To be collected from Merchants</t>
  </si>
  <si>
    <t>10-18%</t>
  </si>
  <si>
    <t>Customer wallet credit to be calculated based on credit score</t>
  </si>
  <si>
    <t>Entire customer screening to be done by Lender</t>
  </si>
  <si>
    <t>Interest model to be defined by lender, in alignment with Clique</t>
  </si>
  <si>
    <t>24% Interest (APR)</t>
  </si>
  <si>
    <t>Clique Earning Per Annum</t>
  </si>
  <si>
    <t>Delay Fees Per Day (Rs)</t>
  </si>
  <si>
    <t>Average Delay Pool</t>
  </si>
  <si>
    <t>Average Delay Period in Days</t>
  </si>
  <si>
    <t>Annual Returns</t>
  </si>
  <si>
    <t>Total Returns Per Cycle</t>
  </si>
  <si>
    <t>NBFC Return Per Transaction</t>
  </si>
  <si>
    <t>Funds Disbursed</t>
  </si>
  <si>
    <t>Average Transaction Value</t>
  </si>
  <si>
    <t>Assumed Total Interest For Lender</t>
  </si>
  <si>
    <t>Credit Book</t>
  </si>
  <si>
    <t>Total Customers Per City Per Cycle</t>
  </si>
  <si>
    <t>Average Wallet Credit</t>
  </si>
  <si>
    <t>Delay Charges Per Cycle</t>
  </si>
  <si>
    <t>Staff Lending</t>
  </si>
  <si>
    <t>Restaurant Count</t>
  </si>
  <si>
    <t>Avg staff count</t>
  </si>
  <si>
    <t>Total Staff count</t>
  </si>
  <si>
    <t>Percent of staff taking loan</t>
  </si>
  <si>
    <t>Count of staff taking loan</t>
  </si>
  <si>
    <t>Avg Loan value</t>
  </si>
  <si>
    <t>Total loan book</t>
  </si>
  <si>
    <t>Lender's earning</t>
  </si>
  <si>
    <t>lender's Interest</t>
  </si>
  <si>
    <t>Clique commission</t>
  </si>
  <si>
    <t>Clique commission value</t>
  </si>
  <si>
    <t>Staff Loan Count</t>
  </si>
  <si>
    <t>M13</t>
  </si>
  <si>
    <t>M14</t>
  </si>
  <si>
    <t>M15</t>
  </si>
  <si>
    <t>M16</t>
  </si>
  <si>
    <t>M17</t>
  </si>
  <si>
    <t>M19</t>
  </si>
  <si>
    <t>M20</t>
  </si>
  <si>
    <t>M21</t>
  </si>
  <si>
    <t>M22</t>
  </si>
  <si>
    <t>M23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</si>
  <si>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</si>
  <si>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</si>
  <si>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</si>
  <si>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</si>
  <si>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</si>
  <si>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</si>
  <si>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</si>
  <si>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</si>
  <si>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</si>
  <si>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</si>
  <si>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</si>
  <si>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Y4</t>
  </si>
  <si>
    <t>Y5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</si>
  <si>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</si>
  <si>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</si>
  <si>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</si>
  <si>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</si>
  <si>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</si>
  <si>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</si>
  <si>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</si>
  <si>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</si>
  <si>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</si>
  <si>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</si>
  <si>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</si>
  <si>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</si>
  <si>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</si>
  <si>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</si>
  <si>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</si>
  <si>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</si>
  <si>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</si>
  <si>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</si>
  <si>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</si>
  <si>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</si>
  <si>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</si>
  <si>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</si>
  <si>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Clique Cumulative Net Earning</t>
  </si>
  <si>
    <t>Total Cities</t>
  </si>
  <si>
    <t>Cumulative</t>
  </si>
  <si>
    <t>Base city</t>
  </si>
  <si>
    <t>Total across 7 cities</t>
  </si>
  <si>
    <t>Calculated values</t>
  </si>
  <si>
    <t>Clique NET Earning of Month</t>
  </si>
  <si>
    <t>36% Interest (APR)</t>
  </si>
  <si>
    <t>Ticket Size Range</t>
  </si>
  <si>
    <t>₹2,500 - 30,000</t>
  </si>
  <si>
    <t>Average Ticket Size</t>
  </si>
  <si>
    <t>45 Days</t>
  </si>
  <si>
    <t>Without Interest</t>
  </si>
  <si>
    <t>Minimum Interest Free Tenure</t>
  </si>
  <si>
    <t xml:space="preserve">Installments </t>
  </si>
  <si>
    <t>First installment</t>
  </si>
  <si>
    <t>Second installment at</t>
  </si>
  <si>
    <t>Third (&amp; Final) installment at</t>
  </si>
  <si>
    <t>59 Days</t>
  </si>
  <si>
    <t>73 Days</t>
  </si>
  <si>
    <t>Within 2 weeks of first installment</t>
  </si>
  <si>
    <t>Within 2 weeks of second installment</t>
  </si>
  <si>
    <t>IRR offerred</t>
  </si>
  <si>
    <t>24-30%</t>
  </si>
  <si>
    <t>Second installment</t>
  </si>
  <si>
    <t>Third installment</t>
  </si>
  <si>
    <t>Daily Delay Fees after this period</t>
  </si>
  <si>
    <t>To be charged starting 13-Feb-22</t>
  </si>
  <si>
    <t>If paid entirely before 15 Jan</t>
  </si>
  <si>
    <t>If paid entirely before 29 Jan</t>
  </si>
  <si>
    <t>If paid entirely before 12 Feb</t>
  </si>
  <si>
    <t>Lender's Subvention - A</t>
  </si>
  <si>
    <t>Lender's Subvention - B</t>
  </si>
  <si>
    <t>Lender's Subvention - C</t>
  </si>
  <si>
    <t>At 14 days interval</t>
  </si>
  <si>
    <t>First installment at</t>
  </si>
  <si>
    <t>Credit Cost Coverage</t>
  </si>
  <si>
    <t>On FLDG basis</t>
  </si>
  <si>
    <t>Assumptions</t>
  </si>
  <si>
    <t>Particulars</t>
  </si>
  <si>
    <t>Credit costs (Default &amp; NPA) to be covered under FLDG process.</t>
  </si>
  <si>
    <t>Rotation / Utilization of partial credits for customer to be allowed &amp; managed as BAU</t>
  </si>
  <si>
    <t>Bureau &amp; payment gateway costs are built into subvention</t>
  </si>
  <si>
    <t>Delay fee to be entirely owned by lender</t>
  </si>
  <si>
    <t>Until API integration is complete, e2e process to run based on Clique transfering customer to Lender's QEC.</t>
  </si>
  <si>
    <t>Sample Transaction Reference</t>
  </si>
  <si>
    <t>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</si>
</sst>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#,##0_);[Red]\(&quot;₹&quot;#,##0\)"/>
    <numFmt numFmtId="8" formatCode="&quot;₹&quot;#,##0.00_);[Red]\(&quot;₹&quot;#,##0.00\)"/>
    <numFmt numFmtId="43" formatCode="_(* #,##0.00_);_(* \(#,##0.00\);_(* &quot;-&quot;??_);_(@_)"/>
    <numFmt numFmtId="164" formatCode="&quot;₹&quot;#,##0;[Red]&quot;₹&quot;#,##0"/>
    <numFmt numFmtId="165" formatCode="#,##0;[Red]#,##0"/>
    <numFmt numFmtId="166" formatCode="&quot;₹&quot;#,##0.00;[Red]&quot;₹&quot;#,##0.00"/>
    <numFmt numFmtId="167" formatCode="[&gt;=10000000]&quot;₹ &quot;##\,##\,##\,##0;[&gt;=100000]&quot;₹ &quot;\ ##\,##\,##0;&quot;  &quot;##,##0"/>
    <numFmt numFmtId="168" formatCode="[&gt;=10000000]&quot;₹ &quot;##\,##\,##\,##0;[&gt;=100000]&quot;₹ &quot;\ ##\,##\,##0;&quot;₹ &quot;##,##0"/>
  </numFmts>
  <fonts count="2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92929"/>
      <name val="Charter"/>
      <family val="1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F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FE01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3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9" fontId="0" fillId="2" borderId="0" xfId="0" applyNumberFormat="1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5" fontId="0" fillId="6" borderId="0" xfId="0" applyNumberFormat="1" applyFill="1"/>
    <xf numFmtId="165" fontId="0" fillId="5" borderId="0" xfId="0" applyNumberFormat="1" applyFill="1"/>
    <xf numFmtId="0" fontId="0" fillId="0" borderId="0" xfId="0" applyFont="1"/>
    <xf numFmtId="0" fontId="2" fillId="4" borderId="0" xfId="0" applyFont="1" applyFill="1"/>
    <xf numFmtId="165" fontId="0" fillId="2" borderId="0" xfId="0" applyNumberFormat="1" applyFill="1"/>
    <xf numFmtId="165" fontId="0" fillId="7" borderId="0" xfId="0" applyNumberFormat="1" applyFill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5" xfId="0" applyBorder="1"/>
    <xf numFmtId="165" fontId="0" fillId="0" borderId="8" xfId="0" applyNumberFormat="1" applyBorder="1" applyAlignment="1">
      <alignment horizontal="center"/>
    </xf>
    <xf numFmtId="166" fontId="0" fillId="0" borderId="0" xfId="0" applyNumberFormat="1"/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2" fillId="0" borderId="0" xfId="0" applyFont="1"/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167" fontId="0" fillId="7" borderId="1" xfId="0" applyNumberFormat="1" applyFill="1" applyBorder="1" applyAlignment="1">
      <alignment horizontal="center" vertical="center" wrapText="1"/>
    </xf>
    <xf numFmtId="167" fontId="0" fillId="7" borderId="3" xfId="0" applyNumberFormat="1" applyFill="1" applyBorder="1" applyAlignment="1">
      <alignment horizontal="center" vertical="center" wrapText="1"/>
    </xf>
    <xf numFmtId="167" fontId="0" fillId="7" borderId="0" xfId="0" applyNumberFormat="1" applyFill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/>
    </xf>
    <xf numFmtId="167" fontId="10" fillId="7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/>
    </xf>
    <xf numFmtId="167" fontId="0" fillId="7" borderId="5" xfId="0" applyNumberFormat="1" applyFill="1" applyBorder="1" applyAlignment="1">
      <alignment horizontal="center" vertical="center" wrapText="1"/>
    </xf>
    <xf numFmtId="167" fontId="0" fillId="7" borderId="6" xfId="0" applyNumberForma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center"/>
    </xf>
    <xf numFmtId="167" fontId="2" fillId="9" borderId="8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168" fontId="0" fillId="2" borderId="1" xfId="0" applyNumberForma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/>
    </xf>
    <xf numFmtId="168" fontId="0" fillId="9" borderId="1" xfId="0" applyNumberFormat="1" applyFill="1" applyBorder="1" applyAlignment="1">
      <alignment horizontal="center" vertical="center" wrapText="1"/>
    </xf>
    <xf numFmtId="168" fontId="0" fillId="9" borderId="1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9" fontId="0" fillId="9" borderId="1" xfId="0" applyNumberFormat="1" applyFill="1" applyBorder="1" applyAlignment="1">
      <alignment horizontal="left" vertical="center"/>
    </xf>
    <xf numFmtId="0" fontId="0" fillId="9" borderId="13" xfId="0" applyFill="1" applyBorder="1" applyAlignment="1">
      <alignment vertical="center"/>
    </xf>
    <xf numFmtId="9" fontId="0" fillId="9" borderId="14" xfId="0" applyNumberFormat="1" applyFill="1" applyBorder="1" applyAlignment="1">
      <alignment horizontal="left" vertical="center"/>
    </xf>
    <xf numFmtId="168" fontId="11" fillId="9" borderId="14" xfId="0" applyNumberFormat="1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167" fontId="13" fillId="7" borderId="17" xfId="0" applyNumberFormat="1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24" xfId="0" applyFill="1" applyBorder="1" applyAlignment="1">
      <alignment horizontal="left" vertical="center"/>
    </xf>
    <xf numFmtId="168" fontId="0" fillId="7" borderId="1" xfId="0" applyNumberForma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 wrapText="1"/>
    </xf>
    <xf numFmtId="0" fontId="0" fillId="7" borderId="7" xfId="0" applyFill="1" applyBorder="1" applyAlignment="1">
      <alignment vertical="center"/>
    </xf>
    <xf numFmtId="9" fontId="0" fillId="7" borderId="1" xfId="0" applyNumberFormat="1" applyFill="1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9" fontId="0" fillId="7" borderId="5" xfId="0" applyNumberFormat="1" applyFill="1" applyBorder="1" applyAlignment="1">
      <alignment horizontal="left" vertical="center"/>
    </xf>
    <xf numFmtId="168" fontId="11" fillId="7" borderId="5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167" fontId="0" fillId="9" borderId="17" xfId="0" applyNumberFormat="1" applyFill="1" applyBorder="1" applyAlignment="1">
      <alignment horizontal="center" vertical="center" wrapText="1"/>
    </xf>
    <xf numFmtId="0" fontId="0" fillId="9" borderId="18" xfId="0" applyFill="1" applyBorder="1" applyAlignment="1">
      <alignment horizontal="left" vertical="center"/>
    </xf>
    <xf numFmtId="0" fontId="0" fillId="9" borderId="4" xfId="0" applyFill="1" applyBorder="1" applyAlignment="1">
      <alignment vertical="center"/>
    </xf>
    <xf numFmtId="9" fontId="0" fillId="9" borderId="5" xfId="0" applyNumberFormat="1" applyFill="1" applyBorder="1" applyAlignment="1">
      <alignment horizontal="left" vertical="center"/>
    </xf>
    <xf numFmtId="168" fontId="14" fillId="9" borderId="5" xfId="0" applyNumberFormat="1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left" vertical="center"/>
    </xf>
    <xf numFmtId="167" fontId="0" fillId="7" borderId="17" xfId="0" applyNumberForma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10" fillId="7" borderId="18" xfId="0" applyFont="1" applyFill="1" applyBorder="1" applyAlignment="1">
      <alignment horizontal="left" vertical="center"/>
    </xf>
    <xf numFmtId="168" fontId="10" fillId="7" borderId="1" xfId="0" applyNumberFormat="1" applyFont="1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/>
    </xf>
    <xf numFmtId="9" fontId="0" fillId="7" borderId="14" xfId="0" applyNumberFormat="1" applyFill="1" applyBorder="1" applyAlignment="1">
      <alignment horizontal="left" vertical="center"/>
    </xf>
    <xf numFmtId="168" fontId="14" fillId="7" borderId="14" xfId="0" applyNumberFormat="1" applyFont="1" applyFill="1" applyBorder="1" applyAlignment="1">
      <alignment horizontal="center" vertical="center" wrapText="1"/>
    </xf>
    <xf numFmtId="168" fontId="0" fillId="7" borderId="14" xfId="0" applyNumberForma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left" vertical="center"/>
    </xf>
    <xf numFmtId="168" fontId="0" fillId="0" borderId="0" xfId="0" applyNumberFormat="1"/>
    <xf numFmtId="0" fontId="10" fillId="0" borderId="0" xfId="0" applyFont="1"/>
    <xf numFmtId="0" fontId="0" fillId="7" borderId="5" xfId="0" applyFill="1" applyBorder="1" applyAlignment="1">
      <alignment vertical="center"/>
    </xf>
    <xf numFmtId="168" fontId="0" fillId="7" borderId="5" xfId="0" applyNumberFormat="1" applyFill="1" applyBorder="1" applyAlignment="1">
      <alignment horizontal="center" vertical="center" wrapText="1"/>
    </xf>
    <xf numFmtId="168" fontId="0" fillId="6" borderId="28" xfId="0" applyNumberForma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 wrapText="1"/>
    </xf>
    <xf numFmtId="168" fontId="0" fillId="7" borderId="8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168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10" borderId="1" xfId="0" applyFont="1" applyFill="1" applyBorder="1" applyAlignment="1">
      <alignment horizontal="left" vertical="center" wrapText="1"/>
    </xf>
    <xf numFmtId="168" fontId="13" fillId="10" borderId="1" xfId="0" applyNumberFormat="1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 applyFont="1"/>
    <xf numFmtId="165" fontId="17" fillId="0" borderId="0" xfId="0" applyNumberFormat="1" applyFont="1"/>
    <xf numFmtId="17" fontId="0" fillId="0" borderId="0" xfId="0" applyNumberFormat="1"/>
    <xf numFmtId="17" fontId="0" fillId="0" borderId="0" xfId="0" quotePrefix="1" applyNumberFormat="1" applyFont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3" xfId="0" applyFont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2" xfId="0" applyFont="1" applyBorder="1"/>
    <xf numFmtId="0" fontId="2" fillId="0" borderId="15" xfId="0" applyFont="1" applyBorder="1"/>
    <xf numFmtId="165" fontId="18" fillId="0" borderId="14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3" borderId="10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12" xfId="0" applyFont="1" applyFill="1" applyBorder="1"/>
    <xf numFmtId="0" fontId="17" fillId="0" borderId="14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0" fontId="0" fillId="0" borderId="32" xfId="0" applyNumberFormat="1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0" fontId="20" fillId="0" borderId="32" xfId="0" applyNumberFormat="1" applyFont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35" xfId="0" applyFill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/>
    <xf numFmtId="0" fontId="1" fillId="0" borderId="1" xfId="0" applyFont="1" applyFill="1" applyBorder="1"/>
    <xf numFmtId="0" fontId="0" fillId="14" borderId="0" xfId="0" applyFill="1"/>
    <xf numFmtId="165" fontId="0" fillId="3" borderId="1" xfId="0" applyNumberFormat="1" applyFill="1" applyBorder="1" applyAlignment="1">
      <alignment horizontal="center"/>
    </xf>
    <xf numFmtId="0" fontId="0" fillId="14" borderId="0" xfId="0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0" xfId="0" applyNumberFormat="1"/>
    <xf numFmtId="43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8" fillId="0" borderId="1" xfId="0" applyFont="1" applyBorder="1"/>
    <xf numFmtId="165" fontId="0" fillId="15" borderId="1" xfId="0" applyNumberFormat="1" applyFont="1" applyFill="1" applyBorder="1" applyAlignment="1">
      <alignment horizontal="center"/>
    </xf>
    <xf numFmtId="0" fontId="0" fillId="0" borderId="4" xfId="0" applyBorder="1"/>
    <xf numFmtId="165" fontId="0" fillId="15" borderId="5" xfId="0" applyNumberFormat="1" applyFont="1" applyFill="1" applyBorder="1" applyAlignment="1">
      <alignment horizontal="center"/>
    </xf>
    <xf numFmtId="0" fontId="0" fillId="0" borderId="5" xfId="0" applyBorder="1"/>
    <xf numFmtId="0" fontId="25" fillId="0" borderId="1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35" xfId="0" applyFont="1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15" borderId="1" xfId="0" applyFill="1" applyBorder="1"/>
    <xf numFmtId="0" fontId="0" fillId="7" borderId="1" xfId="0" applyFill="1" applyBorder="1"/>
    <xf numFmtId="1" fontId="0" fillId="0" borderId="1" xfId="0" applyNumberFormat="1" applyBorder="1" applyAlignment="1">
      <alignment horizontal="center"/>
    </xf>
    <xf numFmtId="0" fontId="0" fillId="3" borderId="0" xfId="0" applyFill="1"/>
    <xf numFmtId="0" fontId="26" fillId="0" borderId="1" xfId="0" applyFont="1" applyBorder="1"/>
    <xf numFmtId="0" fontId="2" fillId="0" borderId="17" xfId="0" applyFont="1" applyBorder="1"/>
    <xf numFmtId="9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3" borderId="2" xfId="0" applyFill="1" applyBorder="1"/>
    <xf numFmtId="165" fontId="0" fillId="3" borderId="3" xfId="0" applyNumberFormat="1" applyFill="1" applyBorder="1" applyAlignment="1">
      <alignment horizontal="center"/>
    </xf>
    <xf numFmtId="0" fontId="0" fillId="7" borderId="2" xfId="0" applyFill="1" applyBorder="1"/>
    <xf numFmtId="165" fontId="0" fillId="7" borderId="3" xfId="0" applyNumberFormat="1" applyFill="1" applyBorder="1" applyAlignment="1">
      <alignment horizontal="center"/>
    </xf>
    <xf numFmtId="0" fontId="0" fillId="15" borderId="2" xfId="0" applyFill="1" applyBorder="1"/>
    <xf numFmtId="165" fontId="0" fillId="15" borderId="3" xfId="0" applyNumberFormat="1" applyFill="1" applyBorder="1" applyAlignment="1">
      <alignment horizontal="center"/>
    </xf>
    <xf numFmtId="0" fontId="0" fillId="5" borderId="4" xfId="0" applyFill="1" applyBorder="1"/>
    <xf numFmtId="165" fontId="0" fillId="5" borderId="5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5" borderId="16" xfId="0" applyFill="1" applyBorder="1"/>
    <xf numFmtId="165" fontId="0" fillId="5" borderId="17" xfId="0" applyNumberFormat="1" applyFill="1" applyBorder="1" applyAlignment="1">
      <alignment horizontal="center"/>
    </xf>
    <xf numFmtId="165" fontId="0" fillId="5" borderId="18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8" fontId="0" fillId="0" borderId="0" xfId="0" applyNumberFormat="1"/>
    <xf numFmtId="6" fontId="0" fillId="0" borderId="1" xfId="0" applyNumberFormat="1" applyBorder="1" applyAlignment="1">
      <alignment horizontal="center"/>
    </xf>
    <xf numFmtId="0" fontId="0" fillId="17" borderId="1" xfId="0" applyFill="1" applyBorder="1"/>
    <xf numFmtId="6" fontId="0" fillId="17" borderId="1" xfId="0" applyNumberFormat="1" applyFill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17" borderId="2" xfId="0" applyFill="1" applyBorder="1" applyAlignment="1">
      <alignment horizontal="center"/>
    </xf>
    <xf numFmtId="15" fontId="0" fillId="17" borderId="3" xfId="0" applyNumberFormat="1" applyFill="1" applyBorder="1" applyAlignment="1">
      <alignment horizontal="left"/>
    </xf>
    <xf numFmtId="0" fontId="0" fillId="17" borderId="3" xfId="0" applyFill="1" applyBorder="1"/>
    <xf numFmtId="0" fontId="0" fillId="17" borderId="4" xfId="0" applyFill="1" applyBorder="1" applyAlignment="1">
      <alignment horizontal="center"/>
    </xf>
    <xf numFmtId="0" fontId="0" fillId="17" borderId="5" xfId="0" applyFill="1" applyBorder="1"/>
    <xf numFmtId="6" fontId="0" fillId="17" borderId="5" xfId="0" applyNumberFormat="1" applyFill="1" applyBorder="1" applyAlignment="1">
      <alignment horizontal="center"/>
    </xf>
    <xf numFmtId="0" fontId="0" fillId="17" borderId="6" xfId="0" applyFill="1" applyBorder="1"/>
    <xf numFmtId="0" fontId="0" fillId="0" borderId="7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/>
    <xf numFmtId="6" fontId="0" fillId="17" borderId="8" xfId="0" applyNumberFormat="1" applyFill="1" applyBorder="1" applyAlignment="1">
      <alignment horizontal="center"/>
    </xf>
    <xf numFmtId="15" fontId="0" fillId="17" borderId="9" xfId="0" applyNumberFormat="1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15" xfId="0" applyFill="1" applyBorder="1" applyAlignment="1">
      <alignment horizontal="left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/>
    </xf>
    <xf numFmtId="0" fontId="13" fillId="7" borderId="21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/>
    </xf>
    <xf numFmtId="15" fontId="19" fillId="11" borderId="10" xfId="0" applyNumberFormat="1" applyFont="1" applyFill="1" applyBorder="1" applyAlignment="1">
      <alignment horizontal="center"/>
    </xf>
    <xf numFmtId="15" fontId="19" fillId="11" borderId="11" xfId="0" applyNumberFormat="1" applyFont="1" applyFill="1" applyBorder="1" applyAlignment="1">
      <alignment horizontal="center"/>
    </xf>
    <xf numFmtId="15" fontId="19" fillId="11" borderId="12" xfId="0" applyNumberFormat="1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3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5" fillId="0" borderId="32" xfId="0" applyFont="1" applyBorder="1" applyAlignment="1">
      <alignment horizontal="left"/>
    </xf>
    <xf numFmtId="0" fontId="25" fillId="0" borderId="36" xfId="0" applyFont="1" applyBorder="1" applyAlignment="1">
      <alignment horizontal="left"/>
    </xf>
    <xf numFmtId="0" fontId="25" fillId="0" borderId="37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4" fillId="16" borderId="38" xfId="0" applyFont="1" applyFill="1" applyBorder="1" applyAlignment="1">
      <alignment horizontal="center"/>
    </xf>
    <xf numFmtId="0" fontId="24" fillId="16" borderId="11" xfId="0" applyFont="1" applyFill="1" applyBorder="1" applyAlignment="1">
      <alignment horizontal="center"/>
    </xf>
    <xf numFmtId="0" fontId="24" fillId="16" borderId="12" xfId="0" applyFont="1" applyFill="1" applyBorder="1" applyAlignment="1">
      <alignment horizontal="center"/>
    </xf>
    <xf numFmtId="0" fontId="25" fillId="0" borderId="8" xfId="0" applyFont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23" fillId="14" borderId="10" xfId="0" applyFont="1" applyFill="1" applyBorder="1" applyAlignment="1">
      <alignment horizontal="center"/>
    </xf>
    <xf numFmtId="0" fontId="23" fillId="14" borderId="11" xfId="0" applyFont="1" applyFill="1" applyBorder="1" applyAlignment="1">
      <alignment horizontal="center"/>
    </xf>
    <xf numFmtId="0" fontId="23" fillId="14" borderId="12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left"/>
    </xf>
    <xf numFmtId="0" fontId="25" fillId="0" borderId="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0" fillId="13" borderId="40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24" fillId="16" borderId="43" xfId="0" applyFont="1" applyFill="1" applyBorder="1" applyAlignment="1">
      <alignment horizontal="center"/>
    </xf>
    <xf numFmtId="0" fontId="24" fillId="16" borderId="41" xfId="0" applyFont="1" applyFill="1" applyBorder="1" applyAlignment="1">
      <alignment horizontal="center"/>
    </xf>
    <xf numFmtId="0" fontId="24" fillId="16" borderId="42" xfId="0" applyFont="1" applyFill="1" applyBorder="1" applyAlignment="1">
      <alignment horizontal="center"/>
    </xf>
    <xf numFmtId="0" fontId="25" fillId="0" borderId="17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3" fillId="14" borderId="16" xfId="0" applyFont="1" applyFill="1" applyBorder="1" applyAlignment="1">
      <alignment horizontal="center"/>
    </xf>
    <xf numFmtId="0" fontId="23" fillId="14" borderId="17" xfId="0" applyFont="1" applyFill="1" applyBorder="1" applyAlignment="1">
      <alignment horizontal="center"/>
    </xf>
    <xf numFmtId="0" fontId="23" fillId="14" borderId="18" xfId="0" applyFont="1" applyFill="1" applyBorder="1" applyAlignment="1">
      <alignment horizontal="center"/>
    </xf>
    <xf numFmtId="0" fontId="23" fillId="14" borderId="0" xfId="0" applyFont="1" applyFill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ok Sambuddha" id="{8101B05B-2CBD-F146-97F7-94319B7B32EB}" userId="S::alok.sambuddha1@aexp.com::d88f7542-2bc4-4ac8-b320-9b35e471aa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10-02T16:36:54.72" personId="{8101B05B-2CBD-F146-97F7-94319B7B32EB}" id="{987E812B-70E8-CF44-917E-281A2E915538}">
    <text>Conversion rate is higher due to dineout promotes eating out</text>
  </threadedComment>
  <threadedComment ref="D2" dT="2021-10-02T16:01:15.45" personId="{8101B05B-2CBD-F146-97F7-94319B7B32EB}" id="{8B7A6FEF-D285-0A4A-AD4A-ABA46563F95E}">
    <text>20R per customer with 50% accuracy/data correctness/active</text>
  </threadedComment>
  <threadedComment ref="C3" dT="2021-10-03T07:57:41.64" personId="{8101B05B-2CBD-F146-97F7-94319B7B32EB}" id="{8F03D8EF-44BD-894A-B33A-13DF03AEC025}">
    <text>12%</text>
  </threadedComment>
  <threadedComment ref="C4" dT="2021-10-03T07:58:10.11" personId="{8101B05B-2CBD-F146-97F7-94319B7B32EB}" id="{DB6B20E7-0064-C546-A98E-E9D432D0DCB3}">
    <text>13%</text>
  </threadedComment>
  <threadedComment ref="B5" dT="2021-10-02T15:25:58.59" personId="{8101B05B-2CBD-F146-97F7-94319B7B32EB}" id="{42F39EC5-D23E-BD43-9FF8-091654F1148D}">
    <text>550 potential FL3 merchants but there could be more non-FL3</text>
  </threadedComment>
  <threadedComment ref="C5" dT="2021-10-02T15:25:58.59" personId="{8101B05B-2CBD-F146-97F7-94319B7B32EB}" id="{E2FD00ED-1163-7547-90AA-3E05AEA01E83}">
    <text xml:space="preserve">50 restaurants during buffer &amp; then monthly 10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1-10-17T17:15:15.55" personId="{8101B05B-2CBD-F146-97F7-94319B7B32EB}" id="{FB95B5ED-4549-1E4B-A661-9D3A0607C59D}">
    <text>Conversion rate - 2.5%</text>
  </threadedComment>
  <threadedComment ref="C4" dT="2021-10-17T17:15:25.10" personId="{8101B05B-2CBD-F146-97F7-94319B7B32EB}" id="{86D43A48-EF6E-D04D-A958-6F9040E907D9}">
    <text>Conversion rate - 5%</text>
  </threadedComment>
  <threadedComment ref="D4" dT="2021-10-17T17:15:33.07" personId="{8101B05B-2CBD-F146-97F7-94319B7B32EB}" id="{02982BE1-DCD6-D44F-A882-D223480361D1}">
    <text>Conversion rate - 7.5%</text>
  </threadedComment>
  <threadedComment ref="D5" dT="2021-10-17T17:16:07.34" personId="{8101B05B-2CBD-F146-97F7-94319B7B32EB}" id="{3E5C774C-E9D1-964D-9407-EEE4B183EE07}">
    <text>Decreased credit risks through maturity</text>
  </threadedComment>
  <threadedComment ref="D10" dT="2021-10-17T17:14:08.81" personId="{8101B05B-2CBD-F146-97F7-94319B7B32EB}" id="{5D13AA24-695C-014E-A8D4-925C3FCE5120}">
    <text>Recovery increase over time</text>
  </threadedComment>
  <threadedComment ref="B17" dT="2021-10-17T17:12:55.34" personId="{8101B05B-2CBD-F146-97F7-94319B7B32EB}" id="{21279F79-B1F4-E244-AD1F-AB1898DF7105}">
    <text>Core revenue share - 24%</text>
  </threadedComment>
  <threadedComment ref="C17" dT="2021-10-17T17:13:21.22" personId="{8101B05B-2CBD-F146-97F7-94319B7B32EB}" id="{AEAC3282-BA13-924D-8F3F-EE8B4B156478}">
    <text>Core revenue share - 33%</text>
  </threadedComment>
  <threadedComment ref="D17" dT="2021-10-17T17:13:40.11" personId="{8101B05B-2CBD-F146-97F7-94319B7B32EB}" id="{8C60C3F2-1066-374B-B29A-4D39C22D1BFC}">
    <text>Core revenue share - 35%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C080-5029-F443-AC74-8E6B25E9DE9E}">
  <dimension ref="A1:E13"/>
  <sheetViews>
    <sheetView zoomScale="200" zoomScaleNormal="200" workbookViewId="0">
      <selection activeCell="E4" sqref="E4"/>
    </sheetView>
  </sheetViews>
  <sheetFormatPr baseColWidth="10" defaultRowHeight="16"/>
  <cols>
    <col min="1" max="1" width="6" style="1" bestFit="1" customWidth="1"/>
    <col min="2" max="2" width="25.33203125" style="1" bestFit="1" customWidth="1"/>
    <col min="3" max="4" width="14.5" style="1" bestFit="1" customWidth="1"/>
    <col min="5" max="5" width="15.5" style="1" bestFit="1" customWidth="1"/>
    <col min="6" max="16384" width="10.83203125" style="1"/>
  </cols>
  <sheetData>
    <row r="1" spans="1:5">
      <c r="A1" s="3" t="s">
        <v>0</v>
      </c>
      <c r="B1" s="3" t="s">
        <v>1</v>
      </c>
      <c r="C1" s="3" t="s">
        <v>14</v>
      </c>
      <c r="D1" s="3" t="s">
        <v>23</v>
      </c>
      <c r="E1" s="3" t="s">
        <v>24</v>
      </c>
    </row>
    <row r="2" spans="1:5">
      <c r="A2" s="3">
        <v>1</v>
      </c>
      <c r="B2" s="4" t="s">
        <v>25</v>
      </c>
      <c r="C2" s="3" t="s">
        <v>7</v>
      </c>
      <c r="D2" s="3" t="s">
        <v>10</v>
      </c>
      <c r="E2" s="3" t="s">
        <v>13</v>
      </c>
    </row>
    <row r="3" spans="1:5">
      <c r="A3" s="3">
        <v>2</v>
      </c>
      <c r="B3" s="4" t="s">
        <v>4</v>
      </c>
      <c r="C3" s="3" t="s">
        <v>7</v>
      </c>
      <c r="D3" s="3" t="s">
        <v>10</v>
      </c>
      <c r="E3" s="3" t="s">
        <v>13</v>
      </c>
    </row>
    <row r="4" spans="1:5">
      <c r="A4" s="3">
        <v>3</v>
      </c>
      <c r="B4" s="4" t="s">
        <v>2</v>
      </c>
      <c r="C4" s="3" t="s">
        <v>5</v>
      </c>
      <c r="D4" s="3" t="s">
        <v>8</v>
      </c>
      <c r="E4" s="3" t="s">
        <v>11</v>
      </c>
    </row>
    <row r="5" spans="1:5">
      <c r="A5" s="3">
        <v>4</v>
      </c>
      <c r="B5" s="4" t="s">
        <v>3</v>
      </c>
      <c r="C5" s="3" t="s">
        <v>6</v>
      </c>
      <c r="D5" s="3" t="s">
        <v>9</v>
      </c>
      <c r="E5" s="3" t="s">
        <v>12</v>
      </c>
    </row>
    <row r="6" spans="1:5">
      <c r="A6" s="3">
        <v>5</v>
      </c>
      <c r="B6" s="4" t="s">
        <v>15</v>
      </c>
      <c r="C6" s="3" t="s">
        <v>16</v>
      </c>
      <c r="D6" s="3" t="s">
        <v>17</v>
      </c>
      <c r="E6" s="3" t="s">
        <v>21</v>
      </c>
    </row>
    <row r="7" spans="1:5">
      <c r="A7" s="3">
        <v>6</v>
      </c>
      <c r="B7" s="4" t="s">
        <v>18</v>
      </c>
      <c r="C7" s="3">
        <f>5600000*0.005</f>
        <v>28000</v>
      </c>
      <c r="D7" s="3">
        <f>9400000*0.005</f>
        <v>47000</v>
      </c>
      <c r="E7" s="3">
        <f>13200000*0.005</f>
        <v>66000</v>
      </c>
    </row>
    <row r="8" spans="1:5">
      <c r="A8" s="3">
        <v>7</v>
      </c>
      <c r="B8" s="4" t="s">
        <v>19</v>
      </c>
      <c r="C8" s="3">
        <v>3000</v>
      </c>
      <c r="D8" s="3">
        <v>3000</v>
      </c>
      <c r="E8" s="3">
        <v>3000</v>
      </c>
    </row>
    <row r="9" spans="1:5">
      <c r="A9" s="3">
        <v>8</v>
      </c>
      <c r="B9" s="4" t="s">
        <v>20</v>
      </c>
      <c r="C9" s="3">
        <f>C8*C7</f>
        <v>84000000</v>
      </c>
      <c r="D9" s="3">
        <f>D8*D7</f>
        <v>141000000</v>
      </c>
      <c r="E9" s="3">
        <f>E8*E7</f>
        <v>198000000</v>
      </c>
    </row>
    <row r="10" spans="1:5">
      <c r="A10" s="3">
        <v>9</v>
      </c>
      <c r="B10" s="4" t="s">
        <v>22</v>
      </c>
      <c r="C10" s="3">
        <f>C9/5</f>
        <v>16800000</v>
      </c>
      <c r="D10" s="3">
        <f>D9/5</f>
        <v>28200000</v>
      </c>
      <c r="E10" s="3">
        <f>E9/5</f>
        <v>39600000</v>
      </c>
    </row>
    <row r="11" spans="1:5">
      <c r="A11" s="3">
        <v>10</v>
      </c>
      <c r="B11" s="4" t="s">
        <v>28</v>
      </c>
      <c r="C11" s="3">
        <f>C9/20</f>
        <v>4200000</v>
      </c>
      <c r="D11" s="3">
        <f>D9/20</f>
        <v>7050000</v>
      </c>
      <c r="E11" s="3">
        <f>E9/20</f>
        <v>9900000</v>
      </c>
    </row>
    <row r="12" spans="1:5">
      <c r="A12" s="1">
        <v>11</v>
      </c>
      <c r="B12" s="2" t="s">
        <v>26</v>
      </c>
    </row>
    <row r="13" spans="1:5">
      <c r="A13" s="1">
        <v>12</v>
      </c>
      <c r="B1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F79A-EB6E-1D47-B519-AD139CBD47D4}">
  <dimension ref="A1:C20"/>
  <sheetViews>
    <sheetView zoomScale="140" zoomScaleNormal="140" workbookViewId="0">
      <selection activeCell="C13" sqref="C13"/>
    </sheetView>
  </sheetViews>
  <sheetFormatPr baseColWidth="10" defaultRowHeight="16"/>
  <cols>
    <col min="1" max="1" width="38" bestFit="1" customWidth="1"/>
    <col min="2" max="2" width="11" bestFit="1" customWidth="1"/>
  </cols>
  <sheetData>
    <row r="1" spans="1:3">
      <c r="A1" t="s">
        <v>52</v>
      </c>
      <c r="B1" t="s">
        <v>73</v>
      </c>
    </row>
    <row r="2" spans="1:3" ht="21">
      <c r="A2" s="5" t="s">
        <v>35</v>
      </c>
      <c r="B2">
        <v>1.4</v>
      </c>
      <c r="C2" t="s">
        <v>254</v>
      </c>
    </row>
    <row r="3" spans="1:3" ht="21">
      <c r="A3" s="5" t="s">
        <v>29</v>
      </c>
      <c r="B3">
        <v>0.1</v>
      </c>
      <c r="C3" t="s">
        <v>258</v>
      </c>
    </row>
    <row r="4" spans="1:3" ht="21">
      <c r="A4" s="5" t="s">
        <v>30</v>
      </c>
      <c r="B4">
        <v>0.75</v>
      </c>
      <c r="C4" t="s">
        <v>255</v>
      </c>
    </row>
    <row r="5" spans="1:3" ht="21">
      <c r="A5" s="5" t="s">
        <v>31</v>
      </c>
      <c r="B5">
        <v>2.95</v>
      </c>
      <c r="C5" t="s">
        <v>256</v>
      </c>
    </row>
    <row r="6" spans="1:3" ht="21">
      <c r="A6" s="5" t="s">
        <v>32</v>
      </c>
      <c r="B6">
        <v>0.27</v>
      </c>
      <c r="C6" t="s">
        <v>257</v>
      </c>
    </row>
    <row r="7" spans="1:3" ht="21">
      <c r="A7" s="5" t="s">
        <v>33</v>
      </c>
      <c r="B7">
        <v>0.2</v>
      </c>
      <c r="C7" t="s">
        <v>260</v>
      </c>
    </row>
    <row r="8" spans="1:3" ht="21">
      <c r="A8" s="5" t="s">
        <v>34</v>
      </c>
      <c r="B8" s="6">
        <v>14</v>
      </c>
      <c r="C8" t="s">
        <v>259</v>
      </c>
    </row>
    <row r="9" spans="1:3" ht="21">
      <c r="A9" s="5" t="s">
        <v>38</v>
      </c>
      <c r="B9">
        <v>37.729999999999997</v>
      </c>
      <c r="C9" t="s">
        <v>261</v>
      </c>
    </row>
    <row r="10" spans="1:3" ht="21">
      <c r="A10" s="5" t="s">
        <v>36</v>
      </c>
      <c r="B10">
        <v>0.25</v>
      </c>
      <c r="C10" t="s">
        <v>262</v>
      </c>
    </row>
    <row r="11" spans="1:3" ht="21">
      <c r="A11" s="5" t="s">
        <v>37</v>
      </c>
      <c r="B11">
        <v>54</v>
      </c>
      <c r="C11" t="s">
        <v>263</v>
      </c>
    </row>
    <row r="13" spans="1:3" ht="21">
      <c r="A13" s="5" t="s">
        <v>74</v>
      </c>
    </row>
    <row r="14" spans="1:3" ht="21">
      <c r="A14" s="5" t="s">
        <v>39</v>
      </c>
    </row>
    <row r="15" spans="1:3" ht="21">
      <c r="A15" s="5" t="s">
        <v>40</v>
      </c>
      <c r="B15">
        <v>800000</v>
      </c>
    </row>
    <row r="16" spans="1:3" ht="21">
      <c r="A16" s="5" t="s">
        <v>41</v>
      </c>
      <c r="B16">
        <f>B15*14</f>
        <v>11200000</v>
      </c>
    </row>
    <row r="17" spans="1:3" ht="21">
      <c r="A17" s="5" t="s">
        <v>42</v>
      </c>
      <c r="B17" t="s">
        <v>44</v>
      </c>
    </row>
    <row r="18" spans="1:3" ht="21">
      <c r="A18" s="5" t="s">
        <v>43</v>
      </c>
      <c r="B18" t="s">
        <v>45</v>
      </c>
    </row>
    <row r="19" spans="1:3" ht="21">
      <c r="A19" s="5" t="s">
        <v>46</v>
      </c>
      <c r="B19" t="s">
        <v>47</v>
      </c>
      <c r="C19" s="7" t="s">
        <v>49</v>
      </c>
    </row>
    <row r="20" spans="1:3" ht="21">
      <c r="A20" s="5" t="s">
        <v>15</v>
      </c>
      <c r="B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565-048D-4B45-A470-D1A51C36A645}">
  <dimension ref="A1:B6"/>
  <sheetViews>
    <sheetView topLeftCell="A2" zoomScale="170" zoomScaleNormal="170" workbookViewId="0">
      <selection activeCell="A7" sqref="A7"/>
    </sheetView>
  </sheetViews>
  <sheetFormatPr baseColWidth="10" defaultRowHeight="16"/>
  <cols>
    <col min="1" max="1" width="38" bestFit="1" customWidth="1"/>
  </cols>
  <sheetData>
    <row r="1" spans="1:2" ht="21">
      <c r="A1" s="5" t="s">
        <v>52</v>
      </c>
      <c r="B1" t="s">
        <v>53</v>
      </c>
    </row>
    <row r="2" spans="1:2">
      <c r="A2" t="s">
        <v>50</v>
      </c>
      <c r="B2" t="s">
        <v>58</v>
      </c>
    </row>
    <row r="3" spans="1:2">
      <c r="A3" t="s">
        <v>51</v>
      </c>
      <c r="B3" t="s">
        <v>58</v>
      </c>
    </row>
    <row r="4" spans="1:2">
      <c r="A4" t="s">
        <v>54</v>
      </c>
      <c r="B4" t="s">
        <v>57</v>
      </c>
    </row>
    <row r="5" spans="1:2">
      <c r="A5" t="s">
        <v>55</v>
      </c>
      <c r="B5" t="s">
        <v>56</v>
      </c>
    </row>
    <row r="6" spans="1:2">
      <c r="A6" t="s">
        <v>59</v>
      </c>
      <c r="B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A477-E513-E648-BDF6-8D03E27C7F03}">
  <dimension ref="A1:B14"/>
  <sheetViews>
    <sheetView topLeftCell="A2" zoomScale="240" zoomScaleNormal="240" workbookViewId="0">
      <selection activeCell="F2" sqref="F2"/>
    </sheetView>
  </sheetViews>
  <sheetFormatPr baseColWidth="10" defaultRowHeight="16"/>
  <cols>
    <col min="1" max="1" width="6" style="12" bestFit="1" customWidth="1"/>
    <col min="2" max="2" width="26.83203125" style="9" bestFit="1" customWidth="1"/>
  </cols>
  <sheetData>
    <row r="1" spans="1:2">
      <c r="A1" s="12" t="s">
        <v>0</v>
      </c>
      <c r="B1" s="11" t="s">
        <v>71</v>
      </c>
    </row>
    <row r="2" spans="1:2">
      <c r="A2" s="12">
        <v>1</v>
      </c>
      <c r="B2" s="8" t="s">
        <v>66</v>
      </c>
    </row>
    <row r="3" spans="1:2">
      <c r="A3" s="12">
        <v>2</v>
      </c>
      <c r="B3" s="8" t="s">
        <v>67</v>
      </c>
    </row>
    <row r="4" spans="1:2">
      <c r="A4" s="12">
        <v>3</v>
      </c>
      <c r="B4" s="8" t="s">
        <v>68</v>
      </c>
    </row>
    <row r="5" spans="1:2">
      <c r="A5" s="12">
        <v>4</v>
      </c>
      <c r="B5" s="8" t="s">
        <v>69</v>
      </c>
    </row>
    <row r="6" spans="1:2">
      <c r="A6" s="12">
        <v>5</v>
      </c>
      <c r="B6" s="8" t="s">
        <v>70</v>
      </c>
    </row>
    <row r="7" spans="1:2">
      <c r="A7" s="12">
        <v>5</v>
      </c>
      <c r="B7" s="8" t="s">
        <v>65</v>
      </c>
    </row>
    <row r="8" spans="1:2">
      <c r="B8" s="10" t="s">
        <v>72</v>
      </c>
    </row>
    <row r="9" spans="1:2">
      <c r="A9" s="12">
        <v>1</v>
      </c>
      <c r="B9" s="8" t="s">
        <v>60</v>
      </c>
    </row>
    <row r="10" spans="1:2">
      <c r="A10" s="12">
        <v>2</v>
      </c>
      <c r="B10" s="8" t="s">
        <v>61</v>
      </c>
    </row>
    <row r="11" spans="1:2">
      <c r="A11" s="12">
        <v>3</v>
      </c>
      <c r="B11" s="8" t="s">
        <v>62</v>
      </c>
    </row>
    <row r="12" spans="1:2">
      <c r="A12" s="12">
        <v>4</v>
      </c>
      <c r="B12" s="8" t="s">
        <v>63</v>
      </c>
    </row>
    <row r="13" spans="1:2">
      <c r="A13" s="12">
        <v>5</v>
      </c>
      <c r="B13" s="8" t="s">
        <v>64</v>
      </c>
    </row>
    <row r="14" spans="1:2">
      <c r="B14" s="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3AE-4563-4A44-B1CF-87261CB62753}">
  <dimension ref="A1:E75"/>
  <sheetViews>
    <sheetView topLeftCell="A20" zoomScale="260" zoomScaleNormal="260" workbookViewId="0">
      <selection activeCell="A28" sqref="A28"/>
    </sheetView>
  </sheetViews>
  <sheetFormatPr baseColWidth="10" defaultRowHeight="16"/>
  <cols>
    <col min="1" max="1" width="51.1640625" customWidth="1"/>
    <col min="2" max="2" width="15.33203125" bestFit="1" customWidth="1"/>
    <col min="3" max="3" width="19.6640625" bestFit="1" customWidth="1"/>
    <col min="4" max="4" width="11.83203125" customWidth="1"/>
  </cols>
  <sheetData>
    <row r="1" spans="1:5" ht="17">
      <c r="A1" s="13" t="s">
        <v>80</v>
      </c>
      <c r="B1" t="s">
        <v>100</v>
      </c>
      <c r="C1" t="s">
        <v>85</v>
      </c>
    </row>
    <row r="2" spans="1:5" ht="17">
      <c r="A2" s="13" t="s">
        <v>81</v>
      </c>
      <c r="B2">
        <v>500000</v>
      </c>
      <c r="C2" s="12">
        <v>9</v>
      </c>
    </row>
    <row r="3" spans="1:5" ht="17">
      <c r="A3" s="13" t="s">
        <v>82</v>
      </c>
      <c r="B3">
        <v>100000</v>
      </c>
      <c r="C3" s="12">
        <v>8</v>
      </c>
      <c r="D3" t="s">
        <v>182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</row>
    <row r="7" spans="1:5" ht="17">
      <c r="A7" s="13" t="s">
        <v>77</v>
      </c>
      <c r="B7">
        <v>120000</v>
      </c>
      <c r="C7" s="15"/>
      <c r="D7" t="s">
        <v>182</v>
      </c>
    </row>
    <row r="8" spans="1:5" ht="17">
      <c r="A8" s="13" t="s">
        <v>78</v>
      </c>
      <c r="C8" s="12"/>
    </row>
    <row r="9" spans="1:5" ht="17">
      <c r="A9" s="13" t="s">
        <v>86</v>
      </c>
      <c r="C9" s="12"/>
    </row>
    <row r="10" spans="1:5" ht="17">
      <c r="A10" s="13" t="s">
        <v>79</v>
      </c>
      <c r="C10" s="12"/>
    </row>
    <row r="11" spans="1:5" ht="17">
      <c r="A11" s="13" t="s">
        <v>15</v>
      </c>
      <c r="B11">
        <f>SUM(B2:B10)</f>
        <v>1040000</v>
      </c>
      <c r="C11" s="12">
        <f>SUM(C2:C10)</f>
        <v>17</v>
      </c>
    </row>
    <row r="12" spans="1:5" ht="17">
      <c r="A12" s="13" t="s">
        <v>87</v>
      </c>
      <c r="B12" s="14">
        <v>0.4</v>
      </c>
    </row>
    <row r="13" spans="1:5" ht="17">
      <c r="A13" s="13" t="s">
        <v>88</v>
      </c>
      <c r="B13">
        <f>(1-B12)*B11</f>
        <v>624000</v>
      </c>
    </row>
    <row r="14" spans="1:5" ht="17">
      <c r="A14" s="13" t="s">
        <v>89</v>
      </c>
      <c r="B14">
        <f>B13*0.05</f>
        <v>31200</v>
      </c>
      <c r="D14" t="s">
        <v>90</v>
      </c>
      <c r="E14" t="s">
        <v>91</v>
      </c>
    </row>
    <row r="15" spans="1:5">
      <c r="E15" t="s">
        <v>92</v>
      </c>
    </row>
    <row r="16" spans="1:5" ht="17">
      <c r="A16" s="13" t="s">
        <v>139</v>
      </c>
      <c r="B16">
        <f>SUM(B2:B7)-B5-B2</f>
        <v>440000</v>
      </c>
      <c r="C16" t="s">
        <v>150</v>
      </c>
      <c r="E16" t="s">
        <v>93</v>
      </c>
    </row>
    <row r="17" spans="1:5" ht="17">
      <c r="A17" s="13" t="s">
        <v>140</v>
      </c>
      <c r="B17">
        <f>(1-B12)*B16</f>
        <v>264000</v>
      </c>
      <c r="E17" t="s">
        <v>94</v>
      </c>
    </row>
    <row r="18" spans="1:5">
      <c r="E18" t="s">
        <v>95</v>
      </c>
    </row>
    <row r="20" spans="1:5">
      <c r="A20" t="s">
        <v>96</v>
      </c>
      <c r="B20" s="22">
        <f>B14</f>
        <v>31200</v>
      </c>
    </row>
    <row r="21" spans="1:5">
      <c r="A21" t="s">
        <v>106</v>
      </c>
      <c r="B21" s="22">
        <v>3</v>
      </c>
    </row>
    <row r="22" spans="1:5">
      <c r="A22" t="s">
        <v>97</v>
      </c>
      <c r="B22" s="22">
        <v>350</v>
      </c>
      <c r="C22" t="s">
        <v>107</v>
      </c>
      <c r="D22" t="s">
        <v>99</v>
      </c>
    </row>
    <row r="23" spans="1:5">
      <c r="A23" t="s">
        <v>98</v>
      </c>
      <c r="B23" s="16">
        <v>0.04</v>
      </c>
      <c r="C23" s="9" t="s">
        <v>108</v>
      </c>
    </row>
    <row r="25" spans="1:5">
      <c r="A25" t="s">
        <v>408</v>
      </c>
      <c r="B25" s="22">
        <v>10000</v>
      </c>
      <c r="C25" t="s">
        <v>109</v>
      </c>
    </row>
    <row r="26" spans="1:5">
      <c r="A26" t="s">
        <v>102</v>
      </c>
      <c r="B26" s="22">
        <f>B20*B25</f>
        <v>312000000</v>
      </c>
    </row>
    <row r="27" spans="1:5">
      <c r="A27" t="s">
        <v>410</v>
      </c>
      <c r="B27">
        <v>15</v>
      </c>
      <c r="C27" t="s">
        <v>409</v>
      </c>
    </row>
    <row r="28" spans="1:5">
      <c r="A28" t="s">
        <v>402</v>
      </c>
      <c r="B28">
        <v>20</v>
      </c>
      <c r="C28" t="s">
        <v>407</v>
      </c>
    </row>
    <row r="29" spans="1:5">
      <c r="A29" t="s">
        <v>103</v>
      </c>
      <c r="B29">
        <v>4.5</v>
      </c>
    </row>
    <row r="30" spans="1:5">
      <c r="A30" t="s">
        <v>104</v>
      </c>
      <c r="B30" s="23">
        <f>B26*B27/100*B28/100*(B29-B21)</f>
        <v>14040000</v>
      </c>
    </row>
    <row r="31" spans="1:5">
      <c r="A31" t="s">
        <v>105</v>
      </c>
      <c r="B31" s="23">
        <f>B20*B27/100*B22*(B29-B21)</f>
        <v>2457000</v>
      </c>
    </row>
    <row r="32" spans="1:5">
      <c r="A32" t="s">
        <v>117</v>
      </c>
      <c r="B32" s="22">
        <f>(B31+B30)*7</f>
        <v>115479000</v>
      </c>
      <c r="C32" t="s">
        <v>161</v>
      </c>
    </row>
    <row r="33" spans="1:4">
      <c r="A33" t="s">
        <v>170</v>
      </c>
      <c r="B33" s="24">
        <f>B32*0.9</f>
        <v>103931100</v>
      </c>
      <c r="D33" s="24">
        <f>B33+D38</f>
        <v>120311100</v>
      </c>
    </row>
    <row r="34" spans="1:4">
      <c r="A34" t="s">
        <v>118</v>
      </c>
      <c r="B34" s="25">
        <f>B32*0.1</f>
        <v>11547900</v>
      </c>
      <c r="D34" s="25">
        <f>B34+D39</f>
        <v>27927900</v>
      </c>
    </row>
    <row r="35" spans="1:4">
      <c r="A35" t="s">
        <v>110</v>
      </c>
    </row>
    <row r="36" spans="1:4">
      <c r="A36" t="s">
        <v>111</v>
      </c>
      <c r="B36" s="22">
        <v>15</v>
      </c>
    </row>
    <row r="37" spans="1:4">
      <c r="A37" t="s">
        <v>112</v>
      </c>
      <c r="B37" s="22">
        <f>B36/100*B26</f>
        <v>46800000</v>
      </c>
    </row>
    <row r="38" spans="1:4">
      <c r="A38" t="s">
        <v>113</v>
      </c>
      <c r="B38" s="22">
        <v>5</v>
      </c>
      <c r="C38" s="22">
        <f>B37*B38/100</f>
        <v>2340000</v>
      </c>
      <c r="D38" s="25">
        <f>C38*7</f>
        <v>16380000</v>
      </c>
    </row>
    <row r="39" spans="1:4">
      <c r="A39" t="s">
        <v>114</v>
      </c>
      <c r="B39" s="22">
        <v>5</v>
      </c>
      <c r="C39" s="22">
        <f>B39/100*B37</f>
        <v>2340000</v>
      </c>
      <c r="D39" s="24">
        <f>C39*7</f>
        <v>16380000</v>
      </c>
    </row>
    <row r="40" spans="1:4">
      <c r="A40" t="s">
        <v>115</v>
      </c>
      <c r="B40" s="22">
        <v>2</v>
      </c>
      <c r="C40" s="22">
        <f>B40/100*B37</f>
        <v>936000</v>
      </c>
      <c r="D40" s="22">
        <f>C40*7</f>
        <v>6552000</v>
      </c>
    </row>
    <row r="41" spans="1:4">
      <c r="A41" t="s">
        <v>116</v>
      </c>
      <c r="B41" s="22">
        <v>3</v>
      </c>
      <c r="C41" s="22">
        <f>B41/100*B37</f>
        <v>1404000</v>
      </c>
      <c r="D41" s="22">
        <f>C41*7</f>
        <v>9828000</v>
      </c>
    </row>
    <row r="42" spans="1:4">
      <c r="C42" s="29"/>
      <c r="D42" s="29"/>
    </row>
    <row r="43" spans="1:4">
      <c r="A43" s="27" t="s">
        <v>153</v>
      </c>
    </row>
    <row r="44" spans="1:4">
      <c r="A44" t="s">
        <v>146</v>
      </c>
      <c r="B44">
        <v>5</v>
      </c>
      <c r="C44" t="s">
        <v>136</v>
      </c>
    </row>
    <row r="45" spans="1:4">
      <c r="A45" t="s">
        <v>157</v>
      </c>
      <c r="B45" s="22">
        <f>B44/100*B17</f>
        <v>13200</v>
      </c>
      <c r="C45" t="s">
        <v>155</v>
      </c>
    </row>
    <row r="46" spans="1:4">
      <c r="A46" t="s">
        <v>137</v>
      </c>
      <c r="B46">
        <v>20000</v>
      </c>
    </row>
    <row r="47" spans="1:4">
      <c r="A47" t="s">
        <v>138</v>
      </c>
      <c r="B47" s="21">
        <f>B46*B45</f>
        <v>264000000</v>
      </c>
      <c r="C47" s="43">
        <f>B47*0.96</f>
        <v>253440000</v>
      </c>
    </row>
    <row r="48" spans="1:4">
      <c r="A48" t="s">
        <v>141</v>
      </c>
      <c r="B48" s="26">
        <v>18</v>
      </c>
      <c r="C48" t="s">
        <v>142</v>
      </c>
    </row>
    <row r="49" spans="1:4">
      <c r="A49" t="s">
        <v>143</v>
      </c>
      <c r="B49" s="21">
        <f>B48/100*B47</f>
        <v>47520000</v>
      </c>
      <c r="C49" t="s">
        <v>144</v>
      </c>
    </row>
    <row r="50" spans="1:4">
      <c r="A50" t="s">
        <v>158</v>
      </c>
      <c r="B50" s="21">
        <f>B49*7</f>
        <v>332640000</v>
      </c>
      <c r="C50" t="s">
        <v>145</v>
      </c>
    </row>
    <row r="51" spans="1:4">
      <c r="A51" t="s">
        <v>159</v>
      </c>
      <c r="C51" s="21">
        <f>B49*C47/B47</f>
        <v>45619200</v>
      </c>
    </row>
    <row r="52" spans="1:4">
      <c r="C52" s="21">
        <f>B50*C47/B47</f>
        <v>319334400</v>
      </c>
    </row>
    <row r="54" spans="1:4">
      <c r="A54" s="27" t="s">
        <v>154</v>
      </c>
    </row>
    <row r="55" spans="1:4">
      <c r="A55" t="s">
        <v>147</v>
      </c>
      <c r="B55" s="22">
        <v>120</v>
      </c>
    </row>
    <row r="56" spans="1:4">
      <c r="A56" t="s">
        <v>176</v>
      </c>
      <c r="B56" s="28">
        <v>10</v>
      </c>
      <c r="C56" s="7" t="s">
        <v>162</v>
      </c>
    </row>
    <row r="57" spans="1:4">
      <c r="A57" t="s">
        <v>156</v>
      </c>
      <c r="B57" s="22">
        <v>2000000</v>
      </c>
    </row>
    <row r="58" spans="1:4">
      <c r="A58" t="s">
        <v>138</v>
      </c>
      <c r="B58" s="22">
        <f>B57*B55*B56/100</f>
        <v>24000000</v>
      </c>
    </row>
    <row r="59" spans="1:4">
      <c r="A59" t="s">
        <v>152</v>
      </c>
      <c r="B59" s="22">
        <v>14</v>
      </c>
      <c r="C59" t="s">
        <v>160</v>
      </c>
    </row>
    <row r="60" spans="1:4">
      <c r="A60" t="s">
        <v>149</v>
      </c>
      <c r="B60" s="22">
        <f>B59/100*B58</f>
        <v>3360000.0000000005</v>
      </c>
      <c r="C60" s="22">
        <f>B60*7</f>
        <v>23520000.000000004</v>
      </c>
      <c r="D60" t="s">
        <v>148</v>
      </c>
    </row>
    <row r="61" spans="1:4">
      <c r="B61" s="22"/>
      <c r="C61" s="22"/>
    </row>
    <row r="62" spans="1:4">
      <c r="B62" s="22"/>
      <c r="C62" s="22"/>
    </row>
    <row r="63" spans="1:4">
      <c r="A63" t="s">
        <v>151</v>
      </c>
    </row>
    <row r="64" spans="1:4">
      <c r="A64" t="s">
        <v>120</v>
      </c>
    </row>
    <row r="65" spans="1:5">
      <c r="A65" t="s">
        <v>119</v>
      </c>
    </row>
    <row r="69" spans="1:5" ht="17">
      <c r="A69" s="17">
        <v>3</v>
      </c>
      <c r="B69" s="17" t="s">
        <v>121</v>
      </c>
      <c r="C69" s="19" t="s">
        <v>122</v>
      </c>
      <c r="D69" s="19" t="s">
        <v>123</v>
      </c>
      <c r="E69" s="19" t="s">
        <v>124</v>
      </c>
    </row>
    <row r="70" spans="1:5" ht="17">
      <c r="A70" s="18"/>
      <c r="B70" s="18" t="s">
        <v>125</v>
      </c>
      <c r="C70" s="20">
        <v>4.48E-2</v>
      </c>
      <c r="D70" s="20">
        <v>1.0200000000000001E-2</v>
      </c>
      <c r="E70" s="20">
        <v>6.3E-3</v>
      </c>
    </row>
    <row r="71" spans="1:5" ht="17">
      <c r="A71" s="18" t="s">
        <v>126</v>
      </c>
      <c r="B71" s="18" t="s">
        <v>127</v>
      </c>
      <c r="C71" s="20">
        <v>6.0400000000000002E-2</v>
      </c>
      <c r="D71" s="20">
        <v>7.4000000000000003E-3</v>
      </c>
      <c r="E71" s="20">
        <v>6.0000000000000001E-3</v>
      </c>
    </row>
    <row r="72" spans="1:5" ht="17">
      <c r="A72" s="18" t="s">
        <v>128</v>
      </c>
      <c r="B72" s="18" t="s">
        <v>129</v>
      </c>
      <c r="C72" s="20">
        <v>4.2099999999999999E-2</v>
      </c>
      <c r="D72" s="20">
        <v>1.6299999999999999E-2</v>
      </c>
      <c r="E72" s="20">
        <v>1.2500000000000001E-2</v>
      </c>
    </row>
    <row r="73" spans="1:5" ht="17">
      <c r="A73" s="18" t="s">
        <v>130</v>
      </c>
      <c r="B73" s="18" t="s">
        <v>131</v>
      </c>
      <c r="C73" s="20">
        <v>2.7900000000000001E-2</v>
      </c>
      <c r="D73" s="20">
        <v>6.1000000000000004E-3</v>
      </c>
      <c r="E73" s="20">
        <v>2.5999999999999999E-3</v>
      </c>
    </row>
    <row r="74" spans="1:5" ht="17">
      <c r="A74" s="18" t="s">
        <v>132</v>
      </c>
      <c r="B74" s="18" t="s">
        <v>133</v>
      </c>
      <c r="C74" s="20">
        <v>2.0400000000000001E-2</v>
      </c>
      <c r="D74" s="20">
        <v>1.0500000000000001E-2</v>
      </c>
      <c r="E74" s="20">
        <v>3.5000000000000001E-3</v>
      </c>
    </row>
    <row r="75" spans="1:5" ht="17">
      <c r="A75" s="18" t="s">
        <v>134</v>
      </c>
      <c r="B75" s="18" t="s">
        <v>135</v>
      </c>
      <c r="C75" s="20">
        <v>1.38E-2</v>
      </c>
      <c r="D75" s="20">
        <v>7.6E-3</v>
      </c>
      <c r="E75" s="20">
        <v>5.4999999999999997E-3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CA36-1B48-3749-95CC-1468B2F974D2}">
  <dimension ref="B1:D23"/>
  <sheetViews>
    <sheetView zoomScale="170" zoomScaleNormal="170" workbookViewId="0">
      <selection activeCell="C10" sqref="C10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17" thickBot="1">
      <c r="B2" s="254" t="s">
        <v>192</v>
      </c>
      <c r="C2" s="255"/>
      <c r="D2" s="256"/>
    </row>
    <row r="3" spans="2:4" ht="17" thickBot="1">
      <c r="B3" s="257" t="s">
        <v>191</v>
      </c>
      <c r="C3" s="258"/>
      <c r="D3" s="259"/>
    </row>
    <row r="4" spans="2:4">
      <c r="B4" s="37" t="s">
        <v>181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164</v>
      </c>
      <c r="C6" s="30">
        <v>10000</v>
      </c>
      <c r="D6" s="33" t="s">
        <v>200</v>
      </c>
    </row>
    <row r="7" spans="2:4">
      <c r="B7" s="32" t="s">
        <v>166</v>
      </c>
      <c r="C7" s="30" t="s">
        <v>165</v>
      </c>
      <c r="D7" s="33"/>
    </row>
    <row r="8" spans="2:4" ht="17">
      <c r="B8" s="34" t="s">
        <v>197</v>
      </c>
      <c r="C8" s="30" t="s">
        <v>167</v>
      </c>
      <c r="D8" s="33" t="s">
        <v>203</v>
      </c>
    </row>
    <row r="9" spans="2:4">
      <c r="B9" s="32" t="s">
        <v>198</v>
      </c>
      <c r="C9" s="30" t="s">
        <v>168</v>
      </c>
      <c r="D9" s="33" t="s">
        <v>199</v>
      </c>
    </row>
    <row r="10" spans="2:4" ht="17" thickBot="1">
      <c r="B10" s="40" t="s">
        <v>169</v>
      </c>
      <c r="C10" s="45" t="s">
        <v>171</v>
      </c>
      <c r="D10" s="41" t="s">
        <v>184</v>
      </c>
    </row>
    <row r="11" spans="2:4" ht="17" thickBot="1">
      <c r="B11" s="257" t="s">
        <v>190</v>
      </c>
      <c r="C11" s="258"/>
      <c r="D11" s="259"/>
    </row>
    <row r="12" spans="2:4">
      <c r="B12" s="37" t="s">
        <v>174</v>
      </c>
      <c r="C12" s="38">
        <v>13200</v>
      </c>
      <c r="D12" s="39" t="s">
        <v>201</v>
      </c>
    </row>
    <row r="13" spans="2:4">
      <c r="B13" s="32" t="s">
        <v>172</v>
      </c>
      <c r="C13" s="30">
        <v>20000</v>
      </c>
      <c r="D13" s="33" t="s">
        <v>185</v>
      </c>
    </row>
    <row r="14" spans="2:4">
      <c r="B14" s="32" t="s">
        <v>196</v>
      </c>
      <c r="C14" s="30" t="s">
        <v>173</v>
      </c>
      <c r="D14" s="33" t="s">
        <v>188</v>
      </c>
    </row>
    <row r="15" spans="2:4">
      <c r="B15" s="32" t="s">
        <v>175</v>
      </c>
      <c r="C15" s="30" t="s">
        <v>204</v>
      </c>
      <c r="D15" s="33" t="s">
        <v>186</v>
      </c>
    </row>
    <row r="16" spans="2:4" ht="17" thickBot="1">
      <c r="B16" s="40" t="s">
        <v>207</v>
      </c>
      <c r="C16" s="45" t="s">
        <v>205</v>
      </c>
      <c r="D16" s="41" t="s">
        <v>187</v>
      </c>
    </row>
    <row r="17" spans="2:4" ht="17" thickBot="1">
      <c r="B17" s="260" t="s">
        <v>189</v>
      </c>
      <c r="C17" s="261"/>
      <c r="D17" s="262"/>
    </row>
    <row r="18" spans="2:4">
      <c r="B18" s="37" t="s">
        <v>193</v>
      </c>
      <c r="C18" s="42">
        <v>120</v>
      </c>
      <c r="D18" s="39" t="s">
        <v>194</v>
      </c>
    </row>
    <row r="19" spans="2:4">
      <c r="B19" s="32" t="s">
        <v>176</v>
      </c>
      <c r="C19" s="31">
        <v>10</v>
      </c>
      <c r="D19" s="33" t="s">
        <v>195</v>
      </c>
    </row>
    <row r="20" spans="2:4">
      <c r="B20" s="32" t="s">
        <v>177</v>
      </c>
      <c r="C20" s="31">
        <v>2000000</v>
      </c>
      <c r="D20" s="33" t="s">
        <v>208</v>
      </c>
    </row>
    <row r="21" spans="2:4">
      <c r="B21" s="32" t="s">
        <v>196</v>
      </c>
      <c r="C21" s="31">
        <f>C20*C18*C19/100</f>
        <v>24000000</v>
      </c>
      <c r="D21" s="33"/>
    </row>
    <row r="22" spans="2:4">
      <c r="B22" s="32" t="s">
        <v>178</v>
      </c>
      <c r="C22" s="31" t="s">
        <v>179</v>
      </c>
      <c r="D22" s="33" t="s">
        <v>186</v>
      </c>
    </row>
    <row r="23" spans="2:4" ht="17" thickBot="1">
      <c r="B23" s="35" t="s">
        <v>206</v>
      </c>
      <c r="C23" s="44" t="s">
        <v>180</v>
      </c>
      <c r="D23" s="36"/>
    </row>
  </sheetData>
  <mergeCells count="4">
    <mergeCell ref="B2:D2"/>
    <mergeCell ref="B3:D3"/>
    <mergeCell ref="B11:D11"/>
    <mergeCell ref="B1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80B6-DAAD-E740-83F5-370CB2ACC04B}">
  <dimension ref="A1:E37"/>
  <sheetViews>
    <sheetView zoomScale="160" zoomScaleNormal="160" workbookViewId="0">
      <selection activeCell="B2" sqref="B2"/>
    </sheetView>
  </sheetViews>
  <sheetFormatPr baseColWidth="10" defaultRowHeight="16"/>
  <cols>
    <col min="1" max="1" width="49" bestFit="1" customWidth="1"/>
    <col min="3" max="3" width="27.1640625" bestFit="1" customWidth="1"/>
    <col min="4" max="4" width="24.5" bestFit="1" customWidth="1"/>
    <col min="5" max="5" width="79.33203125" customWidth="1"/>
  </cols>
  <sheetData>
    <row r="1" spans="1:5" ht="17">
      <c r="A1" s="13" t="s">
        <v>80</v>
      </c>
      <c r="B1" t="s">
        <v>100</v>
      </c>
      <c r="C1" t="s">
        <v>85</v>
      </c>
      <c r="D1" t="s">
        <v>212</v>
      </c>
    </row>
    <row r="2" spans="1:5" ht="17">
      <c r="A2" s="13" t="s">
        <v>81</v>
      </c>
      <c r="B2">
        <v>500000</v>
      </c>
      <c r="C2" s="12">
        <v>9</v>
      </c>
      <c r="D2" t="s">
        <v>213</v>
      </c>
    </row>
    <row r="3" spans="1:5" ht="17">
      <c r="A3" s="13" t="s">
        <v>82</v>
      </c>
      <c r="B3">
        <v>100000</v>
      </c>
      <c r="C3" s="12">
        <v>8</v>
      </c>
      <c r="D3" t="s">
        <v>182</v>
      </c>
      <c r="E3" t="s">
        <v>214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  <c r="E4" t="s">
        <v>215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  <c r="E5" t="s">
        <v>215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  <c r="E6" t="s">
        <v>216</v>
      </c>
    </row>
    <row r="7" spans="1:5" ht="17">
      <c r="A7" s="13" t="s">
        <v>77</v>
      </c>
      <c r="B7">
        <v>120000</v>
      </c>
      <c r="C7" s="15"/>
      <c r="D7" t="s">
        <v>182</v>
      </c>
      <c r="E7" t="s">
        <v>217</v>
      </c>
    </row>
    <row r="8" spans="1:5" ht="17">
      <c r="A8" s="13" t="s">
        <v>218</v>
      </c>
      <c r="C8" s="15"/>
      <c r="E8" t="s">
        <v>219</v>
      </c>
    </row>
    <row r="9" spans="1:5" ht="17">
      <c r="A9" s="13" t="s">
        <v>78</v>
      </c>
      <c r="C9" s="12"/>
      <c r="E9" t="s">
        <v>84</v>
      </c>
    </row>
    <row r="10" spans="1:5" ht="17">
      <c r="A10" s="13" t="s">
        <v>86</v>
      </c>
      <c r="C10" s="12"/>
      <c r="E10" t="s">
        <v>84</v>
      </c>
    </row>
    <row r="11" spans="1:5" ht="17">
      <c r="A11" s="13" t="s">
        <v>79</v>
      </c>
      <c r="C11" s="12"/>
      <c r="E11" t="s">
        <v>84</v>
      </c>
    </row>
    <row r="12" spans="1:5" ht="17">
      <c r="A12" s="13" t="s">
        <v>15</v>
      </c>
      <c r="B12">
        <f>SUM(B2:B11)</f>
        <v>1040000</v>
      </c>
      <c r="C12" s="12">
        <f>SUM(C2:C11)</f>
        <v>17</v>
      </c>
    </row>
    <row r="13" spans="1:5" ht="17">
      <c r="A13" s="13" t="s">
        <v>87</v>
      </c>
      <c r="B13" s="14">
        <v>0.4</v>
      </c>
    </row>
    <row r="14" spans="1:5" ht="17">
      <c r="A14" s="13" t="s">
        <v>88</v>
      </c>
      <c r="B14">
        <f>(1-B13)*B12</f>
        <v>624000</v>
      </c>
    </row>
    <row r="15" spans="1:5" ht="17">
      <c r="A15" s="13" t="s">
        <v>89</v>
      </c>
      <c r="B15">
        <f>B14*0.05</f>
        <v>31200</v>
      </c>
      <c r="D15" t="s">
        <v>90</v>
      </c>
      <c r="E15" t="s">
        <v>91</v>
      </c>
    </row>
    <row r="16" spans="1:5">
      <c r="E16" t="s">
        <v>92</v>
      </c>
    </row>
    <row r="17" spans="1:5" ht="17">
      <c r="A17" s="13" t="s">
        <v>139</v>
      </c>
      <c r="B17">
        <f>SUM(B2:B7)-B5-B2</f>
        <v>440000</v>
      </c>
      <c r="C17" t="s">
        <v>150</v>
      </c>
      <c r="E17" t="s">
        <v>93</v>
      </c>
    </row>
    <row r="18" spans="1:5" ht="17">
      <c r="A18" s="13" t="s">
        <v>140</v>
      </c>
      <c r="B18">
        <f>(1-B13)*B17</f>
        <v>264000</v>
      </c>
      <c r="E18" t="s">
        <v>94</v>
      </c>
    </row>
    <row r="19" spans="1:5">
      <c r="E19" t="s">
        <v>95</v>
      </c>
    </row>
    <row r="21" spans="1:5">
      <c r="A21" t="s">
        <v>96</v>
      </c>
      <c r="B21" s="22">
        <f>B15</f>
        <v>31200</v>
      </c>
    </row>
    <row r="23" spans="1:5">
      <c r="A23" t="s">
        <v>232</v>
      </c>
      <c r="B23" t="s">
        <v>228</v>
      </c>
      <c r="C23" t="s">
        <v>230</v>
      </c>
      <c r="D23" t="s">
        <v>229</v>
      </c>
      <c r="E23" t="s">
        <v>231</v>
      </c>
    </row>
    <row r="24" spans="1:5">
      <c r="A24" t="s">
        <v>82</v>
      </c>
      <c r="B24">
        <v>800000</v>
      </c>
    </row>
    <row r="25" spans="1:5">
      <c r="A25" t="s">
        <v>223</v>
      </c>
      <c r="B25">
        <v>200000</v>
      </c>
    </row>
    <row r="26" spans="1:5">
      <c r="A26" t="s">
        <v>224</v>
      </c>
      <c r="B26">
        <v>150000</v>
      </c>
    </row>
    <row r="27" spans="1:5">
      <c r="A27" t="s">
        <v>225</v>
      </c>
    </row>
    <row r="28" spans="1:5">
      <c r="A28" t="s">
        <v>226</v>
      </c>
    </row>
    <row r="29" spans="1:5">
      <c r="A29" t="s">
        <v>227</v>
      </c>
    </row>
    <row r="30" spans="1:5">
      <c r="A30" t="s">
        <v>83</v>
      </c>
    </row>
    <row r="32" spans="1:5">
      <c r="A32" t="s">
        <v>209</v>
      </c>
    </row>
    <row r="33" spans="1:1">
      <c r="A33" t="s">
        <v>210</v>
      </c>
    </row>
    <row r="34" spans="1:1">
      <c r="A34" t="s">
        <v>211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2BA9-3527-B047-92DE-68DF7C4A6F2D}">
  <dimension ref="A1:H38"/>
  <sheetViews>
    <sheetView zoomScale="160" zoomScaleNormal="160" workbookViewId="0">
      <selection activeCell="D9" sqref="D9"/>
    </sheetView>
  </sheetViews>
  <sheetFormatPr baseColWidth="10" defaultRowHeight="16"/>
  <cols>
    <col min="1" max="1" width="49.1640625" bestFit="1" customWidth="1"/>
    <col min="2" max="2" width="16" bestFit="1" customWidth="1"/>
    <col min="3" max="3" width="16" customWidth="1"/>
    <col min="4" max="4" width="15.6640625" bestFit="1" customWidth="1"/>
    <col min="5" max="5" width="16" bestFit="1" customWidth="1"/>
    <col min="6" max="6" width="45.33203125" bestFit="1" customWidth="1"/>
    <col min="7" max="7" width="30.83203125" customWidth="1"/>
  </cols>
  <sheetData>
    <row r="1" spans="1:8">
      <c r="A1" s="48" t="s">
        <v>232</v>
      </c>
      <c r="B1" s="48" t="s">
        <v>233</v>
      </c>
      <c r="C1" s="48" t="s">
        <v>234</v>
      </c>
      <c r="D1" s="48" t="s">
        <v>230</v>
      </c>
      <c r="E1" s="48" t="s">
        <v>231</v>
      </c>
      <c r="G1" s="48" t="s">
        <v>394</v>
      </c>
      <c r="H1" s="48" t="s">
        <v>393</v>
      </c>
    </row>
    <row r="2" spans="1:8">
      <c r="A2" t="s">
        <v>82</v>
      </c>
      <c r="B2" s="22">
        <v>800000</v>
      </c>
      <c r="C2" s="22">
        <v>200000</v>
      </c>
      <c r="D2" s="22">
        <f>B2*20*0.5</f>
        <v>8000000</v>
      </c>
      <c r="E2" s="22">
        <f>C2*60</f>
        <v>12000000</v>
      </c>
      <c r="F2" t="s">
        <v>252</v>
      </c>
      <c r="G2" t="s">
        <v>400</v>
      </c>
      <c r="H2" t="s">
        <v>395</v>
      </c>
    </row>
    <row r="3" spans="1:8">
      <c r="A3" t="s">
        <v>223</v>
      </c>
      <c r="B3" s="22">
        <v>500000</v>
      </c>
      <c r="C3" s="22">
        <v>60000</v>
      </c>
      <c r="D3" s="22">
        <f>B3*20*0.5</f>
        <v>5000000</v>
      </c>
      <c r="E3" s="22">
        <f>C3*60</f>
        <v>3600000</v>
      </c>
      <c r="F3" t="s">
        <v>252</v>
      </c>
      <c r="G3" t="s">
        <v>401</v>
      </c>
      <c r="H3" t="s">
        <v>396</v>
      </c>
    </row>
    <row r="4" spans="1:8">
      <c r="A4" t="s">
        <v>224</v>
      </c>
      <c r="B4" s="22">
        <v>300000</v>
      </c>
      <c r="C4" s="22">
        <v>40000</v>
      </c>
      <c r="D4" s="22">
        <f>B4*20*0.5</f>
        <v>3000000</v>
      </c>
      <c r="E4" s="22">
        <f>C4*60</f>
        <v>2400000</v>
      </c>
      <c r="F4" t="s">
        <v>252</v>
      </c>
      <c r="H4" t="s">
        <v>397</v>
      </c>
    </row>
    <row r="5" spans="1:8">
      <c r="A5" t="s">
        <v>382</v>
      </c>
      <c r="B5" s="22">
        <f>550*1000</f>
        <v>550000</v>
      </c>
      <c r="C5" s="22">
        <f>(30*1000)+(120*1000)</f>
        <v>150000</v>
      </c>
      <c r="D5" s="22">
        <f>B5*20</f>
        <v>11000000</v>
      </c>
      <c r="E5" s="22">
        <f>C5*20</f>
        <v>3000000</v>
      </c>
      <c r="F5" t="s">
        <v>238</v>
      </c>
      <c r="H5" t="s">
        <v>398</v>
      </c>
    </row>
    <row r="6" spans="1:8">
      <c r="A6" t="s">
        <v>235</v>
      </c>
      <c r="B6" s="22">
        <v>120000</v>
      </c>
      <c r="C6" s="22">
        <v>120000</v>
      </c>
      <c r="D6" s="22">
        <f>B6*20</f>
        <v>2400000</v>
      </c>
      <c r="E6" s="22">
        <f>C6*100</f>
        <v>12000000</v>
      </c>
      <c r="F6" t="s">
        <v>253</v>
      </c>
      <c r="H6" t="s">
        <v>399</v>
      </c>
    </row>
    <row r="7" spans="1:8">
      <c r="A7" t="s">
        <v>227</v>
      </c>
      <c r="B7" s="22">
        <v>900000</v>
      </c>
      <c r="C7" s="22">
        <v>100000</v>
      </c>
      <c r="D7" s="22">
        <v>1000000</v>
      </c>
      <c r="E7" s="22">
        <v>1000000</v>
      </c>
      <c r="F7" t="s">
        <v>246</v>
      </c>
    </row>
    <row r="8" spans="1:8">
      <c r="A8" t="s">
        <v>83</v>
      </c>
      <c r="B8" s="22">
        <v>300000</v>
      </c>
      <c r="C8" s="22">
        <v>30000</v>
      </c>
      <c r="D8" s="22">
        <v>1000000</v>
      </c>
      <c r="E8" s="22">
        <v>1000000</v>
      </c>
      <c r="F8" t="s">
        <v>246</v>
      </c>
    </row>
    <row r="9" spans="1:8">
      <c r="A9" t="s">
        <v>15</v>
      </c>
      <c r="B9" s="22">
        <f>SUM(B2:B8)</f>
        <v>3470000</v>
      </c>
      <c r="C9" s="22">
        <f>SUM(C2:C8)</f>
        <v>700000</v>
      </c>
      <c r="D9" s="22">
        <f>SUM(D2:D8)</f>
        <v>31400000</v>
      </c>
      <c r="E9" s="28">
        <f>SUM(E2:E8)</f>
        <v>35000000</v>
      </c>
    </row>
    <row r="10" spans="1:8">
      <c r="A10" s="48" t="s">
        <v>237</v>
      </c>
      <c r="B10" s="22" t="s">
        <v>236</v>
      </c>
      <c r="C10" s="22">
        <f>0.5*C9</f>
        <v>350000</v>
      </c>
      <c r="D10" s="22"/>
      <c r="E10" s="22"/>
    </row>
    <row r="11" spans="1:8">
      <c r="A11" t="s">
        <v>247</v>
      </c>
      <c r="B11" s="22"/>
      <c r="C11" s="22">
        <f>C10/2</f>
        <v>175000</v>
      </c>
      <c r="D11" s="22"/>
      <c r="E11" s="22"/>
      <c r="F11" t="s">
        <v>242</v>
      </c>
    </row>
    <row r="13" spans="1:8">
      <c r="A13" t="s">
        <v>240</v>
      </c>
    </row>
    <row r="14" spans="1:8">
      <c r="A14" t="s">
        <v>239</v>
      </c>
    </row>
    <row r="15" spans="1:8">
      <c r="A15" t="s">
        <v>241</v>
      </c>
    </row>
    <row r="17" spans="1:6">
      <c r="E17">
        <f>4/30</f>
        <v>0.13333333333333333</v>
      </c>
    </row>
    <row r="18" spans="1:6">
      <c r="A18" t="s">
        <v>244</v>
      </c>
    </row>
    <row r="19" spans="1:6">
      <c r="A19" t="s">
        <v>243</v>
      </c>
    </row>
    <row r="20" spans="1:6">
      <c r="A20" t="s">
        <v>245</v>
      </c>
    </row>
    <row r="22" spans="1:6">
      <c r="A22" t="s">
        <v>248</v>
      </c>
      <c r="C22" t="s">
        <v>249</v>
      </c>
      <c r="D22" t="s">
        <v>250</v>
      </c>
    </row>
    <row r="23" spans="1:6">
      <c r="A23" t="s">
        <v>251</v>
      </c>
    </row>
    <row r="24" spans="1:6">
      <c r="B24" t="s">
        <v>380</v>
      </c>
      <c r="C24" t="s">
        <v>381</v>
      </c>
      <c r="D24" t="s">
        <v>383</v>
      </c>
    </row>
    <row r="25" spans="1:6">
      <c r="A25" t="s">
        <v>376</v>
      </c>
      <c r="B25">
        <v>30</v>
      </c>
      <c r="C25">
        <f>B25*1000</f>
        <v>30000</v>
      </c>
      <c r="D25">
        <v>0</v>
      </c>
    </row>
    <row r="26" spans="1:6">
      <c r="A26" t="s">
        <v>377</v>
      </c>
      <c r="B26">
        <v>40</v>
      </c>
      <c r="C26">
        <f>B26*1000+2500</f>
        <v>42500</v>
      </c>
      <c r="D26">
        <v>0</v>
      </c>
      <c r="F26">
        <f>30000/12</f>
        <v>2500</v>
      </c>
    </row>
    <row r="27" spans="1:6">
      <c r="A27" t="s">
        <v>378</v>
      </c>
      <c r="B27">
        <v>50</v>
      </c>
      <c r="C27">
        <f>B27*1000+5000</f>
        <v>55000</v>
      </c>
      <c r="D27">
        <v>0</v>
      </c>
    </row>
    <row r="28" spans="1:6">
      <c r="A28" t="s">
        <v>379</v>
      </c>
      <c r="B28">
        <v>60</v>
      </c>
      <c r="C28">
        <f>B28*1000+7500</f>
        <v>67500</v>
      </c>
      <c r="D28">
        <f>B28*1200</f>
        <v>72000</v>
      </c>
    </row>
    <row r="29" spans="1:6">
      <c r="A29" t="s">
        <v>392</v>
      </c>
      <c r="B29">
        <v>70</v>
      </c>
      <c r="C29">
        <f>B29*1000+10000</f>
        <v>80000</v>
      </c>
    </row>
    <row r="30" spans="1:6">
      <c r="A30" t="s">
        <v>384</v>
      </c>
      <c r="B30">
        <v>80</v>
      </c>
      <c r="C30">
        <f>B30*1000+12500</f>
        <v>92500</v>
      </c>
    </row>
    <row r="31" spans="1:6">
      <c r="A31" t="s">
        <v>385</v>
      </c>
      <c r="B31">
        <v>90</v>
      </c>
      <c r="C31">
        <f>B31*1000+15000</f>
        <v>105000</v>
      </c>
    </row>
    <row r="32" spans="1:6">
      <c r="A32" t="s">
        <v>386</v>
      </c>
      <c r="B32">
        <v>100</v>
      </c>
      <c r="C32">
        <f>B32*1000+17500</f>
        <v>117500</v>
      </c>
    </row>
    <row r="33" spans="1:5">
      <c r="A33" t="s">
        <v>387</v>
      </c>
      <c r="B33">
        <v>110</v>
      </c>
      <c r="C33">
        <f>B33*1000+20000</f>
        <v>130000</v>
      </c>
    </row>
    <row r="34" spans="1:5">
      <c r="A34" t="s">
        <v>388</v>
      </c>
      <c r="B34">
        <v>120</v>
      </c>
      <c r="C34">
        <f>B34*1000+22500</f>
        <v>142500</v>
      </c>
    </row>
    <row r="35" spans="1:5">
      <c r="A35" t="s">
        <v>389</v>
      </c>
      <c r="B35">
        <v>130</v>
      </c>
      <c r="C35">
        <f>B35*1000+25000</f>
        <v>155000</v>
      </c>
    </row>
    <row r="36" spans="1:5">
      <c r="A36" t="s">
        <v>390</v>
      </c>
      <c r="B36">
        <v>140</v>
      </c>
      <c r="C36">
        <f>B36*1000+27500</f>
        <v>167500</v>
      </c>
    </row>
    <row r="37" spans="1:5">
      <c r="A37" t="s">
        <v>391</v>
      </c>
      <c r="B37">
        <v>150</v>
      </c>
      <c r="C37">
        <f>B37*1000+30000</f>
        <v>180000</v>
      </c>
      <c r="D37">
        <f>167500/C37</f>
        <v>0.93055555555555558</v>
      </c>
      <c r="E37">
        <f>C37*1.2</f>
        <v>216000</v>
      </c>
    </row>
    <row r="38" spans="1:5">
      <c r="C38">
        <v>1000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C07-D8CB-3849-A99D-FDBBA8A2E93E}">
  <dimension ref="A1:U45"/>
  <sheetViews>
    <sheetView zoomScale="150" zoomScaleNormal="150" workbookViewId="0">
      <selection activeCell="E18" sqref="E18"/>
    </sheetView>
  </sheetViews>
  <sheetFormatPr baseColWidth="10" defaultColWidth="8.83203125" defaultRowHeight="16"/>
  <cols>
    <col min="1" max="1" width="31.83203125" style="125" bestFit="1" customWidth="1"/>
    <col min="2" max="2" width="41.5" bestFit="1" customWidth="1"/>
    <col min="3" max="3" width="13.83203125" style="12" bestFit="1" customWidth="1"/>
    <col min="4" max="4" width="17.1640625" style="12" customWidth="1"/>
    <col min="5" max="5" width="18.83203125" style="12" customWidth="1"/>
    <col min="6" max="6" width="49.33203125" customWidth="1"/>
    <col min="7" max="7" width="18.83203125" customWidth="1"/>
    <col min="8" max="8" width="18.5" customWidth="1"/>
    <col min="21" max="21" width="12.33203125" bestFit="1" customWidth="1"/>
  </cols>
  <sheetData>
    <row r="1" spans="1:9">
      <c r="A1" s="49" t="s">
        <v>264</v>
      </c>
      <c r="B1" s="50" t="s">
        <v>265</v>
      </c>
      <c r="C1" s="51" t="s">
        <v>266</v>
      </c>
      <c r="D1" s="51" t="s">
        <v>267</v>
      </c>
      <c r="E1" s="51" t="s">
        <v>268</v>
      </c>
      <c r="F1" s="52" t="s">
        <v>212</v>
      </c>
      <c r="G1" s="53" t="s">
        <v>269</v>
      </c>
      <c r="H1" s="53" t="s">
        <v>270</v>
      </c>
    </row>
    <row r="2" spans="1:9" ht="17">
      <c r="A2" s="54" t="s">
        <v>271</v>
      </c>
      <c r="B2" s="55" t="s">
        <v>272</v>
      </c>
      <c r="C2" s="56">
        <v>8000</v>
      </c>
      <c r="D2" s="56"/>
      <c r="E2" s="56"/>
      <c r="F2" s="57" t="s">
        <v>273</v>
      </c>
      <c r="G2" t="s">
        <v>274</v>
      </c>
      <c r="H2" t="s">
        <v>275</v>
      </c>
      <c r="I2" s="58" t="s">
        <v>276</v>
      </c>
    </row>
    <row r="3" spans="1:9" ht="17">
      <c r="A3" s="54" t="s">
        <v>277</v>
      </c>
      <c r="B3" s="59" t="s">
        <v>278</v>
      </c>
      <c r="C3" s="60">
        <f>C2*0.15</f>
        <v>1200</v>
      </c>
      <c r="D3" s="56">
        <f>120*1200</f>
        <v>144000</v>
      </c>
      <c r="E3" s="56"/>
      <c r="F3" s="57" t="s">
        <v>279</v>
      </c>
      <c r="G3" t="s">
        <v>280</v>
      </c>
      <c r="H3" t="s">
        <v>281</v>
      </c>
      <c r="I3" s="58" t="s">
        <v>282</v>
      </c>
    </row>
    <row r="4" spans="1:9" ht="17">
      <c r="A4" s="270" t="s">
        <v>283</v>
      </c>
      <c r="B4" s="55" t="s">
        <v>284</v>
      </c>
      <c r="C4" s="56">
        <f>C3/4</f>
        <v>300</v>
      </c>
      <c r="D4" s="56"/>
      <c r="E4" s="56"/>
      <c r="F4" s="57"/>
      <c r="G4" t="s">
        <v>285</v>
      </c>
      <c r="H4" t="s">
        <v>281</v>
      </c>
      <c r="I4" s="58" t="s">
        <v>286</v>
      </c>
    </row>
    <row r="5" spans="1:9">
      <c r="A5" s="271"/>
      <c r="B5" s="55" t="s">
        <v>287</v>
      </c>
      <c r="C5" s="56">
        <f>ROUNDDOWN((C2-C3)*0.103, 0)</f>
        <v>700</v>
      </c>
      <c r="D5" s="56"/>
      <c r="E5" s="56"/>
      <c r="F5" s="57"/>
    </row>
    <row r="6" spans="1:9" ht="18" thickBot="1">
      <c r="A6" s="272"/>
      <c r="B6" s="61" t="s">
        <v>288</v>
      </c>
      <c r="C6" s="62">
        <v>200</v>
      </c>
      <c r="D6" s="62" t="s">
        <v>289</v>
      </c>
      <c r="E6" s="62"/>
      <c r="F6" s="63"/>
    </row>
    <row r="7" spans="1:9" ht="15.75" customHeight="1">
      <c r="A7" s="273" t="s">
        <v>290</v>
      </c>
      <c r="B7" s="64" t="s">
        <v>291</v>
      </c>
      <c r="C7" s="65">
        <v>1200</v>
      </c>
      <c r="D7" s="64"/>
      <c r="E7" s="64"/>
      <c r="F7" s="66" t="s">
        <v>292</v>
      </c>
      <c r="G7">
        <v>1180</v>
      </c>
      <c r="H7">
        <v>1050</v>
      </c>
      <c r="I7" t="s">
        <v>293</v>
      </c>
    </row>
    <row r="8" spans="1:9">
      <c r="A8" s="274"/>
      <c r="B8" s="67" t="s">
        <v>294</v>
      </c>
      <c r="C8" s="68">
        <v>1500</v>
      </c>
      <c r="D8" s="67"/>
      <c r="E8" s="67"/>
      <c r="F8" s="69" t="s">
        <v>295</v>
      </c>
      <c r="G8">
        <v>1000</v>
      </c>
      <c r="H8">
        <v>1000</v>
      </c>
      <c r="I8" t="s">
        <v>296</v>
      </c>
    </row>
    <row r="9" spans="1:9">
      <c r="A9" s="274"/>
      <c r="B9" s="67" t="s">
        <v>297</v>
      </c>
      <c r="C9" s="70">
        <f>C8*C7</f>
        <v>1800000</v>
      </c>
      <c r="D9" s="71"/>
      <c r="E9" s="67"/>
      <c r="F9" s="69"/>
    </row>
    <row r="10" spans="1:9">
      <c r="A10" s="72" t="s">
        <v>298</v>
      </c>
      <c r="B10" s="73">
        <v>0.18</v>
      </c>
      <c r="C10" s="70">
        <f>C9*B10</f>
        <v>324000</v>
      </c>
      <c r="D10" s="67"/>
      <c r="E10" s="67"/>
      <c r="F10" s="69"/>
    </row>
    <row r="11" spans="1:9">
      <c r="A11" s="72" t="s">
        <v>299</v>
      </c>
      <c r="B11" s="73">
        <v>0.12</v>
      </c>
      <c r="C11" s="70">
        <f>C10*B11/B10</f>
        <v>216000</v>
      </c>
      <c r="D11" s="67"/>
      <c r="E11" s="67"/>
      <c r="F11" s="275" t="s">
        <v>300</v>
      </c>
      <c r="G11">
        <v>820</v>
      </c>
      <c r="H11">
        <v>820</v>
      </c>
      <c r="I11" t="s">
        <v>301</v>
      </c>
    </row>
    <row r="12" spans="1:9" ht="17" thickBot="1">
      <c r="A12" s="74" t="s">
        <v>302</v>
      </c>
      <c r="B12" s="75">
        <v>0.06</v>
      </c>
      <c r="C12" s="76">
        <f>C10-C11</f>
        <v>108000</v>
      </c>
      <c r="D12" s="77"/>
      <c r="E12" s="77"/>
      <c r="F12" s="276"/>
      <c r="G12">
        <f>G11*1.18</f>
        <v>967.59999999999991</v>
      </c>
      <c r="H12">
        <f>H11*1.05</f>
        <v>861</v>
      </c>
      <c r="I12" t="s">
        <v>303</v>
      </c>
    </row>
    <row r="13" spans="1:9" ht="15" customHeight="1">
      <c r="A13" s="277" t="s">
        <v>304</v>
      </c>
      <c r="B13" s="78" t="s">
        <v>305</v>
      </c>
      <c r="C13" s="79">
        <f>C7*0.05</f>
        <v>60</v>
      </c>
      <c r="D13" s="80"/>
      <c r="E13" s="80"/>
      <c r="F13" s="81"/>
      <c r="G13">
        <v>100</v>
      </c>
      <c r="H13" t="s">
        <v>306</v>
      </c>
      <c r="I13" t="s">
        <v>307</v>
      </c>
    </row>
    <row r="14" spans="1:9">
      <c r="A14" s="278"/>
      <c r="B14" s="82" t="s">
        <v>308</v>
      </c>
      <c r="C14" s="83">
        <v>400</v>
      </c>
      <c r="D14" s="55"/>
      <c r="E14" s="55"/>
      <c r="F14" s="84" t="s">
        <v>309</v>
      </c>
      <c r="G14">
        <f>20*1.18</f>
        <v>23.599999999999998</v>
      </c>
      <c r="H14">
        <v>23.6</v>
      </c>
      <c r="I14" t="s">
        <v>115</v>
      </c>
    </row>
    <row r="15" spans="1:9" ht="17" thickBot="1">
      <c r="A15" s="279"/>
      <c r="B15" s="82" t="s">
        <v>310</v>
      </c>
      <c r="C15" s="83">
        <f>C14*C13</f>
        <v>24000</v>
      </c>
      <c r="D15" s="55"/>
      <c r="E15" s="55"/>
      <c r="F15" s="85"/>
    </row>
    <row r="16" spans="1:9">
      <c r="A16" s="86" t="s">
        <v>311</v>
      </c>
      <c r="B16" s="87">
        <v>1</v>
      </c>
      <c r="C16" s="83">
        <v>24000</v>
      </c>
      <c r="D16" s="55"/>
      <c r="E16" s="55"/>
      <c r="F16" s="84" t="s">
        <v>312</v>
      </c>
    </row>
    <row r="17" spans="1:21">
      <c r="A17" s="88" t="s">
        <v>313</v>
      </c>
      <c r="B17" s="87">
        <v>0.626</v>
      </c>
      <c r="C17" s="83">
        <f>C16*B17</f>
        <v>15024</v>
      </c>
      <c r="D17" s="55"/>
      <c r="E17" s="55"/>
      <c r="F17" s="84" t="s">
        <v>314</v>
      </c>
      <c r="G17">
        <f>SUM(G12:G14)</f>
        <v>1091.1999999999998</v>
      </c>
      <c r="H17">
        <f>SUM(H12:H14)</f>
        <v>884.6</v>
      </c>
    </row>
    <row r="18" spans="1:21" ht="17" thickBot="1">
      <c r="A18" s="89" t="s">
        <v>302</v>
      </c>
      <c r="B18" s="90">
        <v>0.374</v>
      </c>
      <c r="C18" s="91">
        <f>C16-C17</f>
        <v>8976</v>
      </c>
      <c r="D18" s="61"/>
      <c r="E18" s="61"/>
      <c r="F18" s="92" t="s">
        <v>315</v>
      </c>
      <c r="G18">
        <f>G7-G17</f>
        <v>88.800000000000182</v>
      </c>
      <c r="H18">
        <f>H7-H17</f>
        <v>165.39999999999998</v>
      </c>
      <c r="I18" t="s">
        <v>316</v>
      </c>
      <c r="M18">
        <v>10</v>
      </c>
      <c r="N18">
        <v>12</v>
      </c>
      <c r="O18">
        <v>7</v>
      </c>
      <c r="P18">
        <f>O18*N18*M18</f>
        <v>840</v>
      </c>
    </row>
    <row r="19" spans="1:21" ht="15" customHeight="1">
      <c r="A19" s="280" t="s">
        <v>317</v>
      </c>
      <c r="B19" s="93" t="s">
        <v>318</v>
      </c>
      <c r="C19" s="94">
        <v>120</v>
      </c>
      <c r="D19" s="93"/>
      <c r="E19" s="93"/>
      <c r="F19" s="95" t="s">
        <v>319</v>
      </c>
      <c r="G19">
        <v>28.8</v>
      </c>
      <c r="H19">
        <v>5.4</v>
      </c>
      <c r="I19" t="s">
        <v>320</v>
      </c>
    </row>
    <row r="20" spans="1:21">
      <c r="A20" s="274"/>
      <c r="B20" s="67" t="s">
        <v>308</v>
      </c>
      <c r="C20" s="70">
        <v>250</v>
      </c>
      <c r="D20" s="67"/>
      <c r="E20" s="67"/>
      <c r="F20" s="69"/>
      <c r="G20">
        <f>G18-G19</f>
        <v>60.000000000000185</v>
      </c>
      <c r="H20">
        <v>60</v>
      </c>
      <c r="I20" t="s">
        <v>321</v>
      </c>
    </row>
    <row r="21" spans="1:21" ht="15" customHeight="1">
      <c r="A21" s="274"/>
      <c r="B21" s="67" t="s">
        <v>297</v>
      </c>
      <c r="C21" s="70">
        <f>C20*C19</f>
        <v>30000</v>
      </c>
      <c r="D21" s="67"/>
      <c r="E21" s="67"/>
      <c r="F21" s="69" t="s">
        <v>322</v>
      </c>
    </row>
    <row r="22" spans="1:21">
      <c r="A22" s="72" t="s">
        <v>298</v>
      </c>
      <c r="B22" s="73">
        <v>0.12</v>
      </c>
      <c r="C22" s="70">
        <f>C21*B22</f>
        <v>3600</v>
      </c>
      <c r="D22" s="67"/>
      <c r="E22" s="67"/>
      <c r="F22" s="69"/>
      <c r="G22">
        <v>1100</v>
      </c>
      <c r="H22" t="s">
        <v>323</v>
      </c>
    </row>
    <row r="23" spans="1:21">
      <c r="A23" s="72" t="s">
        <v>299</v>
      </c>
      <c r="B23" s="73">
        <v>0.06</v>
      </c>
      <c r="C23" s="70">
        <f>C22*B23/B22</f>
        <v>1800</v>
      </c>
      <c r="D23" s="67"/>
      <c r="E23" s="67"/>
      <c r="F23" s="275" t="s">
        <v>324</v>
      </c>
      <c r="G23" t="s">
        <v>325</v>
      </c>
      <c r="H23" t="s">
        <v>326</v>
      </c>
    </row>
    <row r="24" spans="1:21" ht="17" thickBot="1">
      <c r="A24" s="96" t="s">
        <v>302</v>
      </c>
      <c r="B24" s="97">
        <v>0.06</v>
      </c>
      <c r="C24" s="98">
        <f>C22-C23</f>
        <v>1800</v>
      </c>
      <c r="D24" s="99"/>
      <c r="E24" s="99"/>
      <c r="F24" s="281"/>
      <c r="G24">
        <v>1</v>
      </c>
      <c r="H24">
        <v>100</v>
      </c>
      <c r="I24" t="s">
        <v>327</v>
      </c>
    </row>
    <row r="25" spans="1:21" ht="15" customHeight="1">
      <c r="A25" s="263" t="s">
        <v>328</v>
      </c>
      <c r="B25" s="80" t="s">
        <v>329</v>
      </c>
      <c r="C25" s="100"/>
      <c r="D25" s="100">
        <v>2000</v>
      </c>
      <c r="E25" s="101">
        <f t="shared" ref="E25:E30" si="0">D25*5</f>
        <v>10000</v>
      </c>
      <c r="F25" s="102" t="s">
        <v>330</v>
      </c>
      <c r="G25">
        <v>2</v>
      </c>
      <c r="H25">
        <v>170</v>
      </c>
      <c r="I25" t="s">
        <v>331</v>
      </c>
    </row>
    <row r="26" spans="1:21">
      <c r="A26" s="264"/>
      <c r="B26" s="55" t="s">
        <v>332</v>
      </c>
      <c r="C26" s="83"/>
      <c r="D26" s="103">
        <v>2000</v>
      </c>
      <c r="E26" s="83">
        <f t="shared" si="0"/>
        <v>10000</v>
      </c>
      <c r="F26" s="84" t="s">
        <v>333</v>
      </c>
      <c r="G26">
        <v>3</v>
      </c>
      <c r="H26">
        <v>240</v>
      </c>
      <c r="I26" t="s">
        <v>334</v>
      </c>
    </row>
    <row r="27" spans="1:21" ht="15" customHeight="1">
      <c r="A27" s="264"/>
      <c r="B27" s="55" t="s">
        <v>297</v>
      </c>
      <c r="C27" s="83"/>
      <c r="D27" s="83">
        <f>D26*D25</f>
        <v>4000000</v>
      </c>
      <c r="E27" s="83">
        <f t="shared" si="0"/>
        <v>20000000</v>
      </c>
      <c r="F27" s="84"/>
      <c r="G27">
        <v>4</v>
      </c>
      <c r="H27">
        <v>310</v>
      </c>
    </row>
    <row r="28" spans="1:21">
      <c r="A28" s="88" t="s">
        <v>298</v>
      </c>
      <c r="B28" s="87">
        <v>0.18</v>
      </c>
      <c r="C28" s="83"/>
      <c r="D28" s="83">
        <f>D27*B28</f>
        <v>720000</v>
      </c>
      <c r="E28" s="83">
        <f t="shared" si="0"/>
        <v>3600000</v>
      </c>
      <c r="F28" s="84"/>
      <c r="G28">
        <v>5</v>
      </c>
      <c r="H28">
        <v>380</v>
      </c>
    </row>
    <row r="29" spans="1:21">
      <c r="A29" s="88" t="s">
        <v>335</v>
      </c>
      <c r="B29" s="87">
        <v>0.06</v>
      </c>
      <c r="C29" s="83"/>
      <c r="D29" s="83">
        <f>D27*B29</f>
        <v>240000</v>
      </c>
      <c r="E29" s="83">
        <f t="shared" si="0"/>
        <v>1200000</v>
      </c>
      <c r="F29" s="265" t="s">
        <v>336</v>
      </c>
      <c r="G29">
        <v>6</v>
      </c>
      <c r="H29">
        <v>450</v>
      </c>
    </row>
    <row r="30" spans="1:21" ht="17" thickBot="1">
      <c r="A30" s="104" t="s">
        <v>337</v>
      </c>
      <c r="B30" s="105">
        <v>0.12</v>
      </c>
      <c r="C30" s="106"/>
      <c r="D30" s="106">
        <f>D28-D29</f>
        <v>480000</v>
      </c>
      <c r="E30" s="107">
        <f t="shared" si="0"/>
        <v>2400000</v>
      </c>
      <c r="F30" s="266"/>
      <c r="G30">
        <v>7</v>
      </c>
      <c r="H30">
        <v>520</v>
      </c>
      <c r="T30">
        <v>10500000</v>
      </c>
      <c r="U30">
        <f>T30/T31</f>
        <v>600</v>
      </c>
    </row>
    <row r="31" spans="1:21">
      <c r="A31" s="263" t="s">
        <v>338</v>
      </c>
      <c r="B31" s="108" t="s">
        <v>339</v>
      </c>
      <c r="C31" s="100"/>
      <c r="D31" s="100">
        <v>1</v>
      </c>
      <c r="E31" s="101">
        <f>D31*7</f>
        <v>7</v>
      </c>
      <c r="F31" s="81" t="s">
        <v>340</v>
      </c>
      <c r="H31" s="109"/>
      <c r="J31">
        <f>((1500*2000)+(500*200))/(2100)</f>
        <v>1476.1904761904761</v>
      </c>
      <c r="T31" s="110">
        <v>17500</v>
      </c>
      <c r="U31">
        <f>U30/70</f>
        <v>8.5714285714285712</v>
      </c>
    </row>
    <row r="32" spans="1:21" ht="17" thickBot="1">
      <c r="A32" s="267"/>
      <c r="B32" s="111" t="s">
        <v>341</v>
      </c>
      <c r="C32" s="112"/>
      <c r="D32" s="112">
        <v>35000</v>
      </c>
      <c r="E32" s="112">
        <f>D32*7</f>
        <v>245000</v>
      </c>
      <c r="F32" s="92"/>
      <c r="G32">
        <f>D32*10*0.5</f>
        <v>175000</v>
      </c>
      <c r="U32">
        <f>U31*T30</f>
        <v>90000000</v>
      </c>
    </row>
    <row r="33" spans="1:9" ht="17" thickBot="1">
      <c r="A33" s="268" t="s">
        <v>342</v>
      </c>
      <c r="B33" s="269"/>
      <c r="C33" s="113">
        <f>C24+C18+C12</f>
        <v>118776</v>
      </c>
      <c r="D33" s="113"/>
      <c r="E33" s="113"/>
      <c r="F33" s="114" t="s">
        <v>343</v>
      </c>
      <c r="G33">
        <v>8</v>
      </c>
      <c r="H33">
        <v>590</v>
      </c>
    </row>
    <row r="34" spans="1:9" ht="17">
      <c r="A34" s="115" t="s">
        <v>344</v>
      </c>
      <c r="B34" s="116" t="s">
        <v>345</v>
      </c>
      <c r="C34" s="117">
        <f>C24+C18+C12</f>
        <v>118776</v>
      </c>
      <c r="D34" s="117">
        <f>(C34+D32*0.3)*10+(D30)</f>
        <v>1772760</v>
      </c>
      <c r="E34" s="117">
        <f t="shared" ref="E34:E39" si="1">D34*7</f>
        <v>12409320</v>
      </c>
      <c r="F34" s="116" t="s">
        <v>346</v>
      </c>
      <c r="G34">
        <v>9</v>
      </c>
      <c r="H34">
        <v>660</v>
      </c>
    </row>
    <row r="35" spans="1:9" ht="34">
      <c r="A35" s="55" t="s">
        <v>347</v>
      </c>
      <c r="B35" s="118" t="s">
        <v>348</v>
      </c>
      <c r="C35" s="119">
        <f>C24+C18+C12</f>
        <v>118776</v>
      </c>
      <c r="D35" s="119">
        <f>(C35+D32*0.3)*20+(D30)</f>
        <v>3065520</v>
      </c>
      <c r="E35" s="117">
        <f t="shared" si="1"/>
        <v>21458640</v>
      </c>
      <c r="F35" s="116" t="s">
        <v>349</v>
      </c>
      <c r="G35">
        <v>10</v>
      </c>
      <c r="H35">
        <v>730</v>
      </c>
    </row>
    <row r="36" spans="1:9" ht="34">
      <c r="A36" s="55" t="s">
        <v>350</v>
      </c>
      <c r="B36" s="118" t="s">
        <v>351</v>
      </c>
      <c r="C36" s="119">
        <f>C24+C18+C12</f>
        <v>118776</v>
      </c>
      <c r="D36" s="119">
        <f>(C36+D32*0.3)*30+(D30)</f>
        <v>4358280</v>
      </c>
      <c r="E36" s="117">
        <f t="shared" si="1"/>
        <v>30507960</v>
      </c>
      <c r="F36" s="116" t="s">
        <v>352</v>
      </c>
      <c r="G36">
        <v>11</v>
      </c>
      <c r="H36">
        <v>800</v>
      </c>
    </row>
    <row r="37" spans="1:9" ht="34">
      <c r="A37" s="55" t="s">
        <v>353</v>
      </c>
      <c r="B37" s="118" t="s">
        <v>354</v>
      </c>
      <c r="C37" s="119">
        <f>C24+C18+C12</f>
        <v>118776</v>
      </c>
      <c r="D37" s="119">
        <f>(C37+D32*0.3)*40+(D30)</f>
        <v>5651040</v>
      </c>
      <c r="E37" s="117">
        <f t="shared" si="1"/>
        <v>39557280</v>
      </c>
      <c r="F37" s="116" t="s">
        <v>355</v>
      </c>
      <c r="G37">
        <v>12</v>
      </c>
      <c r="H37">
        <v>870</v>
      </c>
      <c r="I37" t="s">
        <v>356</v>
      </c>
    </row>
    <row r="38" spans="1:9" ht="34">
      <c r="A38" s="55" t="s">
        <v>357</v>
      </c>
      <c r="B38" s="118" t="s">
        <v>358</v>
      </c>
      <c r="C38" s="119">
        <f>C24+C18+C12</f>
        <v>118776</v>
      </c>
      <c r="D38" s="119">
        <f>(C38+D32*0.3)*50+(D30)</f>
        <v>6943800</v>
      </c>
      <c r="E38" s="117">
        <f t="shared" si="1"/>
        <v>48606600</v>
      </c>
      <c r="F38" s="116" t="s">
        <v>359</v>
      </c>
      <c r="H38">
        <f>H37*G22</f>
        <v>957000</v>
      </c>
      <c r="I38" t="s">
        <v>360</v>
      </c>
    </row>
    <row r="39" spans="1:9" ht="17">
      <c r="A39" s="55" t="s">
        <v>361</v>
      </c>
      <c r="B39" s="118" t="s">
        <v>362</v>
      </c>
      <c r="C39" s="119">
        <f>C24+C18+C12</f>
        <v>118776</v>
      </c>
      <c r="D39" s="119">
        <f>(C38+D32*0.3)*60+(D30)</f>
        <v>8236560</v>
      </c>
      <c r="E39" s="117">
        <f t="shared" si="1"/>
        <v>57655920</v>
      </c>
      <c r="F39" s="116" t="s">
        <v>363</v>
      </c>
      <c r="H39">
        <f>H38*2</f>
        <v>1914000</v>
      </c>
      <c r="I39" t="s">
        <v>364</v>
      </c>
    </row>
    <row r="40" spans="1:9" s="120" customFormat="1" ht="17">
      <c r="A40" s="118" t="s">
        <v>365</v>
      </c>
      <c r="B40" s="118" t="s">
        <v>366</v>
      </c>
      <c r="C40" s="83">
        <f>C24+C18+C12</f>
        <v>118776</v>
      </c>
      <c r="D40" s="83">
        <f>D39*2</f>
        <v>16473120</v>
      </c>
      <c r="E40" s="83">
        <f>E39*2</f>
        <v>115311840</v>
      </c>
      <c r="F40" s="116" t="s">
        <v>367</v>
      </c>
      <c r="H40" s="83">
        <f>H39*1500*0.02</f>
        <v>57420000</v>
      </c>
      <c r="I40" t="s">
        <v>368</v>
      </c>
    </row>
    <row r="41" spans="1:9" ht="17">
      <c r="A41" s="118" t="s">
        <v>369</v>
      </c>
      <c r="B41" s="118" t="s">
        <v>370</v>
      </c>
      <c r="C41" s="119">
        <f>C24+C18+C12</f>
        <v>118776</v>
      </c>
      <c r="D41" s="119">
        <f>D39*4</f>
        <v>32946240</v>
      </c>
      <c r="E41" s="119">
        <f>E40*2</f>
        <v>230623680</v>
      </c>
      <c r="F41" s="116" t="s">
        <v>371</v>
      </c>
      <c r="H41">
        <f>870*1100</f>
        <v>957000</v>
      </c>
      <c r="I41" t="s">
        <v>372</v>
      </c>
    </row>
    <row r="42" spans="1:9">
      <c r="A42" s="121" t="s">
        <v>373</v>
      </c>
      <c r="B42" s="121" t="s">
        <v>374</v>
      </c>
      <c r="C42" s="122">
        <f>C24+C18+C12</f>
        <v>118776</v>
      </c>
      <c r="D42" s="122">
        <f>D39*6</f>
        <v>49419360</v>
      </c>
      <c r="E42" s="122">
        <f>E39*6+(E30)+(E30)</f>
        <v>350735520</v>
      </c>
      <c r="F42" s="123" t="s">
        <v>375</v>
      </c>
    </row>
    <row r="43" spans="1:9">
      <c r="A43" s="2"/>
      <c r="B43" s="2"/>
      <c r="C43" s="124"/>
      <c r="D43" s="124"/>
      <c r="E43" s="124"/>
      <c r="F43" s="2"/>
    </row>
    <row r="44" spans="1:9">
      <c r="A44" s="2"/>
      <c r="B44" s="2"/>
      <c r="C44" s="124"/>
      <c r="D44" s="124"/>
      <c r="E44" s="124"/>
      <c r="F44" s="2"/>
    </row>
    <row r="45" spans="1:9">
      <c r="A45" s="2"/>
      <c r="B45" s="2"/>
      <c r="C45" s="124"/>
      <c r="D45" s="124"/>
      <c r="E45" s="124"/>
      <c r="F45" s="2"/>
    </row>
  </sheetData>
  <mergeCells count="10">
    <mergeCell ref="A25:A27"/>
    <mergeCell ref="F29:F30"/>
    <mergeCell ref="A31:A32"/>
    <mergeCell ref="A33:B33"/>
    <mergeCell ref="A4:A6"/>
    <mergeCell ref="A7:A9"/>
    <mergeCell ref="F11:F12"/>
    <mergeCell ref="A13:A15"/>
    <mergeCell ref="A19:A21"/>
    <mergeCell ref="F23:F2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C362-FB46-4748-B147-CDC06664CCFB}">
  <dimension ref="B1:D24"/>
  <sheetViews>
    <sheetView zoomScale="170" zoomScaleNormal="170" workbookViewId="0">
      <selection activeCell="C23" sqref="C23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17" thickBot="1">
      <c r="B2" s="254" t="s">
        <v>192</v>
      </c>
      <c r="C2" s="255"/>
      <c r="D2" s="256"/>
    </row>
    <row r="3" spans="2:4" ht="17" thickBot="1">
      <c r="B3" s="257" t="s">
        <v>191</v>
      </c>
      <c r="C3" s="258"/>
      <c r="D3" s="259"/>
    </row>
    <row r="4" spans="2:4">
      <c r="B4" s="37" t="s">
        <v>181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164</v>
      </c>
      <c r="C6" s="30">
        <v>10000</v>
      </c>
      <c r="D6" s="33" t="s">
        <v>200</v>
      </c>
    </row>
    <row r="7" spans="2:4">
      <c r="B7" s="32" t="s">
        <v>166</v>
      </c>
      <c r="C7" s="30" t="s">
        <v>165</v>
      </c>
      <c r="D7" s="33"/>
    </row>
    <row r="8" spans="2:4">
      <c r="B8" s="32" t="s">
        <v>403</v>
      </c>
      <c r="C8" s="30">
        <v>2.5</v>
      </c>
      <c r="D8" s="33" t="s">
        <v>404</v>
      </c>
    </row>
    <row r="9" spans="2:4" ht="17">
      <c r="B9" s="34" t="s">
        <v>197</v>
      </c>
      <c r="C9" s="30" t="s">
        <v>405</v>
      </c>
      <c r="D9" s="33" t="s">
        <v>203</v>
      </c>
    </row>
    <row r="10" spans="2:4">
      <c r="B10" s="32" t="s">
        <v>198</v>
      </c>
      <c r="C10" s="30" t="s">
        <v>406</v>
      </c>
      <c r="D10" s="33" t="s">
        <v>199</v>
      </c>
    </row>
    <row r="11" spans="2:4" ht="17" thickBot="1">
      <c r="B11" s="40" t="s">
        <v>169</v>
      </c>
      <c r="C11" s="45" t="s">
        <v>171</v>
      </c>
      <c r="D11" s="41" t="s">
        <v>184</v>
      </c>
    </row>
    <row r="12" spans="2:4" ht="17" thickBot="1">
      <c r="B12" s="257" t="s">
        <v>190</v>
      </c>
      <c r="C12" s="258"/>
      <c r="D12" s="259"/>
    </row>
    <row r="13" spans="2:4">
      <c r="B13" s="37" t="s">
        <v>174</v>
      </c>
      <c r="C13" s="38">
        <v>13200</v>
      </c>
      <c r="D13" s="39" t="s">
        <v>201</v>
      </c>
    </row>
    <row r="14" spans="2:4">
      <c r="B14" s="32" t="s">
        <v>172</v>
      </c>
      <c r="C14" s="30">
        <v>20000</v>
      </c>
      <c r="D14" s="33" t="s">
        <v>185</v>
      </c>
    </row>
    <row r="15" spans="2:4">
      <c r="B15" s="32" t="s">
        <v>196</v>
      </c>
      <c r="C15" s="30" t="s">
        <v>173</v>
      </c>
      <c r="D15" s="33" t="s">
        <v>188</v>
      </c>
    </row>
    <row r="16" spans="2:4">
      <c r="B16" s="32" t="s">
        <v>175</v>
      </c>
      <c r="C16" s="30" t="s">
        <v>204</v>
      </c>
      <c r="D16" s="33" t="s">
        <v>186</v>
      </c>
    </row>
    <row r="17" spans="2:4" ht="17" thickBot="1">
      <c r="B17" s="40" t="s">
        <v>207</v>
      </c>
      <c r="C17" s="45" t="s">
        <v>205</v>
      </c>
      <c r="D17" s="41" t="s">
        <v>187</v>
      </c>
    </row>
    <row r="18" spans="2:4" ht="17" thickBot="1">
      <c r="B18" s="260" t="s">
        <v>189</v>
      </c>
      <c r="C18" s="261"/>
      <c r="D18" s="262"/>
    </row>
    <row r="19" spans="2:4">
      <c r="B19" s="37" t="s">
        <v>193</v>
      </c>
      <c r="C19" s="42">
        <v>120</v>
      </c>
      <c r="D19" s="39" t="s">
        <v>194</v>
      </c>
    </row>
    <row r="20" spans="2:4">
      <c r="B20" s="32" t="s">
        <v>176</v>
      </c>
      <c r="C20" s="31">
        <v>10</v>
      </c>
      <c r="D20" s="33" t="s">
        <v>195</v>
      </c>
    </row>
    <row r="21" spans="2:4">
      <c r="B21" s="32" t="s">
        <v>177</v>
      </c>
      <c r="C21" s="31">
        <v>2000000</v>
      </c>
      <c r="D21" s="33" t="s">
        <v>208</v>
      </c>
    </row>
    <row r="22" spans="2:4">
      <c r="B22" s="32" t="s">
        <v>196</v>
      </c>
      <c r="C22" s="31">
        <f>C21*C19*C20/100</f>
        <v>24000000</v>
      </c>
      <c r="D22" s="33"/>
    </row>
    <row r="23" spans="2:4">
      <c r="B23" s="32" t="s">
        <v>178</v>
      </c>
      <c r="C23" s="31" t="s">
        <v>179</v>
      </c>
      <c r="D23" s="33" t="s">
        <v>186</v>
      </c>
    </row>
    <row r="24" spans="2:4" ht="17" thickBot="1">
      <c r="B24" s="35" t="s">
        <v>206</v>
      </c>
      <c r="C24" s="44" t="s">
        <v>180</v>
      </c>
      <c r="D24" s="36"/>
    </row>
  </sheetData>
  <mergeCells count="4">
    <mergeCell ref="B2:D2"/>
    <mergeCell ref="B3:D3"/>
    <mergeCell ref="B12:D12"/>
    <mergeCell ref="B18: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EF-0D2B-8D4C-B5B8-FA64EFBC946B}">
  <dimension ref="A1:E79"/>
  <sheetViews>
    <sheetView topLeftCell="A33" zoomScale="260" zoomScaleNormal="260" workbookViewId="0">
      <selection activeCell="B41" sqref="B41"/>
    </sheetView>
  </sheetViews>
  <sheetFormatPr baseColWidth="10" defaultRowHeight="16"/>
  <cols>
    <col min="1" max="1" width="51.1640625" customWidth="1"/>
    <col min="2" max="2" width="15.33203125" bestFit="1" customWidth="1"/>
    <col min="3" max="3" width="19.6640625" bestFit="1" customWidth="1"/>
    <col min="4" max="4" width="11.83203125" customWidth="1"/>
  </cols>
  <sheetData>
    <row r="1" spans="1:5" ht="17">
      <c r="A1" s="13" t="s">
        <v>80</v>
      </c>
      <c r="B1" t="s">
        <v>100</v>
      </c>
      <c r="C1" t="s">
        <v>85</v>
      </c>
    </row>
    <row r="2" spans="1:5" ht="17">
      <c r="A2" s="13" t="s">
        <v>424</v>
      </c>
      <c r="B2">
        <v>500000</v>
      </c>
      <c r="C2" s="129" t="s">
        <v>425</v>
      </c>
      <c r="D2" s="128"/>
    </row>
    <row r="3" spans="1:5" ht="17">
      <c r="A3" s="13" t="s">
        <v>82</v>
      </c>
      <c r="B3">
        <v>100000</v>
      </c>
      <c r="C3" s="12">
        <v>8</v>
      </c>
      <c r="D3" t="s">
        <v>182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</row>
    <row r="7" spans="1:5" ht="17">
      <c r="A7" s="13" t="s">
        <v>77</v>
      </c>
      <c r="B7">
        <v>120000</v>
      </c>
      <c r="C7" s="15"/>
      <c r="D7" t="s">
        <v>182</v>
      </c>
    </row>
    <row r="8" spans="1:5" ht="17">
      <c r="A8" s="13" t="s">
        <v>78</v>
      </c>
      <c r="C8" s="12"/>
    </row>
    <row r="9" spans="1:5" ht="17">
      <c r="A9" s="13" t="s">
        <v>86</v>
      </c>
      <c r="C9" s="12"/>
    </row>
    <row r="10" spans="1:5" ht="17">
      <c r="A10" s="13" t="s">
        <v>79</v>
      </c>
      <c r="C10" s="12"/>
    </row>
    <row r="11" spans="1:5" ht="17">
      <c r="A11" s="13" t="s">
        <v>15</v>
      </c>
      <c r="B11">
        <f>SUM(B2:B10)</f>
        <v>1040000</v>
      </c>
      <c r="C11" s="12">
        <f>SUM(C2:C10)</f>
        <v>8</v>
      </c>
    </row>
    <row r="12" spans="1:5" ht="17">
      <c r="A12" s="13" t="s">
        <v>87</v>
      </c>
      <c r="B12" s="14">
        <v>0.4</v>
      </c>
    </row>
    <row r="13" spans="1:5" ht="17">
      <c r="A13" s="13" t="s">
        <v>88</v>
      </c>
      <c r="B13">
        <f>(1-B12)*B11</f>
        <v>624000</v>
      </c>
    </row>
    <row r="14" spans="1:5" ht="17">
      <c r="A14" s="13" t="s">
        <v>89</v>
      </c>
      <c r="B14">
        <f>B13*0.075</f>
        <v>46800</v>
      </c>
      <c r="D14" t="s">
        <v>90</v>
      </c>
      <c r="E14" t="s">
        <v>91</v>
      </c>
    </row>
    <row r="15" spans="1:5">
      <c r="E15" t="s">
        <v>92</v>
      </c>
    </row>
    <row r="16" spans="1:5" ht="17">
      <c r="A16" s="13" t="s">
        <v>139</v>
      </c>
      <c r="B16">
        <f>SUM(B2:B7)-B5-B2</f>
        <v>440000</v>
      </c>
      <c r="C16" t="s">
        <v>150</v>
      </c>
      <c r="E16" t="s">
        <v>93</v>
      </c>
    </row>
    <row r="17" spans="1:5" ht="17">
      <c r="A17" s="13" t="s">
        <v>140</v>
      </c>
      <c r="B17">
        <f>(1-B12)*B16</f>
        <v>264000</v>
      </c>
      <c r="E17" t="s">
        <v>94</v>
      </c>
    </row>
    <row r="18" spans="1:5">
      <c r="E18" t="s">
        <v>95</v>
      </c>
    </row>
    <row r="20" spans="1:5">
      <c r="A20" t="s">
        <v>96</v>
      </c>
      <c r="B20" s="22">
        <f>B14</f>
        <v>46800</v>
      </c>
    </row>
    <row r="21" spans="1:5">
      <c r="A21" t="s">
        <v>106</v>
      </c>
      <c r="B21" s="22">
        <v>3</v>
      </c>
      <c r="C21" t="s">
        <v>414</v>
      </c>
    </row>
    <row r="22" spans="1:5">
      <c r="A22" t="s">
        <v>413</v>
      </c>
      <c r="B22" s="22">
        <v>350</v>
      </c>
      <c r="C22" t="s">
        <v>107</v>
      </c>
      <c r="D22" t="s">
        <v>99</v>
      </c>
    </row>
    <row r="23" spans="1:5">
      <c r="A23" s="6" t="s">
        <v>98</v>
      </c>
      <c r="B23" s="6">
        <v>10</v>
      </c>
      <c r="C23" s="9" t="s">
        <v>108</v>
      </c>
    </row>
    <row r="24" spans="1:5">
      <c r="A24" s="6" t="s">
        <v>415</v>
      </c>
      <c r="B24" s="28">
        <v>350</v>
      </c>
      <c r="C24" s="9" t="s">
        <v>409</v>
      </c>
    </row>
    <row r="25" spans="1:5">
      <c r="A25" t="s">
        <v>408</v>
      </c>
      <c r="B25" s="22">
        <v>12500</v>
      </c>
      <c r="C25" t="s">
        <v>109</v>
      </c>
    </row>
    <row r="26" spans="1:5">
      <c r="A26" t="s">
        <v>102</v>
      </c>
      <c r="B26" s="22">
        <f>B20*B25</f>
        <v>585000000</v>
      </c>
      <c r="C26">
        <f>B26*0.9</f>
        <v>526500000</v>
      </c>
      <c r="D26" s="7" t="s">
        <v>417</v>
      </c>
    </row>
    <row r="27" spans="1:5">
      <c r="A27" t="s">
        <v>410</v>
      </c>
      <c r="B27">
        <v>7</v>
      </c>
      <c r="C27" t="s">
        <v>420</v>
      </c>
    </row>
    <row r="28" spans="1:5">
      <c r="A28" t="s">
        <v>411</v>
      </c>
      <c r="B28">
        <v>2.5</v>
      </c>
      <c r="C28" t="s">
        <v>412</v>
      </c>
    </row>
    <row r="29" spans="1:5">
      <c r="A29" t="s">
        <v>103</v>
      </c>
      <c r="B29">
        <v>1.5</v>
      </c>
    </row>
    <row r="30" spans="1:5">
      <c r="A30" t="s">
        <v>104</v>
      </c>
      <c r="B30" s="23">
        <f>B26*B27/100*B28/100*(B29-B21)</f>
        <v>-1535625</v>
      </c>
      <c r="C30" s="127">
        <f>B26*B27/100*B28/100*B29</f>
        <v>1535625</v>
      </c>
      <c r="D30" s="126">
        <f>C30*12</f>
        <v>18427500</v>
      </c>
      <c r="E30" s="7" t="s">
        <v>416</v>
      </c>
    </row>
    <row r="31" spans="1:5">
      <c r="A31" t="s">
        <v>419</v>
      </c>
      <c r="C31" s="126">
        <f>C30*2.5</f>
        <v>3839062.5</v>
      </c>
      <c r="D31" s="126">
        <f>D30*2.5</f>
        <v>46068750</v>
      </c>
      <c r="E31" s="7" t="s">
        <v>418</v>
      </c>
    </row>
    <row r="32" spans="1:5">
      <c r="A32" t="s">
        <v>105</v>
      </c>
      <c r="B32" s="23">
        <f>B20*B27/100*B22*(B29-B21)</f>
        <v>-1719900</v>
      </c>
      <c r="C32" s="127">
        <f>B20*B27/100*B22*2</f>
        <v>2293200</v>
      </c>
      <c r="D32" s="126">
        <f>C32*12</f>
        <v>27518400</v>
      </c>
      <c r="E32" s="7" t="s">
        <v>421</v>
      </c>
    </row>
    <row r="33" spans="1:5">
      <c r="B33" s="23"/>
      <c r="C33" s="127">
        <f>C32*2.5</f>
        <v>5733000</v>
      </c>
      <c r="D33" s="126">
        <f>D32*2.5</f>
        <v>68796000</v>
      </c>
      <c r="E33" s="7"/>
    </row>
    <row r="34" spans="1:5">
      <c r="A34" t="s">
        <v>423</v>
      </c>
      <c r="C34" s="127">
        <f>B20*(B23+B27)/100*B24</f>
        <v>2784600</v>
      </c>
      <c r="D34" s="7" t="s">
        <v>422</v>
      </c>
    </row>
    <row r="35" spans="1:5">
      <c r="C35" s="127">
        <f>C34*2.5</f>
        <v>6961500</v>
      </c>
      <c r="D35" s="7"/>
    </row>
    <row r="36" spans="1:5">
      <c r="A36" t="s">
        <v>117</v>
      </c>
      <c r="B36" s="22">
        <f>(B32+B30)*7</f>
        <v>-22788675</v>
      </c>
      <c r="C36" t="s">
        <v>161</v>
      </c>
    </row>
    <row r="37" spans="1:5">
      <c r="A37" t="s">
        <v>170</v>
      </c>
      <c r="B37" s="24">
        <f>B36*0.9</f>
        <v>-20509807.5</v>
      </c>
      <c r="D37" s="24">
        <f>B37+D42</f>
        <v>10202692.5</v>
      </c>
    </row>
    <row r="38" spans="1:5">
      <c r="A38" t="s">
        <v>118</v>
      </c>
      <c r="B38" s="25">
        <f>B36*0.1</f>
        <v>-2278867.5</v>
      </c>
      <c r="D38" s="25">
        <f>B38+D43</f>
        <v>28433632.5</v>
      </c>
    </row>
    <row r="39" spans="1:5">
      <c r="A39" t="s">
        <v>110</v>
      </c>
    </row>
    <row r="40" spans="1:5">
      <c r="A40" t="s">
        <v>111</v>
      </c>
      <c r="B40" s="22">
        <v>15</v>
      </c>
    </row>
    <row r="41" spans="1:5">
      <c r="A41" t="s">
        <v>112</v>
      </c>
      <c r="B41" s="22">
        <f>B40/100*B26</f>
        <v>87750000</v>
      </c>
    </row>
    <row r="42" spans="1:5">
      <c r="A42" t="s">
        <v>113</v>
      </c>
      <c r="B42" s="22">
        <v>5</v>
      </c>
      <c r="C42" s="22">
        <f>B41*B42/100</f>
        <v>4387500</v>
      </c>
      <c r="D42" s="25">
        <f>C42*7</f>
        <v>30712500</v>
      </c>
    </row>
    <row r="43" spans="1:5">
      <c r="A43" t="s">
        <v>114</v>
      </c>
      <c r="B43" s="22">
        <v>5</v>
      </c>
      <c r="C43" s="22">
        <f>B43/100*B41</f>
        <v>4387500</v>
      </c>
      <c r="D43" s="24">
        <f>C43*7</f>
        <v>30712500</v>
      </c>
    </row>
    <row r="44" spans="1:5">
      <c r="A44" t="s">
        <v>115</v>
      </c>
      <c r="B44" s="22">
        <v>2</v>
      </c>
      <c r="C44" s="22">
        <f>B44/100*B41</f>
        <v>1755000</v>
      </c>
      <c r="D44" s="22">
        <f>C44*7</f>
        <v>12285000</v>
      </c>
    </row>
    <row r="45" spans="1:5">
      <c r="A45" t="s">
        <v>116</v>
      </c>
      <c r="B45" s="22">
        <v>3</v>
      </c>
      <c r="C45" s="22">
        <f>B45/100*B41</f>
        <v>2632500</v>
      </c>
      <c r="D45" s="22">
        <f>C45*7</f>
        <v>18427500</v>
      </c>
    </row>
    <row r="46" spans="1:5">
      <c r="C46" s="29"/>
      <c r="D46" s="29"/>
    </row>
    <row r="47" spans="1:5">
      <c r="A47" s="27" t="s">
        <v>153</v>
      </c>
    </row>
    <row r="48" spans="1:5">
      <c r="A48" t="s">
        <v>146</v>
      </c>
      <c r="B48">
        <v>5</v>
      </c>
      <c r="C48" t="s">
        <v>136</v>
      </c>
    </row>
    <row r="49" spans="1:4">
      <c r="A49" t="s">
        <v>157</v>
      </c>
      <c r="B49" s="22">
        <f>B48/100*B16</f>
        <v>22000</v>
      </c>
      <c r="C49" t="s">
        <v>155</v>
      </c>
    </row>
    <row r="50" spans="1:4">
      <c r="A50" t="s">
        <v>137</v>
      </c>
      <c r="B50">
        <v>20000</v>
      </c>
    </row>
    <row r="51" spans="1:4">
      <c r="A51" t="s">
        <v>138</v>
      </c>
      <c r="B51" s="21">
        <f>B50*B49</f>
        <v>440000000</v>
      </c>
      <c r="C51" s="43">
        <f>B51*0.96</f>
        <v>422400000</v>
      </c>
    </row>
    <row r="52" spans="1:4">
      <c r="A52" t="s">
        <v>141</v>
      </c>
      <c r="B52" s="26">
        <v>18</v>
      </c>
      <c r="C52" t="s">
        <v>142</v>
      </c>
    </row>
    <row r="53" spans="1:4">
      <c r="A53" t="s">
        <v>143</v>
      </c>
      <c r="B53" s="21">
        <f>B52/100*B51</f>
        <v>79200000</v>
      </c>
      <c r="C53" t="s">
        <v>144</v>
      </c>
    </row>
    <row r="54" spans="1:4">
      <c r="A54" t="s">
        <v>158</v>
      </c>
      <c r="B54" s="21">
        <f>B53*7</f>
        <v>554400000</v>
      </c>
      <c r="C54" t="s">
        <v>145</v>
      </c>
    </row>
    <row r="55" spans="1:4">
      <c r="A55" t="s">
        <v>159</v>
      </c>
      <c r="C55" s="21">
        <f>B53*C51/B51</f>
        <v>76032000</v>
      </c>
    </row>
    <row r="56" spans="1:4">
      <c r="C56" s="21">
        <f>B54*C51/B51</f>
        <v>532224000</v>
      </c>
    </row>
    <row r="58" spans="1:4">
      <c r="A58" s="27" t="s">
        <v>154</v>
      </c>
    </row>
    <row r="59" spans="1:4">
      <c r="A59" t="s">
        <v>147</v>
      </c>
      <c r="B59" s="22">
        <v>170</v>
      </c>
    </row>
    <row r="60" spans="1:4">
      <c r="A60" t="s">
        <v>176</v>
      </c>
      <c r="B60" s="28">
        <v>10</v>
      </c>
      <c r="C60" s="7" t="s">
        <v>162</v>
      </c>
    </row>
    <row r="61" spans="1:4">
      <c r="A61" t="s">
        <v>156</v>
      </c>
      <c r="B61" s="22">
        <v>2000000</v>
      </c>
    </row>
    <row r="62" spans="1:4">
      <c r="A62" t="s">
        <v>138</v>
      </c>
      <c r="B62" s="22">
        <f>B61*B59*B60/100</f>
        <v>34000000</v>
      </c>
    </row>
    <row r="63" spans="1:4">
      <c r="A63" t="s">
        <v>152</v>
      </c>
      <c r="B63" s="22">
        <v>14</v>
      </c>
      <c r="C63" t="s">
        <v>160</v>
      </c>
    </row>
    <row r="64" spans="1:4">
      <c r="A64" t="s">
        <v>149</v>
      </c>
      <c r="B64" s="22">
        <f>B63/100*B62</f>
        <v>4760000</v>
      </c>
      <c r="C64" s="22">
        <f>B64*7</f>
        <v>33320000</v>
      </c>
      <c r="D64" t="s">
        <v>148</v>
      </c>
    </row>
    <row r="65" spans="1:5">
      <c r="B65" s="22"/>
      <c r="C65" s="22"/>
    </row>
    <row r="66" spans="1:5">
      <c r="B66" s="22"/>
      <c r="C66" s="22"/>
    </row>
    <row r="67" spans="1:5">
      <c r="A67" t="s">
        <v>151</v>
      </c>
    </row>
    <row r="68" spans="1:5">
      <c r="A68" t="s">
        <v>120</v>
      </c>
    </row>
    <row r="69" spans="1:5">
      <c r="A69" t="s">
        <v>119</v>
      </c>
    </row>
    <row r="73" spans="1:5" ht="17">
      <c r="A73" s="17">
        <v>3</v>
      </c>
      <c r="B73" s="17" t="s">
        <v>121</v>
      </c>
      <c r="C73" s="19" t="s">
        <v>122</v>
      </c>
      <c r="D73" s="19" t="s">
        <v>123</v>
      </c>
      <c r="E73" s="19" t="s">
        <v>124</v>
      </c>
    </row>
    <row r="74" spans="1:5" ht="17">
      <c r="A74" s="18"/>
      <c r="B74" s="18" t="s">
        <v>125</v>
      </c>
      <c r="C74" s="20">
        <v>4.48E-2</v>
      </c>
      <c r="D74" s="20">
        <v>1.0200000000000001E-2</v>
      </c>
      <c r="E74" s="20">
        <v>6.3E-3</v>
      </c>
    </row>
    <row r="75" spans="1:5" ht="17">
      <c r="A75" s="18" t="s">
        <v>126</v>
      </c>
      <c r="B75" s="18" t="s">
        <v>127</v>
      </c>
      <c r="C75" s="20">
        <v>6.0400000000000002E-2</v>
      </c>
      <c r="D75" s="20">
        <v>7.4000000000000003E-3</v>
      </c>
      <c r="E75" s="20">
        <v>6.0000000000000001E-3</v>
      </c>
    </row>
    <row r="76" spans="1:5" ht="17">
      <c r="A76" s="18" t="s">
        <v>128</v>
      </c>
      <c r="B76" s="18" t="s">
        <v>129</v>
      </c>
      <c r="C76" s="20">
        <v>4.2099999999999999E-2</v>
      </c>
      <c r="D76" s="20">
        <v>1.6299999999999999E-2</v>
      </c>
      <c r="E76" s="20">
        <v>1.2500000000000001E-2</v>
      </c>
    </row>
    <row r="77" spans="1:5" ht="17">
      <c r="A77" s="18" t="s">
        <v>130</v>
      </c>
      <c r="B77" s="18" t="s">
        <v>131</v>
      </c>
      <c r="C77" s="20">
        <v>2.7900000000000001E-2</v>
      </c>
      <c r="D77" s="20">
        <v>6.1000000000000004E-3</v>
      </c>
      <c r="E77" s="20">
        <v>2.5999999999999999E-3</v>
      </c>
    </row>
    <row r="78" spans="1:5" ht="17">
      <c r="A78" s="18" t="s">
        <v>132</v>
      </c>
      <c r="B78" s="18" t="s">
        <v>133</v>
      </c>
      <c r="C78" s="20">
        <v>2.0400000000000001E-2</v>
      </c>
      <c r="D78" s="20">
        <v>1.0500000000000001E-2</v>
      </c>
      <c r="E78" s="20">
        <v>3.5000000000000001E-3</v>
      </c>
    </row>
    <row r="79" spans="1:5" ht="17">
      <c r="A79" s="18" t="s">
        <v>134</v>
      </c>
      <c r="B79" s="18" t="s">
        <v>135</v>
      </c>
      <c r="C79" s="20">
        <v>1.38E-2</v>
      </c>
      <c r="D79" s="20">
        <v>7.6E-3</v>
      </c>
      <c r="E79" s="20">
        <v>5.4999999999999997E-3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4ACE-D4DA-4B4C-887B-A2DAD98CC5FC}">
  <dimension ref="B1:D33"/>
  <sheetViews>
    <sheetView topLeftCell="A7" zoomScale="190" zoomScaleNormal="190" workbookViewId="0">
      <selection activeCell="B2" sqref="B2:D2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20" thickBot="1">
      <c r="B2" s="282" t="s">
        <v>472</v>
      </c>
      <c r="C2" s="283"/>
      <c r="D2" s="284"/>
    </row>
    <row r="3" spans="2:4" ht="17" thickBot="1">
      <c r="B3" s="257" t="s">
        <v>443</v>
      </c>
      <c r="C3" s="258"/>
      <c r="D3" s="259"/>
    </row>
    <row r="4" spans="2:4">
      <c r="B4" s="37" t="s">
        <v>444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447</v>
      </c>
      <c r="C6" s="30">
        <v>10000</v>
      </c>
      <c r="D6" s="33" t="s">
        <v>442</v>
      </c>
    </row>
    <row r="7" spans="2:4">
      <c r="B7" s="32" t="s">
        <v>166</v>
      </c>
      <c r="C7" s="30" t="s">
        <v>165</v>
      </c>
      <c r="D7" s="33"/>
    </row>
    <row r="8" spans="2:4">
      <c r="B8" s="32" t="s">
        <v>426</v>
      </c>
      <c r="C8" s="30">
        <v>3</v>
      </c>
      <c r="D8" s="33" t="s">
        <v>446</v>
      </c>
    </row>
    <row r="9" spans="2:4">
      <c r="B9" s="138" t="s">
        <v>429</v>
      </c>
      <c r="C9" s="30">
        <v>1.5</v>
      </c>
      <c r="D9" s="33" t="s">
        <v>448</v>
      </c>
    </row>
    <row r="10" spans="2:4" ht="17">
      <c r="B10" s="34" t="s">
        <v>427</v>
      </c>
      <c r="C10" s="30">
        <v>450</v>
      </c>
      <c r="D10" s="33" t="s">
        <v>449</v>
      </c>
    </row>
    <row r="11" spans="2:4">
      <c r="B11" s="32" t="s">
        <v>428</v>
      </c>
      <c r="C11" s="130">
        <v>8.5000000000000006E-2</v>
      </c>
      <c r="D11" s="33" t="s">
        <v>450</v>
      </c>
    </row>
    <row r="12" spans="2:4">
      <c r="B12" s="32" t="s">
        <v>430</v>
      </c>
      <c r="C12" s="133">
        <v>2.5000000000000001E-2</v>
      </c>
      <c r="D12" s="33" t="s">
        <v>445</v>
      </c>
    </row>
    <row r="13" spans="2:4">
      <c r="B13" s="32" t="s">
        <v>104</v>
      </c>
      <c r="C13" s="132" t="s">
        <v>7</v>
      </c>
      <c r="D13" s="33" t="s">
        <v>451</v>
      </c>
    </row>
    <row r="14" spans="2:4">
      <c r="B14" s="32" t="s">
        <v>431</v>
      </c>
      <c r="C14" s="132" t="s">
        <v>432</v>
      </c>
      <c r="D14" s="33" t="s">
        <v>452</v>
      </c>
    </row>
    <row r="15" spans="2:4">
      <c r="B15" s="32" t="s">
        <v>433</v>
      </c>
      <c r="C15" s="132" t="s">
        <v>10</v>
      </c>
      <c r="D15" s="33" t="s">
        <v>453</v>
      </c>
    </row>
    <row r="16" spans="2:4">
      <c r="B16" s="32" t="s">
        <v>434</v>
      </c>
      <c r="C16" s="132" t="s">
        <v>435</v>
      </c>
      <c r="D16" s="33" t="s">
        <v>454</v>
      </c>
    </row>
    <row r="17" spans="2:4">
      <c r="B17" s="32" t="s">
        <v>436</v>
      </c>
      <c r="C17" s="30" t="s">
        <v>437</v>
      </c>
      <c r="D17" s="33" t="s">
        <v>455</v>
      </c>
    </row>
    <row r="18" spans="2:4">
      <c r="B18" s="32" t="s">
        <v>438</v>
      </c>
      <c r="C18" s="30" t="s">
        <v>440</v>
      </c>
      <c r="D18" s="33" t="s">
        <v>456</v>
      </c>
    </row>
    <row r="19" spans="2:4">
      <c r="B19" s="32" t="s">
        <v>439</v>
      </c>
      <c r="C19" s="30" t="s">
        <v>47</v>
      </c>
      <c r="D19" s="33" t="s">
        <v>457</v>
      </c>
    </row>
    <row r="20" spans="2:4">
      <c r="B20" s="32" t="s">
        <v>459</v>
      </c>
      <c r="C20" s="141" t="s">
        <v>441</v>
      </c>
      <c r="D20" s="33" t="s">
        <v>458</v>
      </c>
    </row>
    <row r="21" spans="2:4" ht="17" thickBot="1">
      <c r="B21" s="131" t="s">
        <v>468</v>
      </c>
      <c r="C21" s="45" t="s">
        <v>460</v>
      </c>
      <c r="D21" s="139" t="s">
        <v>470</v>
      </c>
    </row>
    <row r="22" spans="2:4" ht="17" thickBot="1">
      <c r="B22" s="257" t="s">
        <v>190</v>
      </c>
      <c r="C22" s="258"/>
      <c r="D22" s="259"/>
    </row>
    <row r="23" spans="2:4">
      <c r="B23" s="37" t="s">
        <v>461</v>
      </c>
      <c r="C23" s="38">
        <v>22000</v>
      </c>
      <c r="D23" s="39" t="s">
        <v>462</v>
      </c>
    </row>
    <row r="24" spans="2:4">
      <c r="B24" s="32" t="s">
        <v>172</v>
      </c>
      <c r="C24" s="30">
        <v>20000</v>
      </c>
      <c r="D24" s="33" t="s">
        <v>185</v>
      </c>
    </row>
    <row r="25" spans="2:4">
      <c r="B25" s="32" t="s">
        <v>196</v>
      </c>
      <c r="C25" s="30" t="s">
        <v>463</v>
      </c>
      <c r="D25" s="33" t="s">
        <v>188</v>
      </c>
    </row>
    <row r="26" spans="2:4" ht="17" thickBot="1">
      <c r="B26" s="136" t="s">
        <v>175</v>
      </c>
      <c r="C26" s="134" t="s">
        <v>464</v>
      </c>
      <c r="D26" s="137" t="s">
        <v>186</v>
      </c>
    </row>
    <row r="27" spans="2:4" ht="17" thickBot="1">
      <c r="B27" s="260" t="s">
        <v>189</v>
      </c>
      <c r="C27" s="261"/>
      <c r="D27" s="262"/>
    </row>
    <row r="28" spans="2:4">
      <c r="B28" s="37" t="s">
        <v>193</v>
      </c>
      <c r="C28" s="42">
        <v>170</v>
      </c>
      <c r="D28" s="39" t="s">
        <v>194</v>
      </c>
    </row>
    <row r="29" spans="2:4">
      <c r="B29" s="32" t="s">
        <v>176</v>
      </c>
      <c r="C29" s="31">
        <v>10</v>
      </c>
      <c r="D29" s="33" t="s">
        <v>195</v>
      </c>
    </row>
    <row r="30" spans="2:4">
      <c r="B30" s="32" t="s">
        <v>177</v>
      </c>
      <c r="C30" s="31" t="s">
        <v>10</v>
      </c>
      <c r="D30" s="33" t="s">
        <v>208</v>
      </c>
    </row>
    <row r="31" spans="2:4">
      <c r="B31" s="40" t="s">
        <v>196</v>
      </c>
      <c r="C31" s="135" t="s">
        <v>466</v>
      </c>
      <c r="D31" s="41"/>
    </row>
    <row r="32" spans="2:4" ht="17" thickBot="1">
      <c r="B32" s="131" t="s">
        <v>178</v>
      </c>
      <c r="C32" s="140" t="s">
        <v>465</v>
      </c>
      <c r="D32" s="139" t="s">
        <v>186</v>
      </c>
    </row>
    <row r="33" spans="2:4" ht="20" thickBot="1">
      <c r="B33" s="142" t="s">
        <v>467</v>
      </c>
      <c r="C33" s="143" t="s">
        <v>471</v>
      </c>
      <c r="D33" s="144" t="s">
        <v>469</v>
      </c>
    </row>
  </sheetData>
  <mergeCells count="4">
    <mergeCell ref="B2:D2"/>
    <mergeCell ref="B3:D3"/>
    <mergeCell ref="B22:D22"/>
    <mergeCell ref="B27:D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B763-ABD1-8F48-B4F9-4122E31AF1E1}">
  <dimension ref="A1:E26"/>
  <sheetViews>
    <sheetView zoomScale="150" zoomScaleNormal="150" workbookViewId="0">
      <selection activeCell="C6" sqref="C6"/>
    </sheetView>
  </sheetViews>
  <sheetFormatPr baseColWidth="10" defaultRowHeight="16"/>
  <cols>
    <col min="1" max="1" width="50" bestFit="1" customWidth="1"/>
    <col min="5" max="5" width="70.5" bestFit="1" customWidth="1"/>
  </cols>
  <sheetData>
    <row r="1" spans="1:5" ht="17" thickBot="1">
      <c r="A1" s="257" t="s">
        <v>443</v>
      </c>
      <c r="B1" s="285"/>
      <c r="C1" s="285"/>
      <c r="D1" s="285"/>
      <c r="E1" s="259"/>
    </row>
    <row r="2" spans="1:5" ht="17" thickBot="1">
      <c r="A2" s="46"/>
      <c r="B2" s="157" t="s">
        <v>491</v>
      </c>
      <c r="C2" s="157" t="s">
        <v>492</v>
      </c>
      <c r="D2" s="157" t="s">
        <v>493</v>
      </c>
      <c r="E2" s="47"/>
    </row>
    <row r="3" spans="1:5">
      <c r="A3" s="37" t="s">
        <v>494</v>
      </c>
      <c r="B3" s="148">
        <v>624000</v>
      </c>
      <c r="C3" s="148">
        <v>624000</v>
      </c>
      <c r="D3" s="148">
        <v>624000</v>
      </c>
      <c r="E3" s="39" t="s">
        <v>495</v>
      </c>
    </row>
    <row r="4" spans="1:5">
      <c r="A4" s="32" t="s">
        <v>163</v>
      </c>
      <c r="B4" s="149">
        <v>15600</v>
      </c>
      <c r="C4" s="30">
        <v>31200</v>
      </c>
      <c r="D4" s="149">
        <v>46800</v>
      </c>
      <c r="E4" s="33" t="s">
        <v>496</v>
      </c>
    </row>
    <row r="5" spans="1:5">
      <c r="A5" s="32" t="s">
        <v>447</v>
      </c>
      <c r="B5" s="149">
        <v>5000</v>
      </c>
      <c r="C5" s="30">
        <v>10000</v>
      </c>
      <c r="D5" s="149">
        <v>12500</v>
      </c>
      <c r="E5" s="33" t="s">
        <v>497</v>
      </c>
    </row>
    <row r="6" spans="1:5">
      <c r="A6" s="32" t="s">
        <v>166</v>
      </c>
      <c r="B6" s="149" t="s">
        <v>473</v>
      </c>
      <c r="C6" s="30" t="s">
        <v>165</v>
      </c>
      <c r="D6" s="149" t="s">
        <v>478</v>
      </c>
      <c r="E6" s="33"/>
    </row>
    <row r="7" spans="1:5">
      <c r="A7" s="32" t="s">
        <v>426</v>
      </c>
      <c r="B7" s="149">
        <v>3</v>
      </c>
      <c r="C7" s="30">
        <v>3</v>
      </c>
      <c r="D7" s="149">
        <v>3</v>
      </c>
      <c r="E7" s="33" t="s">
        <v>446</v>
      </c>
    </row>
    <row r="8" spans="1:5">
      <c r="A8" s="138" t="s">
        <v>429</v>
      </c>
      <c r="B8" s="149">
        <v>1.5</v>
      </c>
      <c r="C8" s="30">
        <v>1.5</v>
      </c>
      <c r="D8" s="149">
        <v>1.5</v>
      </c>
      <c r="E8" s="33" t="s">
        <v>448</v>
      </c>
    </row>
    <row r="9" spans="1:5" ht="17">
      <c r="A9" s="34" t="s">
        <v>427</v>
      </c>
      <c r="B9" s="149">
        <v>350</v>
      </c>
      <c r="C9" s="30">
        <v>350</v>
      </c>
      <c r="D9" s="149">
        <v>350</v>
      </c>
      <c r="E9" s="33" t="s">
        <v>449</v>
      </c>
    </row>
    <row r="10" spans="1:5">
      <c r="A10" s="32" t="s">
        <v>428</v>
      </c>
      <c r="B10" s="150">
        <v>8.5000000000000006E-2</v>
      </c>
      <c r="C10" s="130">
        <v>8.5000000000000006E-2</v>
      </c>
      <c r="D10" s="156">
        <v>7.0000000000000007E-2</v>
      </c>
      <c r="E10" s="33" t="s">
        <v>498</v>
      </c>
    </row>
    <row r="11" spans="1:5">
      <c r="A11" s="32" t="s">
        <v>430</v>
      </c>
      <c r="B11" s="151">
        <v>2.5000000000000001E-2</v>
      </c>
      <c r="C11" s="133">
        <v>2.5000000000000001E-2</v>
      </c>
      <c r="D11" s="151">
        <v>2.5000000000000001E-2</v>
      </c>
      <c r="E11" s="33" t="s">
        <v>445</v>
      </c>
    </row>
    <row r="12" spans="1:5">
      <c r="A12" s="32" t="s">
        <v>104</v>
      </c>
      <c r="B12" s="152" t="s">
        <v>474</v>
      </c>
      <c r="C12" s="132" t="s">
        <v>7</v>
      </c>
      <c r="D12" s="152" t="s">
        <v>479</v>
      </c>
      <c r="E12" s="33" t="s">
        <v>451</v>
      </c>
    </row>
    <row r="13" spans="1:5">
      <c r="A13" s="32" t="s">
        <v>431</v>
      </c>
      <c r="B13" s="152" t="s">
        <v>475</v>
      </c>
      <c r="C13" s="132" t="s">
        <v>432</v>
      </c>
      <c r="D13" s="152" t="s">
        <v>480</v>
      </c>
      <c r="E13" s="33" t="s">
        <v>452</v>
      </c>
    </row>
    <row r="14" spans="1:5">
      <c r="A14" s="32" t="s">
        <v>433</v>
      </c>
      <c r="B14" s="152" t="s">
        <v>7</v>
      </c>
      <c r="C14" s="132" t="s">
        <v>10</v>
      </c>
      <c r="D14" s="152" t="s">
        <v>481</v>
      </c>
      <c r="E14" s="33" t="s">
        <v>499</v>
      </c>
    </row>
    <row r="15" spans="1:5">
      <c r="A15" s="32" t="s">
        <v>434</v>
      </c>
      <c r="B15" s="155" t="s">
        <v>476</v>
      </c>
      <c r="C15" s="141" t="s">
        <v>435</v>
      </c>
      <c r="D15" s="155" t="s">
        <v>482</v>
      </c>
      <c r="E15" s="33" t="s">
        <v>454</v>
      </c>
    </row>
    <row r="16" spans="1:5">
      <c r="A16" s="32" t="s">
        <v>436</v>
      </c>
      <c r="B16" s="149" t="s">
        <v>477</v>
      </c>
      <c r="C16" s="30" t="s">
        <v>437</v>
      </c>
      <c r="D16" s="149" t="s">
        <v>483</v>
      </c>
      <c r="E16" s="33" t="s">
        <v>506</v>
      </c>
    </row>
    <row r="17" spans="1:5">
      <c r="A17" s="32" t="s">
        <v>501</v>
      </c>
      <c r="B17" s="149" t="s">
        <v>485</v>
      </c>
      <c r="C17" s="30" t="s">
        <v>440</v>
      </c>
      <c r="D17" s="149" t="s">
        <v>490</v>
      </c>
      <c r="E17" s="33" t="s">
        <v>505</v>
      </c>
    </row>
    <row r="18" spans="1:5">
      <c r="A18" s="32" t="s">
        <v>439</v>
      </c>
      <c r="B18" s="149" t="s">
        <v>11</v>
      </c>
      <c r="C18" s="30" t="s">
        <v>47</v>
      </c>
      <c r="D18" s="149" t="s">
        <v>489</v>
      </c>
      <c r="E18" s="33" t="s">
        <v>504</v>
      </c>
    </row>
    <row r="19" spans="1:5" ht="17" thickBot="1">
      <c r="A19" s="40" t="s">
        <v>459</v>
      </c>
      <c r="B19" s="153" t="s">
        <v>486</v>
      </c>
      <c r="C19" s="145" t="s">
        <v>441</v>
      </c>
      <c r="D19" s="153" t="s">
        <v>488</v>
      </c>
      <c r="E19" s="41" t="s">
        <v>503</v>
      </c>
    </row>
    <row r="20" spans="1:5" ht="17" thickBot="1">
      <c r="A20" s="146" t="s">
        <v>500</v>
      </c>
      <c r="B20" s="154" t="s">
        <v>487</v>
      </c>
      <c r="C20" s="154" t="s">
        <v>460</v>
      </c>
      <c r="D20" s="154" t="s">
        <v>484</v>
      </c>
      <c r="E20" s="147" t="s">
        <v>502</v>
      </c>
    </row>
    <row r="21" spans="1:5">
      <c r="B21" s="14"/>
      <c r="C21" s="14"/>
      <c r="D21" s="14"/>
      <c r="E21" s="14"/>
    </row>
    <row r="26" spans="1:5">
      <c r="B26" s="14"/>
      <c r="C26" s="14"/>
      <c r="D26" s="14"/>
    </row>
  </sheetData>
  <mergeCells count="1">
    <mergeCell ref="A1:E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A614-1415-0145-95E2-AF0B64A0B48A}">
  <dimension ref="A1:B22"/>
  <sheetViews>
    <sheetView zoomScale="220" zoomScaleNormal="220" workbookViewId="0">
      <selection activeCell="A13" sqref="A13"/>
    </sheetView>
  </sheetViews>
  <sheetFormatPr baseColWidth="10" defaultRowHeight="16"/>
  <cols>
    <col min="1" max="1" width="22.1640625" bestFit="1" customWidth="1"/>
  </cols>
  <sheetData>
    <row r="1" spans="1:2">
      <c r="A1" t="s">
        <v>612</v>
      </c>
      <c r="B1" t="s">
        <v>512</v>
      </c>
    </row>
    <row r="2" spans="1:2">
      <c r="A2" t="s">
        <v>592</v>
      </c>
      <c r="B2" s="14">
        <v>0.05</v>
      </c>
    </row>
    <row r="3" spans="1:2">
      <c r="A3" t="s">
        <v>69</v>
      </c>
      <c r="B3" s="14">
        <v>0.02</v>
      </c>
    </row>
    <row r="4" spans="1:2">
      <c r="A4" t="s">
        <v>672</v>
      </c>
      <c r="B4" s="14"/>
    </row>
    <row r="5" spans="1:2">
      <c r="A5" t="s">
        <v>593</v>
      </c>
      <c r="B5" t="s">
        <v>289</v>
      </c>
    </row>
    <row r="6" spans="1:2">
      <c r="A6" t="s">
        <v>604</v>
      </c>
    </row>
    <row r="7" spans="1:2">
      <c r="A7" t="s">
        <v>594</v>
      </c>
    </row>
    <row r="8" spans="1:2">
      <c r="A8" t="s">
        <v>595</v>
      </c>
    </row>
    <row r="9" spans="1:2">
      <c r="A9" t="s">
        <v>596</v>
      </c>
    </row>
    <row r="10" spans="1:2">
      <c r="A10" t="s">
        <v>598</v>
      </c>
    </row>
    <row r="11" spans="1:2">
      <c r="A11" t="s">
        <v>597</v>
      </c>
    </row>
    <row r="12" spans="1:2">
      <c r="A12" t="s">
        <v>599</v>
      </c>
    </row>
    <row r="13" spans="1:2">
      <c r="A13" t="s">
        <v>600</v>
      </c>
    </row>
    <row r="14" spans="1:2">
      <c r="A14" t="s">
        <v>601</v>
      </c>
    </row>
    <row r="15" spans="1:2">
      <c r="A15" t="s">
        <v>602</v>
      </c>
    </row>
    <row r="16" spans="1:2">
      <c r="A16" t="s">
        <v>603</v>
      </c>
    </row>
    <row r="17" spans="1:1">
      <c r="A17" t="s">
        <v>605</v>
      </c>
    </row>
    <row r="18" spans="1:1">
      <c r="A18" t="s">
        <v>606</v>
      </c>
    </row>
    <row r="19" spans="1:1">
      <c r="A19" t="s">
        <v>610</v>
      </c>
    </row>
    <row r="20" spans="1:1">
      <c r="A20" t="s">
        <v>607</v>
      </c>
    </row>
    <row r="21" spans="1:1">
      <c r="A21" t="s">
        <v>609</v>
      </c>
    </row>
    <row r="22" spans="1:1">
      <c r="A22" t="s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BE6F-52A0-4042-8324-1F36567C71C5}">
  <dimension ref="A1:G27"/>
  <sheetViews>
    <sheetView zoomScale="170" zoomScaleNormal="170" workbookViewId="0">
      <selection activeCell="B20" sqref="B20"/>
    </sheetView>
  </sheetViews>
  <sheetFormatPr baseColWidth="10" defaultRowHeight="16"/>
  <cols>
    <col min="1" max="1" width="34.6640625" bestFit="1" customWidth="1"/>
    <col min="2" max="2" width="10.83203125" style="12"/>
    <col min="3" max="3" width="39.33203125" customWidth="1"/>
    <col min="4" max="4" width="21.83203125" customWidth="1"/>
    <col min="5" max="5" width="14" style="12" customWidth="1"/>
    <col min="6" max="6" width="14.6640625" style="12" bestFit="1" customWidth="1"/>
    <col min="7" max="7" width="28.5" bestFit="1" customWidth="1"/>
  </cols>
  <sheetData>
    <row r="1" spans="1:7" ht="21">
      <c r="A1" s="287" t="s">
        <v>563</v>
      </c>
      <c r="B1" s="287"/>
      <c r="C1" s="287"/>
      <c r="D1" s="287"/>
      <c r="E1" s="287"/>
      <c r="F1" s="287"/>
      <c r="G1" s="287"/>
    </row>
    <row r="2" spans="1:7">
      <c r="A2" s="289" t="s">
        <v>541</v>
      </c>
      <c r="B2" s="289"/>
      <c r="C2" s="289"/>
      <c r="D2" s="290" t="s">
        <v>545</v>
      </c>
      <c r="E2" s="290"/>
      <c r="F2" s="290"/>
      <c r="G2" s="290"/>
    </row>
    <row r="3" spans="1:7">
      <c r="A3" s="167" t="s">
        <v>511</v>
      </c>
      <c r="B3" s="168" t="s">
        <v>512</v>
      </c>
      <c r="C3" s="167" t="s">
        <v>212</v>
      </c>
      <c r="D3" s="167" t="s">
        <v>511</v>
      </c>
      <c r="E3" s="168" t="s">
        <v>542</v>
      </c>
      <c r="F3" s="168" t="s">
        <v>543</v>
      </c>
      <c r="G3" s="167" t="s">
        <v>212</v>
      </c>
    </row>
    <row r="4" spans="1:7">
      <c r="A4" s="158" t="s">
        <v>510</v>
      </c>
      <c r="B4" s="30">
        <v>5000</v>
      </c>
      <c r="C4" s="158" t="s">
        <v>513</v>
      </c>
      <c r="D4" s="158" t="s">
        <v>381</v>
      </c>
      <c r="E4" s="30">
        <v>4500</v>
      </c>
      <c r="F4" s="30">
        <v>500</v>
      </c>
      <c r="G4" s="158" t="s">
        <v>550</v>
      </c>
    </row>
    <row r="5" spans="1:7">
      <c r="A5" s="158" t="s">
        <v>516</v>
      </c>
      <c r="B5" s="30">
        <v>5000</v>
      </c>
      <c r="C5" s="158" t="s">
        <v>515</v>
      </c>
      <c r="D5" s="159" t="s">
        <v>544</v>
      </c>
      <c r="E5" s="30">
        <v>50</v>
      </c>
      <c r="F5" s="30">
        <v>250</v>
      </c>
      <c r="G5" s="158" t="s">
        <v>551</v>
      </c>
    </row>
    <row r="6" spans="1:7">
      <c r="A6" s="158" t="s">
        <v>517</v>
      </c>
      <c r="B6" s="31">
        <f>B5*B4</f>
        <v>25000000</v>
      </c>
      <c r="C6" s="158"/>
      <c r="D6" s="159" t="s">
        <v>556</v>
      </c>
      <c r="E6" s="30">
        <v>0</v>
      </c>
      <c r="F6" s="30">
        <v>0</v>
      </c>
      <c r="G6" s="158" t="s">
        <v>569</v>
      </c>
    </row>
    <row r="7" spans="1:7">
      <c r="A7" s="158" t="s">
        <v>572</v>
      </c>
      <c r="B7" s="169">
        <v>0.36</v>
      </c>
      <c r="C7" s="158" t="s">
        <v>508</v>
      </c>
      <c r="D7" s="158" t="s">
        <v>555</v>
      </c>
      <c r="E7" s="30">
        <v>50</v>
      </c>
      <c r="F7" s="30">
        <v>50</v>
      </c>
      <c r="G7" s="163" t="s">
        <v>558</v>
      </c>
    </row>
    <row r="8" spans="1:7">
      <c r="A8" s="158" t="s">
        <v>509</v>
      </c>
      <c r="B8" s="30">
        <v>5000</v>
      </c>
      <c r="C8" s="158" t="s">
        <v>560</v>
      </c>
      <c r="D8" s="158" t="s">
        <v>619</v>
      </c>
      <c r="E8" s="30" cm="1">
        <f t="array" ref="E8">SUM(E5:E6/4)</f>
        <v>12.5</v>
      </c>
      <c r="F8" s="30">
        <f>SUM(F5:F6)/4</f>
        <v>62.5</v>
      </c>
      <c r="G8" s="163" t="s">
        <v>554</v>
      </c>
    </row>
    <row r="9" spans="1:7">
      <c r="A9" s="158" t="s">
        <v>573</v>
      </c>
      <c r="B9" s="31">
        <f>B8*B5</f>
        <v>25000000</v>
      </c>
      <c r="C9" s="158" t="s">
        <v>533</v>
      </c>
      <c r="D9" s="163"/>
      <c r="E9" s="30"/>
      <c r="F9" s="30"/>
      <c r="G9" s="158"/>
    </row>
    <row r="10" spans="1:7">
      <c r="A10" s="158" t="s">
        <v>613</v>
      </c>
      <c r="B10" s="31">
        <v>15</v>
      </c>
      <c r="C10" s="158"/>
      <c r="D10" s="163"/>
      <c r="E10" s="30"/>
      <c r="F10" s="30"/>
      <c r="G10" s="158"/>
    </row>
    <row r="11" spans="1:7">
      <c r="A11" s="158" t="s">
        <v>548</v>
      </c>
      <c r="B11" s="30">
        <f>B8*B10/100</f>
        <v>750</v>
      </c>
      <c r="C11" s="170" t="s">
        <v>583</v>
      </c>
      <c r="D11" s="158"/>
      <c r="E11" s="30"/>
      <c r="F11" s="30"/>
      <c r="G11" s="158"/>
    </row>
    <row r="12" spans="1:7">
      <c r="A12" s="158" t="s">
        <v>520</v>
      </c>
      <c r="B12" s="30">
        <f>B8*2/100*45/30</f>
        <v>150</v>
      </c>
      <c r="C12" s="171" t="s">
        <v>578</v>
      </c>
      <c r="D12" s="158" t="s">
        <v>608</v>
      </c>
      <c r="E12" s="291">
        <f>((12.5*4*9)+(62.5*4))/40</f>
        <v>17.5</v>
      </c>
      <c r="F12" s="291"/>
      <c r="G12" s="163" t="s">
        <v>570</v>
      </c>
    </row>
    <row r="13" spans="1:7">
      <c r="A13" s="158" t="s">
        <v>579</v>
      </c>
      <c r="B13" s="31">
        <f>B12*B5</f>
        <v>750000</v>
      </c>
      <c r="C13" s="158"/>
      <c r="D13" s="158" t="s">
        <v>549</v>
      </c>
      <c r="E13" s="288">
        <f>E12*50000</f>
        <v>875000</v>
      </c>
      <c r="F13" s="288"/>
      <c r="G13" s="172" t="s">
        <v>571</v>
      </c>
    </row>
    <row r="14" spans="1:7">
      <c r="A14" s="158" t="s">
        <v>580</v>
      </c>
      <c r="B14" s="174">
        <f>B13*8</f>
        <v>6000000</v>
      </c>
      <c r="C14" s="158" t="s">
        <v>531</v>
      </c>
      <c r="D14" s="286" t="s">
        <v>615</v>
      </c>
      <c r="E14" s="286"/>
      <c r="F14" s="286"/>
      <c r="G14" s="286"/>
    </row>
    <row r="15" spans="1:7">
      <c r="A15" s="158" t="s">
        <v>581</v>
      </c>
      <c r="B15" s="30">
        <v>20</v>
      </c>
      <c r="C15" s="158" t="s">
        <v>582</v>
      </c>
      <c r="D15" s="158" t="s">
        <v>630</v>
      </c>
      <c r="E15" s="30"/>
      <c r="F15" s="30"/>
      <c r="G15" s="158"/>
    </row>
    <row r="16" spans="1:7">
      <c r="A16" s="158" t="s">
        <v>575</v>
      </c>
      <c r="B16" s="30">
        <v>10</v>
      </c>
      <c r="C16" s="158" t="s">
        <v>524</v>
      </c>
      <c r="D16" s="158"/>
      <c r="E16" s="30"/>
      <c r="F16" s="30"/>
      <c r="G16" s="158" t="s">
        <v>289</v>
      </c>
    </row>
    <row r="17" spans="1:7">
      <c r="A17" s="158" t="s">
        <v>576</v>
      </c>
      <c r="B17" s="30">
        <v>14</v>
      </c>
      <c r="C17" s="158" t="s">
        <v>577</v>
      </c>
      <c r="D17" s="158" t="s">
        <v>574</v>
      </c>
      <c r="E17" s="30"/>
      <c r="F17" s="30"/>
      <c r="G17" s="158"/>
    </row>
    <row r="18" spans="1:7">
      <c r="A18" s="158" t="s">
        <v>532</v>
      </c>
      <c r="B18" s="31">
        <f>B5*B15/100*B16*B17</f>
        <v>140000</v>
      </c>
      <c r="C18" s="158" t="s">
        <v>614</v>
      </c>
      <c r="D18" s="158" t="s">
        <v>616</v>
      </c>
      <c r="E18" s="30">
        <v>10</v>
      </c>
      <c r="F18" s="30"/>
      <c r="G18" s="158"/>
    </row>
    <row r="19" spans="1:7" ht="34">
      <c r="A19" s="158" t="s">
        <v>534</v>
      </c>
      <c r="B19" s="174">
        <f>B18*8</f>
        <v>1120000</v>
      </c>
      <c r="C19" s="165" t="s">
        <v>559</v>
      </c>
      <c r="D19" s="158" t="s">
        <v>512</v>
      </c>
      <c r="E19" s="176">
        <f>B5*B8*E18/100</f>
        <v>2500000</v>
      </c>
      <c r="F19" s="30"/>
      <c r="G19" s="158"/>
    </row>
    <row r="20" spans="1:7">
      <c r="A20" s="158" t="s">
        <v>538</v>
      </c>
      <c r="B20" s="31">
        <f>B5*B8*B10/100</f>
        <v>3750000</v>
      </c>
      <c r="C20" s="158" t="s">
        <v>535</v>
      </c>
      <c r="D20" s="158" t="s">
        <v>617</v>
      </c>
      <c r="E20" s="31">
        <f>E19*3/100</f>
        <v>75000</v>
      </c>
      <c r="F20" s="177" t="s">
        <v>618</v>
      </c>
      <c r="G20" s="158"/>
    </row>
    <row r="21" spans="1:7">
      <c r="A21" s="158" t="s">
        <v>539</v>
      </c>
      <c r="B21" s="31">
        <f>B20*8</f>
        <v>30000000</v>
      </c>
      <c r="C21" s="158" t="s">
        <v>537</v>
      </c>
      <c r="D21" s="158" t="s">
        <v>15</v>
      </c>
      <c r="E21" s="31">
        <f>E20+E19</f>
        <v>2575000</v>
      </c>
      <c r="F21" s="30"/>
      <c r="G21" s="158"/>
    </row>
    <row r="23" spans="1:7">
      <c r="A23" s="173" t="s">
        <v>584</v>
      </c>
      <c r="C23" s="178">
        <f>B12/B8</f>
        <v>0.03</v>
      </c>
      <c r="E23" s="175" t="s">
        <v>588</v>
      </c>
    </row>
    <row r="24" spans="1:7">
      <c r="A24" t="s">
        <v>585</v>
      </c>
      <c r="C24" s="178">
        <f>C23*8</f>
        <v>0.24</v>
      </c>
      <c r="D24" s="125"/>
      <c r="E24" s="125" t="s">
        <v>589</v>
      </c>
    </row>
    <row r="25" spans="1:7">
      <c r="A25" t="s">
        <v>586</v>
      </c>
      <c r="C25" t="s">
        <v>306</v>
      </c>
      <c r="D25" s="125"/>
      <c r="E25" s="125" t="s">
        <v>591</v>
      </c>
    </row>
    <row r="26" spans="1:7">
      <c r="A26" t="s">
        <v>587</v>
      </c>
    </row>
    <row r="27" spans="1:7">
      <c r="A27" t="s">
        <v>590</v>
      </c>
    </row>
  </sheetData>
  <mergeCells count="6">
    <mergeCell ref="D14:G14"/>
    <mergeCell ref="A1:G1"/>
    <mergeCell ref="E13:F13"/>
    <mergeCell ref="A2:C2"/>
    <mergeCell ref="D2:G2"/>
    <mergeCell ref="E12:F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0E23-0514-1C49-90A3-1803B6370AE5}">
  <dimension ref="A1:I8"/>
  <sheetViews>
    <sheetView zoomScale="210" zoomScaleNormal="210" workbookViewId="0">
      <selection activeCell="L4" sqref="L4"/>
    </sheetView>
  </sheetViews>
  <sheetFormatPr baseColWidth="10" defaultRowHeight="16"/>
  <cols>
    <col min="1" max="1" width="12.83203125" customWidth="1"/>
    <col min="4" max="4" width="22.5" bestFit="1" customWidth="1"/>
  </cols>
  <sheetData>
    <row r="1" spans="1:9">
      <c r="C1" t="s">
        <v>622</v>
      </c>
      <c r="D1" t="s">
        <v>628</v>
      </c>
      <c r="E1" t="s">
        <v>629</v>
      </c>
    </row>
    <row r="2" spans="1:9">
      <c r="A2" t="s">
        <v>620</v>
      </c>
      <c r="B2" s="179">
        <v>2500</v>
      </c>
      <c r="C2" s="180">
        <f>125/2000</f>
        <v>6.25E-2</v>
      </c>
      <c r="D2" s="180">
        <f>C2*(365/45)</f>
        <v>0.50694444444444442</v>
      </c>
      <c r="E2" s="179"/>
      <c r="F2" s="179"/>
      <c r="G2" s="179"/>
      <c r="H2" s="179"/>
      <c r="I2" s="179"/>
    </row>
    <row r="3" spans="1:9">
      <c r="A3" t="s">
        <v>621</v>
      </c>
      <c r="B3" s="179">
        <f>20%*B2</f>
        <v>500</v>
      </c>
      <c r="C3" s="179"/>
      <c r="D3" s="179"/>
      <c r="E3" s="179"/>
      <c r="F3" s="179"/>
      <c r="G3" s="179"/>
      <c r="H3" s="179"/>
      <c r="I3" s="179"/>
    </row>
    <row r="4" spans="1:9">
      <c r="A4" t="s">
        <v>623</v>
      </c>
      <c r="B4" s="179">
        <v>125</v>
      </c>
      <c r="C4" s="179">
        <f>24%*B2*(45/365)</f>
        <v>73.972602739726028</v>
      </c>
      <c r="D4" s="179">
        <f>B4-C4</f>
        <v>51.027397260273972</v>
      </c>
      <c r="E4" s="179"/>
      <c r="F4" s="179"/>
      <c r="G4" s="179"/>
      <c r="H4" s="179"/>
      <c r="I4" s="179"/>
    </row>
    <row r="5" spans="1:9">
      <c r="A5" t="s">
        <v>624</v>
      </c>
      <c r="B5" s="179">
        <v>200</v>
      </c>
      <c r="C5" s="179"/>
      <c r="D5" s="179"/>
      <c r="E5" s="179">
        <f>7.5%*B2</f>
        <v>187.5</v>
      </c>
      <c r="F5" s="179"/>
      <c r="G5" s="179"/>
      <c r="H5" s="179"/>
      <c r="I5" s="179"/>
    </row>
    <row r="6" spans="1:9">
      <c r="A6" t="s">
        <v>625</v>
      </c>
      <c r="B6" s="179">
        <v>78</v>
      </c>
      <c r="C6" s="179"/>
      <c r="D6" s="179"/>
      <c r="E6" s="179"/>
      <c r="F6" s="179"/>
      <c r="G6" s="179"/>
      <c r="H6" s="179"/>
      <c r="I6" s="179"/>
    </row>
    <row r="7" spans="1:9">
      <c r="A7" t="s">
        <v>626</v>
      </c>
      <c r="B7" s="179">
        <v>60</v>
      </c>
      <c r="C7" s="179"/>
      <c r="D7" s="179"/>
      <c r="E7" s="179"/>
      <c r="F7" s="179"/>
      <c r="G7" s="179"/>
      <c r="H7" s="179"/>
      <c r="I7" s="179"/>
    </row>
    <row r="8" spans="1:9">
      <c r="A8" t="s">
        <v>627</v>
      </c>
      <c r="B8" s="179">
        <v>37</v>
      </c>
      <c r="C8" s="179"/>
      <c r="D8" s="179"/>
      <c r="E8" s="179"/>
      <c r="F8" s="179"/>
      <c r="G8" s="179"/>
      <c r="H8" s="179"/>
      <c r="I8" s="17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1C85-010D-EE4E-B7E2-EE6E2AFFD447}">
  <dimension ref="A1:F31"/>
  <sheetViews>
    <sheetView topLeftCell="A20" zoomScale="170" zoomScaleNormal="170" workbookViewId="0">
      <selection activeCell="C34" sqref="C34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306" t="s">
        <v>671</v>
      </c>
      <c r="B1" s="307"/>
      <c r="C1" s="307"/>
      <c r="D1" s="307"/>
      <c r="E1" s="307"/>
      <c r="F1" s="308"/>
    </row>
    <row r="2" spans="1:6" ht="17" thickBot="1">
      <c r="A2" s="309" t="s">
        <v>638</v>
      </c>
      <c r="B2" s="310"/>
      <c r="C2" s="311"/>
      <c r="D2" s="301" t="s">
        <v>641</v>
      </c>
      <c r="E2" s="302"/>
      <c r="F2" s="303"/>
    </row>
    <row r="3" spans="1:6">
      <c r="A3" s="190" t="s">
        <v>511</v>
      </c>
      <c r="B3" s="191" t="s">
        <v>512</v>
      </c>
      <c r="C3" s="192" t="s">
        <v>212</v>
      </c>
      <c r="D3" s="304" t="s">
        <v>644</v>
      </c>
      <c r="E3" s="304"/>
      <c r="F3" s="305"/>
    </row>
    <row r="4" spans="1:6">
      <c r="A4" s="32" t="s">
        <v>510</v>
      </c>
      <c r="B4" s="160">
        <v>5000</v>
      </c>
      <c r="C4" s="158" t="s">
        <v>513</v>
      </c>
      <c r="D4" s="299" t="s">
        <v>658</v>
      </c>
      <c r="E4" s="299"/>
      <c r="F4" s="300"/>
    </row>
    <row r="5" spans="1:6">
      <c r="A5" s="32" t="s">
        <v>652</v>
      </c>
      <c r="B5" s="160">
        <v>10000</v>
      </c>
      <c r="C5" s="158" t="s">
        <v>642</v>
      </c>
      <c r="D5" s="299" t="s">
        <v>659</v>
      </c>
      <c r="E5" s="299"/>
      <c r="F5" s="300"/>
    </row>
    <row r="6" spans="1:6">
      <c r="A6" s="32" t="s">
        <v>632</v>
      </c>
      <c r="B6" s="31">
        <f>B5*B4</f>
        <v>50000000</v>
      </c>
      <c r="C6" s="158" t="s">
        <v>631</v>
      </c>
      <c r="D6" s="299" t="s">
        <v>643</v>
      </c>
      <c r="E6" s="299"/>
      <c r="F6" s="300"/>
    </row>
    <row r="7" spans="1:6">
      <c r="A7" s="32" t="s">
        <v>572</v>
      </c>
      <c r="B7" s="169">
        <v>0.36</v>
      </c>
      <c r="C7" s="158" t="s">
        <v>639</v>
      </c>
      <c r="D7" s="299" t="s">
        <v>647</v>
      </c>
      <c r="E7" s="299"/>
      <c r="F7" s="300"/>
    </row>
    <row r="8" spans="1:6">
      <c r="A8" s="32" t="s">
        <v>509</v>
      </c>
      <c r="B8" s="160">
        <v>2500</v>
      </c>
      <c r="C8" s="158" t="s">
        <v>654</v>
      </c>
      <c r="D8" s="299" t="s">
        <v>656</v>
      </c>
      <c r="E8" s="299"/>
      <c r="F8" s="300"/>
    </row>
    <row r="9" spans="1:6">
      <c r="A9" s="32" t="s">
        <v>634</v>
      </c>
      <c r="B9" s="31">
        <f>B8*B5</f>
        <v>25000000</v>
      </c>
      <c r="C9" s="158" t="s">
        <v>633</v>
      </c>
      <c r="D9" s="299" t="s">
        <v>660</v>
      </c>
      <c r="E9" s="299"/>
      <c r="F9" s="300"/>
    </row>
    <row r="10" spans="1:6">
      <c r="A10" s="32" t="s">
        <v>648</v>
      </c>
      <c r="B10" s="160">
        <v>110</v>
      </c>
      <c r="C10" s="183" t="s">
        <v>764</v>
      </c>
      <c r="D10" s="299" t="s">
        <v>651</v>
      </c>
      <c r="E10" s="299"/>
      <c r="F10" s="300"/>
    </row>
    <row r="11" spans="1:6">
      <c r="A11" s="32" t="s">
        <v>649</v>
      </c>
      <c r="B11" s="182">
        <f>B10*B5</f>
        <v>1100000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8800000</v>
      </c>
      <c r="C12" s="158" t="s">
        <v>637</v>
      </c>
      <c r="D12" s="296" t="s">
        <v>661</v>
      </c>
      <c r="E12" s="297"/>
      <c r="F12" s="298"/>
    </row>
    <row r="13" spans="1:6">
      <c r="A13" s="32" t="s">
        <v>646</v>
      </c>
      <c r="B13" s="169">
        <v>0.25</v>
      </c>
      <c r="C13" s="158" t="s">
        <v>582</v>
      </c>
      <c r="D13" s="188" t="s">
        <v>655</v>
      </c>
      <c r="E13" s="188"/>
      <c r="F13" s="189"/>
    </row>
    <row r="14" spans="1:6">
      <c r="A14" s="32" t="s">
        <v>575</v>
      </c>
      <c r="B14" s="160">
        <v>10</v>
      </c>
      <c r="C14" s="158" t="s">
        <v>524</v>
      </c>
      <c r="D14" s="299" t="s">
        <v>657</v>
      </c>
      <c r="E14" s="299"/>
      <c r="F14" s="300"/>
    </row>
    <row r="15" spans="1:6">
      <c r="A15" s="32" t="s">
        <v>576</v>
      </c>
      <c r="B15" s="160">
        <v>15</v>
      </c>
      <c r="C15" s="158" t="s">
        <v>653</v>
      </c>
      <c r="D15" s="299"/>
      <c r="E15" s="299"/>
      <c r="F15" s="300"/>
    </row>
    <row r="16" spans="1:6">
      <c r="A16" s="32" t="s">
        <v>636</v>
      </c>
      <c r="B16" s="182">
        <f>B5*B13*B14*B15</f>
        <v>375000</v>
      </c>
      <c r="C16" s="158" t="s">
        <v>635</v>
      </c>
      <c r="D16" s="292"/>
      <c r="E16" s="292"/>
      <c r="F16" s="293"/>
    </row>
    <row r="17" spans="1:6" ht="17">
      <c r="A17" s="32" t="s">
        <v>534</v>
      </c>
      <c r="B17" s="174">
        <f>B16*8</f>
        <v>3000000</v>
      </c>
      <c r="C17" s="165" t="s">
        <v>637</v>
      </c>
      <c r="D17" s="292"/>
      <c r="E17" s="292"/>
      <c r="F17" s="293"/>
    </row>
    <row r="18" spans="1:6" ht="17" thickBot="1">
      <c r="A18" s="185" t="s">
        <v>640</v>
      </c>
      <c r="B18" s="186">
        <f>B12+B17</f>
        <v>11800000</v>
      </c>
      <c r="C18" s="187" t="s">
        <v>645</v>
      </c>
      <c r="D18" s="294"/>
      <c r="E18" s="294"/>
      <c r="F18" s="295"/>
    </row>
    <row r="20" spans="1:6">
      <c r="A20" s="290" t="s">
        <v>545</v>
      </c>
      <c r="B20" s="290"/>
      <c r="C20" s="290"/>
      <c r="D20" s="290"/>
    </row>
    <row r="21" spans="1:6">
      <c r="A21" s="167" t="s">
        <v>511</v>
      </c>
      <c r="B21" s="168" t="s">
        <v>542</v>
      </c>
      <c r="C21" s="168" t="s">
        <v>543</v>
      </c>
      <c r="D21" s="167" t="s">
        <v>212</v>
      </c>
    </row>
    <row r="22" spans="1:6">
      <c r="A22" s="158" t="s">
        <v>381</v>
      </c>
      <c r="B22" s="160">
        <v>4500</v>
      </c>
      <c r="C22" s="160">
        <v>500</v>
      </c>
      <c r="D22" s="158" t="s">
        <v>550</v>
      </c>
    </row>
    <row r="23" spans="1:6">
      <c r="A23" s="159" t="s">
        <v>544</v>
      </c>
      <c r="B23" s="160">
        <v>50</v>
      </c>
      <c r="C23" s="160">
        <v>250</v>
      </c>
      <c r="D23" s="158" t="s">
        <v>551</v>
      </c>
    </row>
    <row r="24" spans="1:6">
      <c r="A24" s="159" t="s">
        <v>556</v>
      </c>
      <c r="B24" s="160">
        <v>0</v>
      </c>
      <c r="C24" s="160">
        <v>0</v>
      </c>
      <c r="D24" s="158" t="s">
        <v>569</v>
      </c>
    </row>
    <row r="25" spans="1:6">
      <c r="A25" s="158" t="s">
        <v>555</v>
      </c>
      <c r="B25" s="160">
        <v>50</v>
      </c>
      <c r="C25" s="160">
        <v>50</v>
      </c>
      <c r="D25" s="163" t="s">
        <v>558</v>
      </c>
    </row>
    <row r="26" spans="1:6">
      <c r="A26" s="158" t="s">
        <v>619</v>
      </c>
      <c r="B26" s="160" cm="1">
        <f t="array" ref="B26">SUM(B23:B24/4)</f>
        <v>12.5</v>
      </c>
      <c r="C26" s="160">
        <f>SUM(C23:C24)/4</f>
        <v>62.5</v>
      </c>
      <c r="D26" s="163" t="s">
        <v>554</v>
      </c>
    </row>
    <row r="27" spans="1:6">
      <c r="A27" s="163"/>
      <c r="B27" s="160"/>
      <c r="C27" s="160"/>
      <c r="D27" s="158"/>
    </row>
    <row r="28" spans="1:6">
      <c r="A28" s="163"/>
      <c r="B28" s="160"/>
      <c r="C28" s="160"/>
      <c r="D28" s="158"/>
    </row>
    <row r="29" spans="1:6">
      <c r="A29" s="158"/>
      <c r="B29" s="160"/>
      <c r="C29" s="160"/>
      <c r="D29" s="158"/>
    </row>
    <row r="30" spans="1:6">
      <c r="A30" s="158" t="s">
        <v>608</v>
      </c>
      <c r="B30" s="291">
        <f>((12.5*4*9)+(62.5*4))/40</f>
        <v>17.5</v>
      </c>
      <c r="C30" s="291"/>
      <c r="D30" s="163" t="s">
        <v>662</v>
      </c>
    </row>
    <row r="31" spans="1:6">
      <c r="A31" s="158" t="s">
        <v>549</v>
      </c>
      <c r="B31" s="288">
        <f>B30*50000</f>
        <v>875000</v>
      </c>
      <c r="C31" s="288"/>
      <c r="D31" s="172"/>
    </row>
  </sheetData>
  <mergeCells count="20">
    <mergeCell ref="A1:F1"/>
    <mergeCell ref="A2:C2"/>
    <mergeCell ref="D7:F7"/>
    <mergeCell ref="D8:F8"/>
    <mergeCell ref="D9:F9"/>
    <mergeCell ref="D12:F12"/>
    <mergeCell ref="D14:F14"/>
    <mergeCell ref="D15:F15"/>
    <mergeCell ref="D16:F16"/>
    <mergeCell ref="D2:F2"/>
    <mergeCell ref="D3:F3"/>
    <mergeCell ref="D4:F4"/>
    <mergeCell ref="D5:F5"/>
    <mergeCell ref="D6:F6"/>
    <mergeCell ref="D10:F10"/>
    <mergeCell ref="D17:F17"/>
    <mergeCell ref="D18:F18"/>
    <mergeCell ref="A20:D20"/>
    <mergeCell ref="B30:C30"/>
    <mergeCell ref="B31:C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BF9F-A976-874D-AD78-472EB909B345}">
  <dimension ref="A1:H39"/>
  <sheetViews>
    <sheetView topLeftCell="A10" zoomScale="210" zoomScaleNormal="210" workbookViewId="0">
      <selection activeCell="A10" sqref="A10:D10"/>
    </sheetView>
  </sheetViews>
  <sheetFormatPr baseColWidth="10" defaultRowHeight="16"/>
  <cols>
    <col min="1" max="1" width="6" style="12" bestFit="1" customWidth="1"/>
    <col min="2" max="2" width="38.6640625" customWidth="1"/>
    <col min="3" max="3" width="13.83203125" style="12" bestFit="1" customWidth="1"/>
    <col min="4" max="4" width="36.1640625" customWidth="1"/>
  </cols>
  <sheetData>
    <row r="1" spans="1:8" ht="17" thickBot="1">
      <c r="A1" s="245" t="s">
        <v>0</v>
      </c>
      <c r="B1" s="246" t="s">
        <v>796</v>
      </c>
      <c r="C1" s="246" t="s">
        <v>512</v>
      </c>
      <c r="D1" s="247" t="s">
        <v>212</v>
      </c>
    </row>
    <row r="2" spans="1:8">
      <c r="A2" s="244">
        <v>1</v>
      </c>
      <c r="B2" s="235" t="s">
        <v>765</v>
      </c>
      <c r="C2" s="38" t="s">
        <v>766</v>
      </c>
      <c r="D2" s="39"/>
    </row>
    <row r="3" spans="1:8">
      <c r="A3" s="236">
        <v>2</v>
      </c>
      <c r="B3" s="158" t="s">
        <v>767</v>
      </c>
      <c r="C3" s="232">
        <v>5000</v>
      </c>
      <c r="D3" s="33"/>
    </row>
    <row r="4" spans="1:8">
      <c r="A4" s="236">
        <v>3</v>
      </c>
      <c r="B4" s="158" t="s">
        <v>770</v>
      </c>
      <c r="C4" s="209" t="s">
        <v>768</v>
      </c>
      <c r="D4" s="33" t="s">
        <v>769</v>
      </c>
    </row>
    <row r="5" spans="1:8">
      <c r="A5" s="236">
        <v>4</v>
      </c>
      <c r="B5" s="158" t="s">
        <v>771</v>
      </c>
      <c r="C5" s="209">
        <v>3</v>
      </c>
      <c r="D5" s="33" t="s">
        <v>791</v>
      </c>
    </row>
    <row r="6" spans="1:8">
      <c r="A6" s="236">
        <v>5</v>
      </c>
      <c r="B6" s="158" t="s">
        <v>792</v>
      </c>
      <c r="C6" s="209" t="s">
        <v>768</v>
      </c>
      <c r="D6" s="33"/>
    </row>
    <row r="7" spans="1:8">
      <c r="A7" s="236">
        <v>6</v>
      </c>
      <c r="B7" s="158" t="s">
        <v>773</v>
      </c>
      <c r="C7" s="209" t="s">
        <v>775</v>
      </c>
      <c r="D7" s="33" t="s">
        <v>777</v>
      </c>
    </row>
    <row r="8" spans="1:8">
      <c r="A8" s="236">
        <v>7</v>
      </c>
      <c r="B8" s="158" t="s">
        <v>774</v>
      </c>
      <c r="C8" s="209" t="s">
        <v>776</v>
      </c>
      <c r="D8" s="33" t="s">
        <v>778</v>
      </c>
      <c r="F8" s="231">
        <f>C11*0.24</f>
        <v>1440</v>
      </c>
      <c r="G8" s="231">
        <f>C11*0.3</f>
        <v>1800</v>
      </c>
      <c r="H8" s="231">
        <f>C11*0.17</f>
        <v>1020.0000000000001</v>
      </c>
    </row>
    <row r="9" spans="1:8" ht="17" thickBot="1">
      <c r="A9" s="248">
        <v>8</v>
      </c>
      <c r="B9" s="187" t="s">
        <v>779</v>
      </c>
      <c r="C9" s="249" t="s">
        <v>780</v>
      </c>
      <c r="D9" s="36"/>
      <c r="F9" s="231">
        <f>F8/12*45/30</f>
        <v>180</v>
      </c>
      <c r="G9" s="231">
        <f>G8/12*73/30</f>
        <v>365</v>
      </c>
      <c r="H9">
        <f>F9/H8</f>
        <v>0.1764705882352941</v>
      </c>
    </row>
    <row r="10" spans="1:8" ht="17" thickBot="1">
      <c r="A10" s="312" t="s">
        <v>802</v>
      </c>
      <c r="B10" s="313"/>
      <c r="C10" s="313"/>
      <c r="D10" s="314"/>
      <c r="F10" s="231"/>
      <c r="G10" s="231"/>
    </row>
    <row r="11" spans="1:8">
      <c r="A11" s="250">
        <v>9</v>
      </c>
      <c r="B11" s="251" t="s">
        <v>803</v>
      </c>
      <c r="C11" s="252">
        <v>6000</v>
      </c>
      <c r="D11" s="253">
        <v>44531</v>
      </c>
      <c r="F11" s="231">
        <f>F8/12*59/30</f>
        <v>236</v>
      </c>
    </row>
    <row r="12" spans="1:8">
      <c r="A12" s="237">
        <v>10</v>
      </c>
      <c r="B12" s="233" t="s">
        <v>772</v>
      </c>
      <c r="C12" s="234">
        <v>2000</v>
      </c>
      <c r="D12" s="238">
        <f>D11+45</f>
        <v>44576</v>
      </c>
      <c r="F12" s="231">
        <f>F8/12*73/30</f>
        <v>292</v>
      </c>
      <c r="H12">
        <f>F12/H8</f>
        <v>0.28627450980392155</v>
      </c>
    </row>
    <row r="13" spans="1:8">
      <c r="A13" s="237">
        <v>11</v>
      </c>
      <c r="B13" s="233" t="s">
        <v>781</v>
      </c>
      <c r="C13" s="234">
        <v>2000</v>
      </c>
      <c r="D13" s="238">
        <f>D12+14</f>
        <v>44590</v>
      </c>
    </row>
    <row r="14" spans="1:8">
      <c r="A14" s="237">
        <v>12</v>
      </c>
      <c r="B14" s="233" t="s">
        <v>782</v>
      </c>
      <c r="C14" s="234">
        <v>2000</v>
      </c>
      <c r="D14" s="238">
        <f>D13+14</f>
        <v>44604</v>
      </c>
    </row>
    <row r="15" spans="1:8">
      <c r="A15" s="237">
        <v>13</v>
      </c>
      <c r="B15" s="233" t="s">
        <v>783</v>
      </c>
      <c r="C15" s="234">
        <v>10</v>
      </c>
      <c r="D15" s="239" t="s">
        <v>784</v>
      </c>
    </row>
    <row r="16" spans="1:8">
      <c r="A16" s="237">
        <v>14</v>
      </c>
      <c r="B16" s="233" t="s">
        <v>788</v>
      </c>
      <c r="C16" s="234">
        <v>180</v>
      </c>
      <c r="D16" s="239" t="s">
        <v>785</v>
      </c>
    </row>
    <row r="17" spans="1:4">
      <c r="A17" s="237">
        <v>15</v>
      </c>
      <c r="B17" s="233" t="s">
        <v>789</v>
      </c>
      <c r="C17" s="234">
        <v>236</v>
      </c>
      <c r="D17" s="239" t="s">
        <v>786</v>
      </c>
    </row>
    <row r="18" spans="1:4" ht="17" thickBot="1">
      <c r="A18" s="240">
        <v>16</v>
      </c>
      <c r="B18" s="241" t="s">
        <v>790</v>
      </c>
      <c r="C18" s="242">
        <v>292</v>
      </c>
      <c r="D18" s="243" t="s">
        <v>787</v>
      </c>
    </row>
    <row r="19" spans="1:4">
      <c r="A19" s="38">
        <v>17</v>
      </c>
      <c r="B19" s="235" t="s">
        <v>793</v>
      </c>
      <c r="C19" s="38"/>
      <c r="D19" s="235" t="s">
        <v>794</v>
      </c>
    </row>
    <row r="21" spans="1:4">
      <c r="A21" s="210" t="s">
        <v>0</v>
      </c>
      <c r="B21" s="291" t="s">
        <v>795</v>
      </c>
      <c r="C21" s="291"/>
      <c r="D21" s="291"/>
    </row>
    <row r="22" spans="1:4">
      <c r="A22" s="209">
        <v>1</v>
      </c>
      <c r="B22" s="292" t="s">
        <v>644</v>
      </c>
      <c r="C22" s="292"/>
      <c r="D22" s="292"/>
    </row>
    <row r="23" spans="1:4">
      <c r="A23" s="209">
        <v>2</v>
      </c>
      <c r="B23" s="292" t="s">
        <v>658</v>
      </c>
      <c r="C23" s="292"/>
      <c r="D23" s="292"/>
    </row>
    <row r="24" spans="1:4">
      <c r="A24" s="209">
        <v>3</v>
      </c>
      <c r="B24" s="292" t="s">
        <v>659</v>
      </c>
      <c r="C24" s="292"/>
      <c r="D24" s="292"/>
    </row>
    <row r="25" spans="1:4">
      <c r="A25" s="209">
        <v>4</v>
      </c>
      <c r="B25" s="292" t="s">
        <v>797</v>
      </c>
      <c r="C25" s="292"/>
      <c r="D25" s="292"/>
    </row>
    <row r="26" spans="1:4">
      <c r="A26" s="209">
        <v>5</v>
      </c>
      <c r="B26" s="292" t="s">
        <v>647</v>
      </c>
      <c r="C26" s="292"/>
      <c r="D26" s="292"/>
    </row>
    <row r="27" spans="1:4">
      <c r="A27" s="209">
        <v>6</v>
      </c>
      <c r="B27" s="292" t="s">
        <v>798</v>
      </c>
      <c r="C27" s="292"/>
      <c r="D27" s="292"/>
    </row>
    <row r="28" spans="1:4">
      <c r="A28" s="209">
        <v>7</v>
      </c>
      <c r="B28" s="292" t="s">
        <v>799</v>
      </c>
      <c r="C28" s="292"/>
      <c r="D28" s="292"/>
    </row>
    <row r="29" spans="1:4">
      <c r="A29" s="209">
        <v>8</v>
      </c>
      <c r="B29" s="292" t="s">
        <v>800</v>
      </c>
      <c r="C29" s="292"/>
      <c r="D29" s="292"/>
    </row>
    <row r="30" spans="1:4">
      <c r="A30" s="209">
        <v>9</v>
      </c>
      <c r="B30" s="292" t="s">
        <v>681</v>
      </c>
      <c r="C30" s="292"/>
      <c r="D30" s="292"/>
    </row>
    <row r="31" spans="1:4">
      <c r="A31" s="209">
        <v>10</v>
      </c>
      <c r="B31" s="292" t="s">
        <v>661</v>
      </c>
      <c r="C31" s="292"/>
      <c r="D31" s="292"/>
    </row>
    <row r="32" spans="1:4">
      <c r="A32" s="209">
        <v>11</v>
      </c>
      <c r="B32" s="292" t="s">
        <v>655</v>
      </c>
      <c r="C32" s="292"/>
      <c r="D32" s="292"/>
    </row>
    <row r="33" spans="1:4">
      <c r="A33" s="209">
        <v>12</v>
      </c>
      <c r="B33" s="292" t="s">
        <v>657</v>
      </c>
      <c r="C33" s="292"/>
      <c r="D33" s="292"/>
    </row>
    <row r="34" spans="1:4">
      <c r="A34" s="209">
        <v>13</v>
      </c>
      <c r="B34" s="292" t="s">
        <v>801</v>
      </c>
      <c r="C34" s="292"/>
      <c r="D34" s="292"/>
    </row>
    <row r="35" spans="1:4">
      <c r="A35" s="12">
        <v>14</v>
      </c>
      <c r="B35" s="315"/>
      <c r="C35" s="315"/>
      <c r="D35" s="315"/>
    </row>
    <row r="36" spans="1:4">
      <c r="A36" s="12">
        <v>15</v>
      </c>
      <c r="B36" s="315"/>
      <c r="C36" s="315"/>
      <c r="D36" s="315"/>
    </row>
    <row r="37" spans="1:4">
      <c r="A37" s="12">
        <v>16</v>
      </c>
      <c r="B37" s="315"/>
      <c r="C37" s="315"/>
      <c r="D37" s="315"/>
    </row>
    <row r="38" spans="1:4">
      <c r="A38" s="12">
        <v>17</v>
      </c>
      <c r="B38" s="315"/>
      <c r="C38" s="315"/>
      <c r="D38" s="315"/>
    </row>
    <row r="39" spans="1:4">
      <c r="A39" s="12">
        <v>18</v>
      </c>
    </row>
  </sheetData>
  <mergeCells count="19">
    <mergeCell ref="B38:D38"/>
    <mergeCell ref="B21:D21"/>
    <mergeCell ref="B28:D28"/>
    <mergeCell ref="B29:D29"/>
    <mergeCell ref="B31:D31"/>
    <mergeCell ref="B33:D33"/>
    <mergeCell ref="B30:D30"/>
    <mergeCell ref="B32:D32"/>
    <mergeCell ref="B22:D22"/>
    <mergeCell ref="B23:D23"/>
    <mergeCell ref="B24:D24"/>
    <mergeCell ref="B25:D25"/>
    <mergeCell ref="B26:D26"/>
    <mergeCell ref="B27:D27"/>
    <mergeCell ref="A10:D10"/>
    <mergeCell ref="B34:D34"/>
    <mergeCell ref="B35:D35"/>
    <mergeCell ref="B36:D36"/>
    <mergeCell ref="B37:D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5C0B-1336-7A40-9638-F2267CA5CE66}">
  <dimension ref="A1:F31"/>
  <sheetViews>
    <sheetView zoomScale="170" zoomScaleNormal="170" workbookViewId="0">
      <selection activeCell="D3" sqref="D3:F14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306" t="s">
        <v>671</v>
      </c>
      <c r="B1" s="307"/>
      <c r="C1" s="307"/>
      <c r="D1" s="307"/>
      <c r="E1" s="307"/>
      <c r="F1" s="308"/>
    </row>
    <row r="2" spans="1:6" ht="17" thickBot="1">
      <c r="A2" s="309" t="s">
        <v>638</v>
      </c>
      <c r="B2" s="310"/>
      <c r="C2" s="311"/>
      <c r="D2" s="301" t="s">
        <v>641</v>
      </c>
      <c r="E2" s="302"/>
      <c r="F2" s="303"/>
    </row>
    <row r="3" spans="1:6">
      <c r="A3" s="190" t="s">
        <v>511</v>
      </c>
      <c r="B3" s="191" t="s">
        <v>512</v>
      </c>
      <c r="C3" s="192" t="s">
        <v>212</v>
      </c>
      <c r="D3" s="304" t="s">
        <v>644</v>
      </c>
      <c r="E3" s="304"/>
      <c r="F3" s="305"/>
    </row>
    <row r="4" spans="1:6">
      <c r="A4" s="32" t="s">
        <v>510</v>
      </c>
      <c r="B4" s="181">
        <v>5000</v>
      </c>
      <c r="C4" s="158" t="s">
        <v>513</v>
      </c>
      <c r="D4" s="299" t="s">
        <v>658</v>
      </c>
      <c r="E4" s="299"/>
      <c r="F4" s="300"/>
    </row>
    <row r="5" spans="1:6">
      <c r="A5" s="32" t="s">
        <v>652</v>
      </c>
      <c r="B5" s="181">
        <v>10000</v>
      </c>
      <c r="C5" s="158" t="s">
        <v>642</v>
      </c>
      <c r="D5" s="299" t="s">
        <v>659</v>
      </c>
      <c r="E5" s="299"/>
      <c r="F5" s="300"/>
    </row>
    <row r="6" spans="1:6">
      <c r="A6" s="32" t="s">
        <v>632</v>
      </c>
      <c r="B6" s="31">
        <f>B5*B4</f>
        <v>50000000</v>
      </c>
      <c r="C6" s="158" t="s">
        <v>631</v>
      </c>
      <c r="D6" s="299" t="s">
        <v>643</v>
      </c>
      <c r="E6" s="299"/>
      <c r="F6" s="300"/>
    </row>
    <row r="7" spans="1:6">
      <c r="A7" s="32" t="s">
        <v>572</v>
      </c>
      <c r="B7" s="169">
        <v>0.24</v>
      </c>
      <c r="C7" s="158" t="s">
        <v>639</v>
      </c>
      <c r="D7" s="299" t="s">
        <v>647</v>
      </c>
      <c r="E7" s="299"/>
      <c r="F7" s="300"/>
    </row>
    <row r="8" spans="1:6">
      <c r="A8" s="32" t="s">
        <v>509</v>
      </c>
      <c r="B8" s="181">
        <v>2500</v>
      </c>
      <c r="C8" s="158" t="s">
        <v>654</v>
      </c>
      <c r="D8" s="299" t="s">
        <v>656</v>
      </c>
      <c r="E8" s="299"/>
      <c r="F8" s="300"/>
    </row>
    <row r="9" spans="1:6">
      <c r="A9" s="32" t="s">
        <v>634</v>
      </c>
      <c r="B9" s="31">
        <f>B8*B5</f>
        <v>25000000</v>
      </c>
      <c r="C9" s="158" t="s">
        <v>633</v>
      </c>
      <c r="D9" s="299" t="s">
        <v>660</v>
      </c>
      <c r="E9" s="299"/>
      <c r="F9" s="300"/>
    </row>
    <row r="10" spans="1:6">
      <c r="A10" s="32" t="s">
        <v>648</v>
      </c>
      <c r="B10" s="181">
        <v>75</v>
      </c>
      <c r="C10" s="183" t="s">
        <v>684</v>
      </c>
      <c r="D10" s="299" t="s">
        <v>651</v>
      </c>
      <c r="E10" s="299"/>
      <c r="F10" s="300"/>
    </row>
    <row r="11" spans="1:6">
      <c r="A11" s="32" t="s">
        <v>649</v>
      </c>
      <c r="B11" s="182">
        <f>B10*B5</f>
        <v>750000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6000000</v>
      </c>
      <c r="C12" s="158" t="s">
        <v>637</v>
      </c>
      <c r="D12" s="296" t="s">
        <v>661</v>
      </c>
      <c r="E12" s="297"/>
      <c r="F12" s="298"/>
    </row>
    <row r="13" spans="1:6">
      <c r="A13" s="32" t="s">
        <v>646</v>
      </c>
      <c r="B13" s="169">
        <v>0.25</v>
      </c>
      <c r="C13" s="158" t="s">
        <v>582</v>
      </c>
      <c r="D13" s="188" t="s">
        <v>655</v>
      </c>
      <c r="E13" s="188"/>
      <c r="F13" s="189"/>
    </row>
    <row r="14" spans="1:6">
      <c r="A14" s="32" t="s">
        <v>575</v>
      </c>
      <c r="B14" s="181">
        <v>10</v>
      </c>
      <c r="C14" s="158" t="s">
        <v>524</v>
      </c>
      <c r="D14" s="299" t="s">
        <v>657</v>
      </c>
      <c r="E14" s="299"/>
      <c r="F14" s="300"/>
    </row>
    <row r="15" spans="1:6">
      <c r="A15" s="32" t="s">
        <v>576</v>
      </c>
      <c r="B15" s="181">
        <v>15</v>
      </c>
      <c r="C15" s="158" t="s">
        <v>653</v>
      </c>
      <c r="D15" s="299"/>
      <c r="E15" s="299"/>
      <c r="F15" s="300"/>
    </row>
    <row r="16" spans="1:6">
      <c r="A16" s="32" t="s">
        <v>636</v>
      </c>
      <c r="B16" s="182">
        <f>B5*B13*B14*B15</f>
        <v>375000</v>
      </c>
      <c r="C16" s="158" t="s">
        <v>635</v>
      </c>
      <c r="D16" s="292"/>
      <c r="E16" s="292"/>
      <c r="F16" s="293"/>
    </row>
    <row r="17" spans="1:6" ht="17">
      <c r="A17" s="32" t="s">
        <v>534</v>
      </c>
      <c r="B17" s="174">
        <f>B16*8</f>
        <v>3000000</v>
      </c>
      <c r="C17" s="165" t="s">
        <v>637</v>
      </c>
      <c r="D17" s="292"/>
      <c r="E17" s="292"/>
      <c r="F17" s="293"/>
    </row>
    <row r="18" spans="1:6" ht="17" thickBot="1">
      <c r="A18" s="185" t="s">
        <v>640</v>
      </c>
      <c r="B18" s="186">
        <f>B12+B17</f>
        <v>9000000</v>
      </c>
      <c r="C18" s="187" t="s">
        <v>645</v>
      </c>
      <c r="D18" s="294"/>
      <c r="E18" s="294"/>
      <c r="F18" s="295"/>
    </row>
    <row r="20" spans="1:6">
      <c r="A20" s="290" t="s">
        <v>545</v>
      </c>
      <c r="B20" s="290"/>
      <c r="C20" s="290"/>
      <c r="D20" s="290"/>
    </row>
    <row r="21" spans="1:6">
      <c r="A21" s="167" t="s">
        <v>511</v>
      </c>
      <c r="B21" s="168" t="s">
        <v>542</v>
      </c>
      <c r="C21" s="168" t="s">
        <v>543</v>
      </c>
      <c r="D21" s="167" t="s">
        <v>212</v>
      </c>
    </row>
    <row r="22" spans="1:6">
      <c r="A22" s="158" t="s">
        <v>381</v>
      </c>
      <c r="B22" s="181">
        <v>4500</v>
      </c>
      <c r="C22" s="181">
        <v>500</v>
      </c>
      <c r="D22" s="158" t="s">
        <v>550</v>
      </c>
    </row>
    <row r="23" spans="1:6">
      <c r="A23" s="159" t="s">
        <v>544</v>
      </c>
      <c r="B23" s="181">
        <v>50</v>
      </c>
      <c r="C23" s="181">
        <v>250</v>
      </c>
      <c r="D23" s="158" t="s">
        <v>551</v>
      </c>
    </row>
    <row r="24" spans="1:6">
      <c r="A24" s="159" t="s">
        <v>556</v>
      </c>
      <c r="B24" s="181">
        <v>0</v>
      </c>
      <c r="C24" s="181">
        <v>0</v>
      </c>
      <c r="D24" s="158" t="s">
        <v>569</v>
      </c>
    </row>
    <row r="25" spans="1:6">
      <c r="A25" s="158" t="s">
        <v>555</v>
      </c>
      <c r="B25" s="181">
        <v>50</v>
      </c>
      <c r="C25" s="181">
        <v>50</v>
      </c>
      <c r="D25" s="163" t="s">
        <v>558</v>
      </c>
    </row>
    <row r="26" spans="1:6">
      <c r="A26" s="158" t="s">
        <v>619</v>
      </c>
      <c r="B26" s="181" cm="1">
        <f t="array" ref="B26">SUM(B23:B24/4)</f>
        <v>12.5</v>
      </c>
      <c r="C26" s="181">
        <f>SUM(C23:C24)/4</f>
        <v>62.5</v>
      </c>
      <c r="D26" s="163" t="s">
        <v>554</v>
      </c>
    </row>
    <row r="27" spans="1:6">
      <c r="A27" s="163"/>
      <c r="B27" s="181"/>
      <c r="C27" s="181"/>
      <c r="D27" s="158"/>
    </row>
    <row r="28" spans="1:6">
      <c r="A28" s="163"/>
      <c r="B28" s="181"/>
      <c r="C28" s="181"/>
      <c r="D28" s="158"/>
    </row>
    <row r="29" spans="1:6">
      <c r="A29" s="158"/>
      <c r="B29" s="181"/>
      <c r="C29" s="181"/>
      <c r="D29" s="158"/>
    </row>
    <row r="30" spans="1:6">
      <c r="A30" s="158" t="s">
        <v>608</v>
      </c>
      <c r="B30" s="291">
        <f>((12.5*4*9)+(62.5*4))/40</f>
        <v>17.5</v>
      </c>
      <c r="C30" s="291"/>
      <c r="D30" s="163" t="s">
        <v>662</v>
      </c>
    </row>
    <row r="31" spans="1:6">
      <c r="A31" s="158" t="s">
        <v>549</v>
      </c>
      <c r="B31" s="288">
        <f>B30*50000</f>
        <v>875000</v>
      </c>
      <c r="C31" s="288"/>
      <c r="D31" s="172"/>
    </row>
  </sheetData>
  <mergeCells count="20">
    <mergeCell ref="B30:C30"/>
    <mergeCell ref="B31:C31"/>
    <mergeCell ref="D14:F14"/>
    <mergeCell ref="D15:F15"/>
    <mergeCell ref="D16:F16"/>
    <mergeCell ref="D17:F17"/>
    <mergeCell ref="D18:F18"/>
    <mergeCell ref="A20:D20"/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3006-2B1F-964C-A788-0F02AE8AB3DB}">
  <dimension ref="A1:F32"/>
  <sheetViews>
    <sheetView zoomScale="170" zoomScaleNormal="170" workbookViewId="0">
      <selection activeCell="A6" sqref="A6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306" t="s">
        <v>676</v>
      </c>
      <c r="B1" s="307"/>
      <c r="C1" s="307"/>
      <c r="D1" s="307"/>
      <c r="E1" s="307"/>
      <c r="F1" s="308"/>
    </row>
    <row r="2" spans="1:6" ht="17" thickBot="1">
      <c r="A2" s="318" t="s">
        <v>638</v>
      </c>
      <c r="B2" s="319"/>
      <c r="C2" s="320"/>
      <c r="D2" s="321" t="s">
        <v>641</v>
      </c>
      <c r="E2" s="322"/>
      <c r="F2" s="323"/>
    </row>
    <row r="3" spans="1:6">
      <c r="A3" s="196" t="s">
        <v>511</v>
      </c>
      <c r="B3" s="197" t="s">
        <v>512</v>
      </c>
      <c r="C3" s="207" t="s">
        <v>212</v>
      </c>
      <c r="D3" s="324" t="s">
        <v>644</v>
      </c>
      <c r="E3" s="324"/>
      <c r="F3" s="325"/>
    </row>
    <row r="4" spans="1:6">
      <c r="A4" s="32" t="s">
        <v>510</v>
      </c>
      <c r="B4" s="160">
        <v>5000</v>
      </c>
      <c r="C4" s="158" t="s">
        <v>513</v>
      </c>
      <c r="D4" s="299" t="s">
        <v>683</v>
      </c>
      <c r="E4" s="299"/>
      <c r="F4" s="300"/>
    </row>
    <row r="5" spans="1:6">
      <c r="A5" s="32" t="s">
        <v>652</v>
      </c>
      <c r="B5" s="160">
        <v>10000</v>
      </c>
      <c r="C5" s="158" t="s">
        <v>642</v>
      </c>
      <c r="D5" s="299" t="s">
        <v>659</v>
      </c>
      <c r="E5" s="299"/>
      <c r="F5" s="300"/>
    </row>
    <row r="6" spans="1:6">
      <c r="A6" s="32" t="s">
        <v>632</v>
      </c>
      <c r="B6" s="31">
        <f>B5*B4</f>
        <v>50000000</v>
      </c>
      <c r="C6" s="158" t="s">
        <v>631</v>
      </c>
      <c r="D6" s="299" t="s">
        <v>643</v>
      </c>
      <c r="E6" s="299"/>
      <c r="F6" s="300"/>
    </row>
    <row r="7" spans="1:6">
      <c r="A7" s="32" t="s">
        <v>572</v>
      </c>
      <c r="B7" s="169">
        <v>0.36</v>
      </c>
      <c r="C7" s="206" t="s">
        <v>677</v>
      </c>
      <c r="D7" s="299" t="s">
        <v>647</v>
      </c>
      <c r="E7" s="299"/>
      <c r="F7" s="300"/>
    </row>
    <row r="8" spans="1:6">
      <c r="A8" s="32" t="s">
        <v>509</v>
      </c>
      <c r="B8" s="160">
        <v>2500</v>
      </c>
      <c r="C8" s="158" t="s">
        <v>654</v>
      </c>
      <c r="D8" s="299" t="s">
        <v>656</v>
      </c>
      <c r="E8" s="299"/>
      <c r="F8" s="300"/>
    </row>
    <row r="9" spans="1:6">
      <c r="A9" s="32" t="s">
        <v>634</v>
      </c>
      <c r="B9" s="31">
        <f>B8*B5</f>
        <v>25000000</v>
      </c>
      <c r="C9" s="158" t="s">
        <v>633</v>
      </c>
      <c r="D9" s="299" t="s">
        <v>660</v>
      </c>
      <c r="E9" s="299"/>
      <c r="F9" s="300"/>
    </row>
    <row r="10" spans="1:6">
      <c r="A10" s="32" t="s">
        <v>648</v>
      </c>
      <c r="B10" s="160">
        <v>110</v>
      </c>
      <c r="C10" s="206" t="s">
        <v>677</v>
      </c>
      <c r="D10" s="299" t="s">
        <v>651</v>
      </c>
      <c r="E10" s="299"/>
      <c r="F10" s="300"/>
    </row>
    <row r="11" spans="1:6">
      <c r="A11" s="32" t="s">
        <v>649</v>
      </c>
      <c r="B11" s="182">
        <f>B10*B5</f>
        <v>1100000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8800000</v>
      </c>
      <c r="C12" s="158" t="s">
        <v>637</v>
      </c>
      <c r="D12" s="299" t="s">
        <v>682</v>
      </c>
      <c r="E12" s="299"/>
      <c r="F12" s="300"/>
    </row>
    <row r="13" spans="1:6">
      <c r="A13" s="32" t="s">
        <v>646</v>
      </c>
      <c r="B13" s="169">
        <v>0.25</v>
      </c>
      <c r="C13" s="158" t="s">
        <v>582</v>
      </c>
      <c r="D13" s="296"/>
      <c r="E13" s="297"/>
      <c r="F13" s="298"/>
    </row>
    <row r="14" spans="1:6">
      <c r="A14" s="32" t="s">
        <v>575</v>
      </c>
      <c r="B14" s="160">
        <v>10</v>
      </c>
      <c r="C14" s="158" t="s">
        <v>524</v>
      </c>
      <c r="D14" s="299"/>
      <c r="E14" s="299"/>
      <c r="F14" s="300"/>
    </row>
    <row r="15" spans="1:6">
      <c r="A15" s="32" t="s">
        <v>576</v>
      </c>
      <c r="B15" s="160">
        <v>15</v>
      </c>
      <c r="C15" s="158" t="s">
        <v>653</v>
      </c>
      <c r="D15" s="299"/>
      <c r="E15" s="299"/>
      <c r="F15" s="300"/>
    </row>
    <row r="16" spans="1:6">
      <c r="A16" s="32" t="s">
        <v>636</v>
      </c>
      <c r="B16" s="182">
        <f>B5*B13*B14*B15</f>
        <v>375000</v>
      </c>
      <c r="C16" s="158" t="s">
        <v>635</v>
      </c>
      <c r="D16" s="292"/>
      <c r="E16" s="292"/>
      <c r="F16" s="293"/>
    </row>
    <row r="17" spans="1:6" ht="17">
      <c r="A17" s="32" t="s">
        <v>534</v>
      </c>
      <c r="B17" s="174">
        <f>B16*8</f>
        <v>3000000</v>
      </c>
      <c r="C17" s="165" t="s">
        <v>637</v>
      </c>
      <c r="D17" s="292"/>
      <c r="E17" s="292"/>
      <c r="F17" s="293"/>
    </row>
    <row r="18" spans="1:6">
      <c r="A18" s="32" t="s">
        <v>640</v>
      </c>
      <c r="B18" s="184">
        <f>B12+B17</f>
        <v>11800000</v>
      </c>
      <c r="C18" s="158" t="s">
        <v>645</v>
      </c>
      <c r="D18" s="292"/>
      <c r="E18" s="292"/>
      <c r="F18" s="293"/>
    </row>
    <row r="19" spans="1:6" ht="17" thickBot="1">
      <c r="A19" s="185" t="s">
        <v>678</v>
      </c>
      <c r="B19" s="208" t="s">
        <v>680</v>
      </c>
      <c r="C19" s="187" t="s">
        <v>679</v>
      </c>
      <c r="D19" s="316"/>
      <c r="E19" s="316"/>
      <c r="F19" s="317"/>
    </row>
    <row r="21" spans="1:6">
      <c r="A21" s="290" t="s">
        <v>545</v>
      </c>
      <c r="B21" s="290"/>
      <c r="C21" s="290"/>
      <c r="D21" s="290"/>
    </row>
    <row r="22" spans="1:6">
      <c r="A22" s="167" t="s">
        <v>511</v>
      </c>
      <c r="B22" s="168" t="s">
        <v>542</v>
      </c>
      <c r="C22" s="168" t="s">
        <v>543</v>
      </c>
      <c r="D22" s="167" t="s">
        <v>212</v>
      </c>
    </row>
    <row r="23" spans="1:6">
      <c r="A23" s="158" t="s">
        <v>381</v>
      </c>
      <c r="B23" s="160">
        <v>4500</v>
      </c>
      <c r="C23" s="160">
        <v>500</v>
      </c>
      <c r="D23" s="158" t="s">
        <v>550</v>
      </c>
    </row>
    <row r="24" spans="1:6">
      <c r="A24" s="159" t="s">
        <v>544</v>
      </c>
      <c r="B24" s="160">
        <v>50</v>
      </c>
      <c r="C24" s="160">
        <v>250</v>
      </c>
      <c r="D24" s="158" t="s">
        <v>551</v>
      </c>
    </row>
    <row r="25" spans="1:6">
      <c r="A25" s="159" t="s">
        <v>556</v>
      </c>
      <c r="B25" s="160">
        <v>0</v>
      </c>
      <c r="C25" s="160">
        <v>0</v>
      </c>
      <c r="D25" s="158" t="s">
        <v>569</v>
      </c>
    </row>
    <row r="26" spans="1:6">
      <c r="A26" s="158" t="s">
        <v>555</v>
      </c>
      <c r="B26" s="160">
        <v>50</v>
      </c>
      <c r="C26" s="160">
        <v>50</v>
      </c>
      <c r="D26" s="163" t="s">
        <v>558</v>
      </c>
    </row>
    <row r="27" spans="1:6">
      <c r="A27" s="158" t="s">
        <v>619</v>
      </c>
      <c r="B27" s="160" cm="1">
        <f t="array" ref="B27">SUM(B24:B25/4)</f>
        <v>12.5</v>
      </c>
      <c r="C27" s="160">
        <f>SUM(C24:C25)/4</f>
        <v>62.5</v>
      </c>
      <c r="D27" s="163" t="s">
        <v>554</v>
      </c>
    </row>
    <row r="28" spans="1:6">
      <c r="A28" s="163"/>
      <c r="B28" s="160"/>
      <c r="C28" s="160"/>
      <c r="D28" s="158"/>
    </row>
    <row r="29" spans="1:6">
      <c r="A29" s="163"/>
      <c r="B29" s="160"/>
      <c r="C29" s="160"/>
      <c r="D29" s="158"/>
    </row>
    <row r="30" spans="1:6">
      <c r="A30" s="158"/>
      <c r="B30" s="160"/>
      <c r="C30" s="160"/>
      <c r="D30" s="158"/>
    </row>
    <row r="31" spans="1:6">
      <c r="A31" s="158" t="s">
        <v>608</v>
      </c>
      <c r="B31" s="291">
        <f>((12.5*4*9)+(62.5*4))/40</f>
        <v>17.5</v>
      </c>
      <c r="C31" s="291"/>
      <c r="D31" s="163" t="s">
        <v>662</v>
      </c>
    </row>
    <row r="32" spans="1:6">
      <c r="A32" s="158" t="s">
        <v>549</v>
      </c>
      <c r="B32" s="288">
        <f>B31*50000</f>
        <v>875000</v>
      </c>
      <c r="C32" s="288"/>
      <c r="D32" s="172"/>
    </row>
  </sheetData>
  <mergeCells count="22"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3:F13"/>
    <mergeCell ref="B31:C31"/>
    <mergeCell ref="B32:C32"/>
    <mergeCell ref="D19:F19"/>
    <mergeCell ref="D14:F14"/>
    <mergeCell ref="D15:F15"/>
    <mergeCell ref="D16:F16"/>
    <mergeCell ref="D17:F17"/>
    <mergeCell ref="D18:F18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297-2902-EC46-9D6E-48006580D6E2}">
  <dimension ref="A1:F32"/>
  <sheetViews>
    <sheetView zoomScale="210" zoomScaleNormal="210" workbookViewId="0">
      <selection activeCell="B11" sqref="B11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306" t="s">
        <v>676</v>
      </c>
      <c r="B1" s="307"/>
      <c r="C1" s="307"/>
      <c r="D1" s="307"/>
      <c r="E1" s="307"/>
      <c r="F1" s="308"/>
    </row>
    <row r="2" spans="1:6" ht="17" thickBot="1">
      <c r="A2" s="318" t="s">
        <v>638</v>
      </c>
      <c r="B2" s="319"/>
      <c r="C2" s="320"/>
      <c r="D2" s="321" t="s">
        <v>641</v>
      </c>
      <c r="E2" s="322"/>
      <c r="F2" s="323"/>
    </row>
    <row r="3" spans="1:6">
      <c r="A3" s="196" t="s">
        <v>511</v>
      </c>
      <c r="B3" s="197" t="s">
        <v>512</v>
      </c>
      <c r="C3" s="207" t="s">
        <v>212</v>
      </c>
      <c r="D3" s="324" t="s">
        <v>644</v>
      </c>
      <c r="E3" s="324"/>
      <c r="F3" s="325"/>
    </row>
    <row r="4" spans="1:6">
      <c r="A4" s="32" t="s">
        <v>510</v>
      </c>
      <c r="B4" s="181">
        <v>5000</v>
      </c>
      <c r="C4" s="158" t="s">
        <v>513</v>
      </c>
      <c r="D4" s="299" t="s">
        <v>683</v>
      </c>
      <c r="E4" s="299"/>
      <c r="F4" s="300"/>
    </row>
    <row r="5" spans="1:6">
      <c r="A5" s="32" t="s">
        <v>652</v>
      </c>
      <c r="B5" s="181">
        <v>10000</v>
      </c>
      <c r="C5" s="158" t="s">
        <v>642</v>
      </c>
      <c r="D5" s="299" t="s">
        <v>659</v>
      </c>
      <c r="E5" s="299"/>
      <c r="F5" s="300"/>
    </row>
    <row r="6" spans="1:6">
      <c r="A6" s="32" t="s">
        <v>632</v>
      </c>
      <c r="B6" s="31">
        <f>B5*B4</f>
        <v>50000000</v>
      </c>
      <c r="C6" s="158" t="s">
        <v>631</v>
      </c>
      <c r="D6" s="299" t="s">
        <v>643</v>
      </c>
      <c r="E6" s="299"/>
      <c r="F6" s="300"/>
    </row>
    <row r="7" spans="1:6">
      <c r="A7" s="32" t="s">
        <v>572</v>
      </c>
      <c r="B7" s="169">
        <v>0.24</v>
      </c>
      <c r="C7" s="206" t="s">
        <v>677</v>
      </c>
      <c r="D7" s="299" t="s">
        <v>647</v>
      </c>
      <c r="E7" s="299"/>
      <c r="F7" s="300"/>
    </row>
    <row r="8" spans="1:6">
      <c r="A8" s="32" t="s">
        <v>509</v>
      </c>
      <c r="B8" s="181">
        <v>2500</v>
      </c>
      <c r="C8" s="158" t="s">
        <v>654</v>
      </c>
      <c r="D8" s="299" t="s">
        <v>656</v>
      </c>
      <c r="E8" s="299"/>
      <c r="F8" s="300"/>
    </row>
    <row r="9" spans="1:6">
      <c r="A9" s="32" t="s">
        <v>634</v>
      </c>
      <c r="B9" s="31">
        <f>B8*B5</f>
        <v>25000000</v>
      </c>
      <c r="C9" s="158" t="s">
        <v>633</v>
      </c>
      <c r="D9" s="299" t="s">
        <v>660</v>
      </c>
      <c r="E9" s="299"/>
      <c r="F9" s="300"/>
    </row>
    <row r="10" spans="1:6">
      <c r="A10" s="32" t="s">
        <v>648</v>
      </c>
      <c r="B10" s="181">
        <v>75</v>
      </c>
      <c r="C10" s="206" t="s">
        <v>677</v>
      </c>
      <c r="D10" s="299" t="s">
        <v>651</v>
      </c>
      <c r="E10" s="299"/>
      <c r="F10" s="300"/>
    </row>
    <row r="11" spans="1:6">
      <c r="A11" s="32" t="s">
        <v>649</v>
      </c>
      <c r="B11" s="182">
        <f>B10*B5</f>
        <v>750000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6000000</v>
      </c>
      <c r="C12" s="158" t="s">
        <v>637</v>
      </c>
      <c r="D12" s="299" t="s">
        <v>682</v>
      </c>
      <c r="E12" s="299"/>
      <c r="F12" s="300"/>
    </row>
    <row r="13" spans="1:6">
      <c r="A13" s="32" t="s">
        <v>646</v>
      </c>
      <c r="B13" s="169">
        <v>0.25</v>
      </c>
      <c r="C13" s="158" t="s">
        <v>582</v>
      </c>
      <c r="D13" s="296"/>
      <c r="E13" s="297"/>
      <c r="F13" s="298"/>
    </row>
    <row r="14" spans="1:6">
      <c r="A14" s="32" t="s">
        <v>575</v>
      </c>
      <c r="B14" s="181">
        <v>10</v>
      </c>
      <c r="C14" s="158" t="s">
        <v>524</v>
      </c>
      <c r="D14" s="299"/>
      <c r="E14" s="299"/>
      <c r="F14" s="300"/>
    </row>
    <row r="15" spans="1:6">
      <c r="A15" s="32" t="s">
        <v>576</v>
      </c>
      <c r="B15" s="181">
        <v>15</v>
      </c>
      <c r="C15" s="158" t="s">
        <v>653</v>
      </c>
      <c r="D15" s="299"/>
      <c r="E15" s="299"/>
      <c r="F15" s="300"/>
    </row>
    <row r="16" spans="1:6">
      <c r="A16" s="32" t="s">
        <v>636</v>
      </c>
      <c r="B16" s="182">
        <f>B5*B13*B14*B15</f>
        <v>375000</v>
      </c>
      <c r="C16" s="158" t="s">
        <v>635</v>
      </c>
      <c r="D16" s="292"/>
      <c r="E16" s="292"/>
      <c r="F16" s="293"/>
    </row>
    <row r="17" spans="1:6" ht="17">
      <c r="A17" s="32" t="s">
        <v>534</v>
      </c>
      <c r="B17" s="174">
        <f>B16*8</f>
        <v>3000000</v>
      </c>
      <c r="C17" s="165" t="s">
        <v>637</v>
      </c>
      <c r="D17" s="292"/>
      <c r="E17" s="292"/>
      <c r="F17" s="293"/>
    </row>
    <row r="18" spans="1:6">
      <c r="A18" s="32" t="s">
        <v>640</v>
      </c>
      <c r="B18" s="184">
        <f>B12+B17</f>
        <v>9000000</v>
      </c>
      <c r="C18" s="158" t="s">
        <v>645</v>
      </c>
      <c r="D18" s="292"/>
      <c r="E18" s="292"/>
      <c r="F18" s="293"/>
    </row>
    <row r="19" spans="1:6" ht="17" thickBot="1">
      <c r="A19" s="185" t="s">
        <v>678</v>
      </c>
      <c r="B19" s="208" t="s">
        <v>680</v>
      </c>
      <c r="C19" s="187" t="s">
        <v>679</v>
      </c>
      <c r="D19" s="316"/>
      <c r="E19" s="316"/>
      <c r="F19" s="317"/>
    </row>
    <row r="21" spans="1:6">
      <c r="A21" s="290" t="s">
        <v>545</v>
      </c>
      <c r="B21" s="290"/>
      <c r="C21" s="290"/>
      <c r="D21" s="290"/>
    </row>
    <row r="22" spans="1:6">
      <c r="A22" s="167" t="s">
        <v>511</v>
      </c>
      <c r="B22" s="168" t="s">
        <v>542</v>
      </c>
      <c r="C22" s="168" t="s">
        <v>543</v>
      </c>
      <c r="D22" s="167" t="s">
        <v>212</v>
      </c>
    </row>
    <row r="23" spans="1:6">
      <c r="A23" s="158" t="s">
        <v>381</v>
      </c>
      <c r="B23" s="181">
        <v>4500</v>
      </c>
      <c r="C23" s="181">
        <v>500</v>
      </c>
      <c r="D23" s="158" t="s">
        <v>550</v>
      </c>
    </row>
    <row r="24" spans="1:6">
      <c r="A24" s="159" t="s">
        <v>544</v>
      </c>
      <c r="B24" s="181">
        <v>50</v>
      </c>
      <c r="C24" s="181">
        <v>250</v>
      </c>
      <c r="D24" s="158" t="s">
        <v>551</v>
      </c>
    </row>
    <row r="25" spans="1:6">
      <c r="A25" s="159" t="s">
        <v>556</v>
      </c>
      <c r="B25" s="181">
        <v>0</v>
      </c>
      <c r="C25" s="181">
        <v>0</v>
      </c>
      <c r="D25" s="158" t="s">
        <v>569</v>
      </c>
    </row>
    <row r="26" spans="1:6">
      <c r="A26" s="158" t="s">
        <v>555</v>
      </c>
      <c r="B26" s="181">
        <v>50</v>
      </c>
      <c r="C26" s="181">
        <v>50</v>
      </c>
      <c r="D26" s="163" t="s">
        <v>558</v>
      </c>
    </row>
    <row r="27" spans="1:6">
      <c r="A27" s="158" t="s">
        <v>619</v>
      </c>
      <c r="B27" s="181" cm="1">
        <f t="array" ref="B27">SUM(B24:B25/4)</f>
        <v>12.5</v>
      </c>
      <c r="C27" s="181">
        <f>SUM(C24:C25)/4</f>
        <v>62.5</v>
      </c>
      <c r="D27" s="163" t="s">
        <v>554</v>
      </c>
    </row>
    <row r="28" spans="1:6">
      <c r="A28" s="163"/>
      <c r="B28" s="181"/>
      <c r="C28" s="181"/>
      <c r="D28" s="158"/>
    </row>
    <row r="29" spans="1:6">
      <c r="A29" s="163"/>
      <c r="B29" s="181"/>
      <c r="C29" s="181"/>
      <c r="D29" s="158"/>
    </row>
    <row r="30" spans="1:6">
      <c r="A30" s="158"/>
      <c r="B30" s="181"/>
      <c r="C30" s="181"/>
      <c r="D30" s="158"/>
    </row>
    <row r="31" spans="1:6">
      <c r="A31" s="158" t="s">
        <v>608</v>
      </c>
      <c r="B31" s="291">
        <f>((12.5*4*9)+(62.5*4))/40</f>
        <v>17.5</v>
      </c>
      <c r="C31" s="291"/>
      <c r="D31" s="163" t="s">
        <v>662</v>
      </c>
    </row>
    <row r="32" spans="1:6">
      <c r="A32" s="158" t="s">
        <v>549</v>
      </c>
      <c r="B32" s="288">
        <f>B31*50000</f>
        <v>875000</v>
      </c>
      <c r="C32" s="288"/>
      <c r="D32" s="172"/>
    </row>
  </sheetData>
  <mergeCells count="22">
    <mergeCell ref="D19:F19"/>
    <mergeCell ref="A21:D21"/>
    <mergeCell ref="B31:C31"/>
    <mergeCell ref="B32:C32"/>
    <mergeCell ref="D13:F13"/>
    <mergeCell ref="D14:F14"/>
    <mergeCell ref="D15:F15"/>
    <mergeCell ref="D16:F16"/>
    <mergeCell ref="D17:F17"/>
    <mergeCell ref="D18:F18"/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0839-0355-8041-896A-E1AAE83C8D11}">
  <dimension ref="A1:V48"/>
  <sheetViews>
    <sheetView tabSelected="1" zoomScale="170" zoomScaleNormal="170" workbookViewId="0">
      <pane ySplit="2" topLeftCell="A3" activePane="bottomLeft" state="frozen"/>
      <selection pane="bottomLeft" activeCell="R19" sqref="R19"/>
    </sheetView>
  </sheetViews>
  <sheetFormatPr baseColWidth="10" defaultRowHeight="16"/>
  <cols>
    <col min="1" max="1" width="29" bestFit="1" customWidth="1"/>
    <col min="2" max="2" width="11.6640625" bestFit="1" customWidth="1"/>
    <col min="5" max="6" width="10.83203125" hidden="1" customWidth="1"/>
    <col min="8" max="12" width="10.83203125" hidden="1" customWidth="1"/>
    <col min="14" max="15" width="11.6640625" bestFit="1" customWidth="1"/>
    <col min="16" max="16" width="13.1640625" bestFit="1" customWidth="1"/>
    <col min="21" max="21" width="12.1640625" bestFit="1" customWidth="1"/>
    <col min="22" max="22" width="13.1640625" bestFit="1" customWidth="1"/>
  </cols>
  <sheetData>
    <row r="1" spans="1:18" ht="21">
      <c r="A1" s="326" t="s">
        <v>670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8"/>
    </row>
    <row r="2" spans="1:18">
      <c r="A2" s="136" t="s">
        <v>511</v>
      </c>
      <c r="B2" s="168" t="s">
        <v>663</v>
      </c>
      <c r="C2" s="168" t="s">
        <v>664</v>
      </c>
      <c r="D2" s="168" t="s">
        <v>665</v>
      </c>
      <c r="E2" s="168" t="s">
        <v>392</v>
      </c>
      <c r="F2" s="168" t="s">
        <v>384</v>
      </c>
      <c r="G2" s="168" t="s">
        <v>385</v>
      </c>
      <c r="H2" s="168" t="s">
        <v>386</v>
      </c>
      <c r="I2" s="168" t="s">
        <v>387</v>
      </c>
      <c r="J2" s="168" t="s">
        <v>388</v>
      </c>
      <c r="K2" s="168" t="s">
        <v>389</v>
      </c>
      <c r="L2" s="168" t="s">
        <v>390</v>
      </c>
      <c r="M2" s="168" t="s">
        <v>391</v>
      </c>
      <c r="N2" s="168" t="s">
        <v>668</v>
      </c>
      <c r="O2" s="168" t="s">
        <v>666</v>
      </c>
      <c r="P2" s="211" t="s">
        <v>667</v>
      </c>
      <c r="Q2" s="195"/>
      <c r="R2" s="193"/>
    </row>
    <row r="3" spans="1:18">
      <c r="A3" s="32" t="s">
        <v>697</v>
      </c>
      <c r="B3" s="181">
        <v>5000</v>
      </c>
      <c r="C3" s="181">
        <v>5000</v>
      </c>
      <c r="D3" s="181">
        <v>5000</v>
      </c>
      <c r="E3" s="181">
        <v>5000</v>
      </c>
      <c r="F3" s="181">
        <v>5000</v>
      </c>
      <c r="G3" s="181">
        <v>5000</v>
      </c>
      <c r="H3" s="181">
        <v>5000</v>
      </c>
      <c r="I3" s="181">
        <v>5000</v>
      </c>
      <c r="J3" s="181">
        <v>5000</v>
      </c>
      <c r="K3" s="181">
        <v>5000</v>
      </c>
      <c r="L3" s="181">
        <v>5000</v>
      </c>
      <c r="M3" s="181">
        <v>5000</v>
      </c>
      <c r="N3" s="181">
        <v>5000</v>
      </c>
      <c r="O3" s="181">
        <v>6000</v>
      </c>
      <c r="P3" s="212">
        <v>6000</v>
      </c>
    </row>
    <row r="4" spans="1:18">
      <c r="A4" s="32" t="s">
        <v>696</v>
      </c>
      <c r="B4" s="181">
        <v>100</v>
      </c>
      <c r="C4" s="181">
        <v>300</v>
      </c>
      <c r="D4" s="181">
        <v>600</v>
      </c>
      <c r="E4" s="181">
        <v>800</v>
      </c>
      <c r="F4" s="181">
        <v>1000</v>
      </c>
      <c r="G4" s="181">
        <v>1200</v>
      </c>
      <c r="H4" s="181">
        <v>2000</v>
      </c>
      <c r="I4" s="181">
        <v>2500</v>
      </c>
      <c r="J4" s="181">
        <v>5000</v>
      </c>
      <c r="K4" s="181">
        <v>6000</v>
      </c>
      <c r="L4" s="181">
        <v>8000</v>
      </c>
      <c r="M4" s="181">
        <v>10000</v>
      </c>
      <c r="N4" s="181">
        <v>25000</v>
      </c>
      <c r="O4" s="181">
        <v>75000</v>
      </c>
      <c r="P4" s="212">
        <v>300000</v>
      </c>
    </row>
    <row r="5" spans="1:18">
      <c r="A5" s="32" t="s">
        <v>695</v>
      </c>
      <c r="B5" s="31">
        <f>B4*B3</f>
        <v>500000</v>
      </c>
      <c r="C5" s="31">
        <f t="shared" ref="C5:P5" si="0">C4*C3</f>
        <v>1500000</v>
      </c>
      <c r="D5" s="31">
        <f t="shared" si="0"/>
        <v>3000000</v>
      </c>
      <c r="E5" s="31">
        <f t="shared" si="0"/>
        <v>4000000</v>
      </c>
      <c r="F5" s="31">
        <f t="shared" si="0"/>
        <v>5000000</v>
      </c>
      <c r="G5" s="31">
        <f t="shared" si="0"/>
        <v>6000000</v>
      </c>
      <c r="H5" s="31">
        <f t="shared" si="0"/>
        <v>10000000</v>
      </c>
      <c r="I5" s="31">
        <f t="shared" si="0"/>
        <v>12500000</v>
      </c>
      <c r="J5" s="31">
        <f t="shared" si="0"/>
        <v>25000000</v>
      </c>
      <c r="K5" s="31">
        <f t="shared" si="0"/>
        <v>30000000</v>
      </c>
      <c r="L5" s="31">
        <f t="shared" si="0"/>
        <v>40000000</v>
      </c>
      <c r="M5" s="31">
        <f t="shared" si="0"/>
        <v>50000000</v>
      </c>
      <c r="N5" s="31">
        <f t="shared" si="0"/>
        <v>125000000</v>
      </c>
      <c r="O5" s="31">
        <f t="shared" si="0"/>
        <v>450000000</v>
      </c>
      <c r="P5" s="213">
        <f t="shared" si="0"/>
        <v>1800000000</v>
      </c>
    </row>
    <row r="6" spans="1:18">
      <c r="A6" s="32" t="s">
        <v>694</v>
      </c>
      <c r="B6" s="169">
        <v>0.36</v>
      </c>
      <c r="C6" s="169">
        <v>0.36</v>
      </c>
      <c r="D6" s="169">
        <v>0.36</v>
      </c>
      <c r="E6" s="169">
        <v>0.36</v>
      </c>
      <c r="F6" s="169">
        <v>0.36</v>
      </c>
      <c r="G6" s="169">
        <v>0.36</v>
      </c>
      <c r="H6" s="169">
        <v>0.36</v>
      </c>
      <c r="I6" s="169">
        <v>0.36</v>
      </c>
      <c r="J6" s="169">
        <v>0.36</v>
      </c>
      <c r="K6" s="169">
        <v>0.36</v>
      </c>
      <c r="L6" s="169">
        <v>0.36</v>
      </c>
      <c r="M6" s="169">
        <v>0.36</v>
      </c>
      <c r="N6" s="169">
        <v>0.36</v>
      </c>
      <c r="O6" s="169">
        <v>0.36</v>
      </c>
      <c r="P6" s="214">
        <v>0.36</v>
      </c>
    </row>
    <row r="7" spans="1:18">
      <c r="A7" s="32" t="s">
        <v>693</v>
      </c>
      <c r="B7" s="181">
        <v>2500</v>
      </c>
      <c r="C7" s="181">
        <v>2500</v>
      </c>
      <c r="D7" s="181">
        <v>2500</v>
      </c>
      <c r="E7" s="181">
        <v>2500</v>
      </c>
      <c r="F7" s="181">
        <v>2500</v>
      </c>
      <c r="G7" s="181">
        <v>2500</v>
      </c>
      <c r="H7" s="181">
        <v>2500</v>
      </c>
      <c r="I7" s="181">
        <v>2500</v>
      </c>
      <c r="J7" s="181">
        <v>2500</v>
      </c>
      <c r="K7" s="181">
        <v>2500</v>
      </c>
      <c r="L7" s="181">
        <v>2500</v>
      </c>
      <c r="M7" s="181">
        <v>2500</v>
      </c>
      <c r="N7" s="181">
        <v>2500</v>
      </c>
      <c r="O7" s="181">
        <v>2500</v>
      </c>
      <c r="P7" s="212">
        <v>2500</v>
      </c>
    </row>
    <row r="8" spans="1:18">
      <c r="A8" s="32" t="s">
        <v>692</v>
      </c>
      <c r="B8" s="31">
        <f>B7*B4</f>
        <v>250000</v>
      </c>
      <c r="C8" s="31">
        <f t="shared" ref="C8:P8" si="1">C7*C4</f>
        <v>750000</v>
      </c>
      <c r="D8" s="31">
        <f t="shared" si="1"/>
        <v>1500000</v>
      </c>
      <c r="E8" s="31">
        <f t="shared" si="1"/>
        <v>2000000</v>
      </c>
      <c r="F8" s="31">
        <f t="shared" si="1"/>
        <v>2500000</v>
      </c>
      <c r="G8" s="31">
        <f t="shared" si="1"/>
        <v>3000000</v>
      </c>
      <c r="H8" s="31">
        <f t="shared" si="1"/>
        <v>5000000</v>
      </c>
      <c r="I8" s="31">
        <f t="shared" si="1"/>
        <v>6250000</v>
      </c>
      <c r="J8" s="31">
        <f t="shared" si="1"/>
        <v>12500000</v>
      </c>
      <c r="K8" s="31">
        <f t="shared" si="1"/>
        <v>15000000</v>
      </c>
      <c r="L8" s="31">
        <f t="shared" si="1"/>
        <v>20000000</v>
      </c>
      <c r="M8" s="31">
        <f t="shared" si="1"/>
        <v>25000000</v>
      </c>
      <c r="N8" s="31">
        <f t="shared" si="1"/>
        <v>62500000</v>
      </c>
      <c r="O8" s="31">
        <f t="shared" si="1"/>
        <v>187500000</v>
      </c>
      <c r="P8" s="213">
        <f t="shared" si="1"/>
        <v>750000000</v>
      </c>
    </row>
    <row r="9" spans="1:18" hidden="1">
      <c r="A9" s="32" t="s">
        <v>691</v>
      </c>
      <c r="B9" s="204">
        <f>B7*B6*45/365</f>
        <v>110.95890410958904</v>
      </c>
      <c r="C9" s="204">
        <f t="shared" ref="C9:P9" si="2">C7*C6*45/365</f>
        <v>110.95890410958904</v>
      </c>
      <c r="D9" s="204">
        <f t="shared" si="2"/>
        <v>110.95890410958904</v>
      </c>
      <c r="E9" s="204">
        <f t="shared" si="2"/>
        <v>110.95890410958904</v>
      </c>
      <c r="F9" s="204">
        <f t="shared" si="2"/>
        <v>110.95890410958904</v>
      </c>
      <c r="G9" s="204">
        <f t="shared" si="2"/>
        <v>110.95890410958904</v>
      </c>
      <c r="H9" s="204">
        <f t="shared" si="2"/>
        <v>110.95890410958904</v>
      </c>
      <c r="I9" s="204">
        <f t="shared" si="2"/>
        <v>110.95890410958904</v>
      </c>
      <c r="J9" s="204">
        <f t="shared" si="2"/>
        <v>110.95890410958904</v>
      </c>
      <c r="K9" s="204">
        <f t="shared" si="2"/>
        <v>110.95890410958904</v>
      </c>
      <c r="L9" s="204">
        <f t="shared" si="2"/>
        <v>110.95890410958904</v>
      </c>
      <c r="M9" s="204">
        <f t="shared" si="2"/>
        <v>110.95890410958904</v>
      </c>
      <c r="N9" s="204">
        <f t="shared" si="2"/>
        <v>110.95890410958904</v>
      </c>
      <c r="O9" s="204">
        <f t="shared" si="2"/>
        <v>110.95890410958904</v>
      </c>
      <c r="P9" s="215">
        <f t="shared" si="2"/>
        <v>110.95890410958904</v>
      </c>
    </row>
    <row r="10" spans="1:18">
      <c r="A10" s="218" t="s">
        <v>690</v>
      </c>
      <c r="B10" s="198">
        <f>B9*B4</f>
        <v>11095.890410958904</v>
      </c>
      <c r="C10" s="198">
        <f t="shared" ref="C10:P10" si="3">C9*C4</f>
        <v>33287.67123287671</v>
      </c>
      <c r="D10" s="198">
        <f t="shared" si="3"/>
        <v>66575.34246575342</v>
      </c>
      <c r="E10" s="198">
        <f t="shared" si="3"/>
        <v>88767.123287671231</v>
      </c>
      <c r="F10" s="198">
        <f t="shared" si="3"/>
        <v>110958.90410958904</v>
      </c>
      <c r="G10" s="198">
        <f t="shared" si="3"/>
        <v>133150.68493150684</v>
      </c>
      <c r="H10" s="198">
        <f t="shared" si="3"/>
        <v>221917.80821917808</v>
      </c>
      <c r="I10" s="198">
        <f t="shared" si="3"/>
        <v>277397.26027397258</v>
      </c>
      <c r="J10" s="198">
        <f t="shared" si="3"/>
        <v>554794.52054794517</v>
      </c>
      <c r="K10" s="198">
        <f t="shared" si="3"/>
        <v>665753.42465753423</v>
      </c>
      <c r="L10" s="198">
        <f t="shared" si="3"/>
        <v>887671.23287671234</v>
      </c>
      <c r="M10" s="198">
        <f t="shared" si="3"/>
        <v>1109589.0410958903</v>
      </c>
      <c r="N10" s="198">
        <f t="shared" si="3"/>
        <v>2773972.6027397262</v>
      </c>
      <c r="O10" s="198">
        <f t="shared" si="3"/>
        <v>8321917.8082191786</v>
      </c>
      <c r="P10" s="219">
        <f t="shared" si="3"/>
        <v>33287671.232876714</v>
      </c>
    </row>
    <row r="11" spans="1:18">
      <c r="A11" s="216" t="s">
        <v>689</v>
      </c>
      <c r="B11" s="174">
        <f>B10*8</f>
        <v>88767.123287671231</v>
      </c>
      <c r="C11" s="174">
        <f t="shared" ref="C11:P11" si="4">C10*8</f>
        <v>266301.36986301368</v>
      </c>
      <c r="D11" s="174">
        <f t="shared" si="4"/>
        <v>532602.73972602736</v>
      </c>
      <c r="E11" s="174">
        <f t="shared" si="4"/>
        <v>710136.98630136985</v>
      </c>
      <c r="F11" s="174">
        <f t="shared" si="4"/>
        <v>887671.23287671234</v>
      </c>
      <c r="G11" s="174">
        <f t="shared" si="4"/>
        <v>1065205.4794520547</v>
      </c>
      <c r="H11" s="174">
        <f t="shared" si="4"/>
        <v>1775342.4657534247</v>
      </c>
      <c r="I11" s="174">
        <f t="shared" si="4"/>
        <v>2219178.0821917807</v>
      </c>
      <c r="J11" s="174">
        <f t="shared" si="4"/>
        <v>4438356.1643835614</v>
      </c>
      <c r="K11" s="174">
        <f t="shared" si="4"/>
        <v>5326027.3972602738</v>
      </c>
      <c r="L11" s="174">
        <f t="shared" si="4"/>
        <v>7101369.8630136987</v>
      </c>
      <c r="M11" s="174">
        <f t="shared" si="4"/>
        <v>8876712.3287671227</v>
      </c>
      <c r="N11" s="174">
        <f t="shared" si="4"/>
        <v>22191780.82191781</v>
      </c>
      <c r="O11" s="174">
        <f t="shared" si="4"/>
        <v>66575342.465753429</v>
      </c>
      <c r="P11" s="217">
        <f t="shared" si="4"/>
        <v>266301369.86301371</v>
      </c>
    </row>
    <row r="12" spans="1:18">
      <c r="A12" s="32" t="s">
        <v>687</v>
      </c>
      <c r="B12" s="169">
        <v>0.25</v>
      </c>
      <c r="C12" s="169">
        <v>0.25</v>
      </c>
      <c r="D12" s="169">
        <v>0.25</v>
      </c>
      <c r="E12" s="169">
        <v>0.25</v>
      </c>
      <c r="F12" s="169">
        <v>0.25</v>
      </c>
      <c r="G12" s="169">
        <v>0.25</v>
      </c>
      <c r="H12" s="169">
        <v>0.25</v>
      </c>
      <c r="I12" s="169">
        <v>0.25</v>
      </c>
      <c r="J12" s="169">
        <v>0.25</v>
      </c>
      <c r="K12" s="169">
        <v>0.25</v>
      </c>
      <c r="L12" s="169">
        <v>0.25</v>
      </c>
      <c r="M12" s="169">
        <v>0.25</v>
      </c>
      <c r="N12" s="169">
        <v>0.25</v>
      </c>
      <c r="O12" s="169">
        <v>0.25</v>
      </c>
      <c r="P12" s="214">
        <v>0.25</v>
      </c>
    </row>
    <row r="13" spans="1:18">
      <c r="A13" s="32" t="s">
        <v>686</v>
      </c>
      <c r="B13" s="181">
        <v>10</v>
      </c>
      <c r="C13" s="181">
        <v>10</v>
      </c>
      <c r="D13" s="181">
        <v>10</v>
      </c>
      <c r="E13" s="181">
        <v>10</v>
      </c>
      <c r="F13" s="181">
        <v>10</v>
      </c>
      <c r="G13" s="181">
        <v>10</v>
      </c>
      <c r="H13" s="181">
        <v>10</v>
      </c>
      <c r="I13" s="181">
        <v>10</v>
      </c>
      <c r="J13" s="181">
        <v>10</v>
      </c>
      <c r="K13" s="181">
        <v>10</v>
      </c>
      <c r="L13" s="181">
        <v>10</v>
      </c>
      <c r="M13" s="181">
        <v>10</v>
      </c>
      <c r="N13" s="181">
        <v>10</v>
      </c>
      <c r="O13" s="181">
        <v>10</v>
      </c>
      <c r="P13" s="212">
        <v>10</v>
      </c>
    </row>
    <row r="14" spans="1:18" hidden="1">
      <c r="A14" s="32" t="s">
        <v>688</v>
      </c>
      <c r="B14" s="181">
        <v>15</v>
      </c>
      <c r="C14" s="181">
        <v>15</v>
      </c>
      <c r="D14" s="181">
        <v>15</v>
      </c>
      <c r="E14" s="181">
        <v>15</v>
      </c>
      <c r="F14" s="181">
        <v>15</v>
      </c>
      <c r="G14" s="181">
        <v>15</v>
      </c>
      <c r="H14" s="181">
        <v>15</v>
      </c>
      <c r="I14" s="181">
        <v>15</v>
      </c>
      <c r="J14" s="181">
        <v>15</v>
      </c>
      <c r="K14" s="181">
        <v>15</v>
      </c>
      <c r="L14" s="181">
        <v>15</v>
      </c>
      <c r="M14" s="181">
        <v>15</v>
      </c>
      <c r="N14" s="181">
        <v>15</v>
      </c>
      <c r="O14" s="181">
        <v>15</v>
      </c>
      <c r="P14" s="212">
        <v>15</v>
      </c>
    </row>
    <row r="15" spans="1:18">
      <c r="A15" s="218" t="s">
        <v>698</v>
      </c>
      <c r="B15" s="198">
        <f t="shared" ref="B15:P15" si="5">B4*B12*B13*B14</f>
        <v>3750</v>
      </c>
      <c r="C15" s="198">
        <f t="shared" si="5"/>
        <v>11250</v>
      </c>
      <c r="D15" s="198">
        <f t="shared" si="5"/>
        <v>22500</v>
      </c>
      <c r="E15" s="198">
        <f t="shared" si="5"/>
        <v>30000</v>
      </c>
      <c r="F15" s="198">
        <f t="shared" si="5"/>
        <v>37500</v>
      </c>
      <c r="G15" s="198">
        <f t="shared" si="5"/>
        <v>45000</v>
      </c>
      <c r="H15" s="198">
        <f t="shared" si="5"/>
        <v>75000</v>
      </c>
      <c r="I15" s="198">
        <f t="shared" si="5"/>
        <v>93750</v>
      </c>
      <c r="J15" s="198">
        <f t="shared" si="5"/>
        <v>187500</v>
      </c>
      <c r="K15" s="198">
        <f t="shared" si="5"/>
        <v>225000</v>
      </c>
      <c r="L15" s="198">
        <f t="shared" si="5"/>
        <v>300000</v>
      </c>
      <c r="M15" s="198">
        <f t="shared" si="5"/>
        <v>375000</v>
      </c>
      <c r="N15" s="198">
        <f t="shared" si="5"/>
        <v>937500</v>
      </c>
      <c r="O15" s="198">
        <f t="shared" si="5"/>
        <v>2812500</v>
      </c>
      <c r="P15" s="219">
        <f t="shared" si="5"/>
        <v>11250000</v>
      </c>
    </row>
    <row r="16" spans="1:18">
      <c r="A16" s="216" t="s">
        <v>669</v>
      </c>
      <c r="B16" s="174">
        <f>B15*8</f>
        <v>30000</v>
      </c>
      <c r="C16" s="174">
        <f t="shared" ref="C16:P16" si="6">C15*8</f>
        <v>90000</v>
      </c>
      <c r="D16" s="174">
        <f t="shared" si="6"/>
        <v>180000</v>
      </c>
      <c r="E16" s="174">
        <f t="shared" si="6"/>
        <v>240000</v>
      </c>
      <c r="F16" s="174">
        <f t="shared" si="6"/>
        <v>300000</v>
      </c>
      <c r="G16" s="174">
        <f t="shared" si="6"/>
        <v>360000</v>
      </c>
      <c r="H16" s="174">
        <f t="shared" si="6"/>
        <v>600000</v>
      </c>
      <c r="I16" s="174">
        <f t="shared" si="6"/>
        <v>750000</v>
      </c>
      <c r="J16" s="174">
        <f t="shared" si="6"/>
        <v>1500000</v>
      </c>
      <c r="K16" s="174">
        <f t="shared" si="6"/>
        <v>1800000</v>
      </c>
      <c r="L16" s="174">
        <f t="shared" si="6"/>
        <v>2400000</v>
      </c>
      <c r="M16" s="174">
        <f t="shared" si="6"/>
        <v>3000000</v>
      </c>
      <c r="N16" s="174">
        <f t="shared" si="6"/>
        <v>7500000</v>
      </c>
      <c r="O16" s="174">
        <f t="shared" si="6"/>
        <v>22500000</v>
      </c>
      <c r="P16" s="217">
        <f t="shared" si="6"/>
        <v>90000000</v>
      </c>
    </row>
    <row r="17" spans="1:22" ht="17" thickBot="1">
      <c r="A17" s="220" t="s">
        <v>674</v>
      </c>
      <c r="B17" s="194">
        <f>B16+B11</f>
        <v>118767.12328767123</v>
      </c>
      <c r="C17" s="194">
        <f t="shared" ref="C17:P17" si="7">C16+C11</f>
        <v>356301.36986301368</v>
      </c>
      <c r="D17" s="194">
        <f t="shared" si="7"/>
        <v>712602.73972602736</v>
      </c>
      <c r="E17" s="194">
        <f t="shared" si="7"/>
        <v>950136.98630136985</v>
      </c>
      <c r="F17" s="194">
        <f t="shared" si="7"/>
        <v>1187671.2328767125</v>
      </c>
      <c r="G17" s="194">
        <f t="shared" si="7"/>
        <v>1425205.4794520547</v>
      </c>
      <c r="H17" s="194">
        <f t="shared" si="7"/>
        <v>2375342.4657534249</v>
      </c>
      <c r="I17" s="194">
        <f t="shared" si="7"/>
        <v>2969178.0821917807</v>
      </c>
      <c r="J17" s="194">
        <f t="shared" si="7"/>
        <v>5938356.1643835614</v>
      </c>
      <c r="K17" s="194">
        <f t="shared" si="7"/>
        <v>7126027.3972602738</v>
      </c>
      <c r="L17" s="194">
        <f t="shared" si="7"/>
        <v>9501369.8630136997</v>
      </c>
      <c r="M17" s="194">
        <f t="shared" si="7"/>
        <v>11876712.328767123</v>
      </c>
      <c r="N17" s="194">
        <f t="shared" si="7"/>
        <v>29691780.82191781</v>
      </c>
      <c r="O17" s="194">
        <f t="shared" si="7"/>
        <v>89075342.465753436</v>
      </c>
      <c r="P17" s="221">
        <f t="shared" si="7"/>
        <v>356301369.86301374</v>
      </c>
    </row>
    <row r="18" spans="1:22" ht="17" hidden="1" thickBot="1">
      <c r="A18" s="40" t="s">
        <v>675</v>
      </c>
      <c r="B18" s="225">
        <v>0.16500000000000001</v>
      </c>
      <c r="C18" s="225">
        <v>0.17</v>
      </c>
      <c r="D18" s="225">
        <v>0.17</v>
      </c>
      <c r="E18" s="225">
        <v>0.17</v>
      </c>
      <c r="F18" s="225">
        <v>0.17</v>
      </c>
      <c r="G18" s="225">
        <v>0.17</v>
      </c>
      <c r="H18" s="225">
        <v>0.17</v>
      </c>
      <c r="I18" s="225">
        <v>0.17</v>
      </c>
      <c r="J18" s="225">
        <v>0.17</v>
      </c>
      <c r="K18" s="225">
        <v>0.17</v>
      </c>
      <c r="L18" s="225">
        <v>0.17</v>
      </c>
      <c r="M18" s="225">
        <v>0.17</v>
      </c>
      <c r="N18" s="225">
        <v>0.17</v>
      </c>
      <c r="O18" s="225">
        <v>0.17</v>
      </c>
      <c r="P18" s="226">
        <v>0.17</v>
      </c>
    </row>
    <row r="19" spans="1:22">
      <c r="A19" s="227" t="s">
        <v>673</v>
      </c>
      <c r="B19" s="228">
        <v>5820</v>
      </c>
      <c r="C19" s="228">
        <f>C7*C4*C18</f>
        <v>127500.00000000001</v>
      </c>
      <c r="D19" s="228">
        <f t="shared" ref="D19:P19" si="8">D7*D4*D18</f>
        <v>255000.00000000003</v>
      </c>
      <c r="E19" s="228">
        <f t="shared" si="8"/>
        <v>340000</v>
      </c>
      <c r="F19" s="228">
        <f t="shared" si="8"/>
        <v>425000.00000000006</v>
      </c>
      <c r="G19" s="228">
        <f t="shared" si="8"/>
        <v>510000.00000000006</v>
      </c>
      <c r="H19" s="228">
        <f t="shared" si="8"/>
        <v>850000.00000000012</v>
      </c>
      <c r="I19" s="228">
        <f t="shared" si="8"/>
        <v>1062500</v>
      </c>
      <c r="J19" s="228">
        <f t="shared" si="8"/>
        <v>2125000</v>
      </c>
      <c r="K19" s="228">
        <f t="shared" si="8"/>
        <v>2550000</v>
      </c>
      <c r="L19" s="228">
        <f t="shared" si="8"/>
        <v>3400000.0000000005</v>
      </c>
      <c r="M19" s="228">
        <f t="shared" si="8"/>
        <v>4250000</v>
      </c>
      <c r="N19" s="228">
        <f t="shared" si="8"/>
        <v>10625000</v>
      </c>
      <c r="O19" s="228">
        <f t="shared" si="8"/>
        <v>31875000.000000004</v>
      </c>
      <c r="P19" s="229">
        <f t="shared" si="8"/>
        <v>127500000.00000001</v>
      </c>
    </row>
    <row r="20" spans="1:22" ht="17" thickBot="1">
      <c r="A20" s="222" t="s">
        <v>685</v>
      </c>
      <c r="B20" s="223">
        <f>B19*8</f>
        <v>46560</v>
      </c>
      <c r="C20" s="223">
        <f t="shared" ref="C20:P20" si="9">C19*8</f>
        <v>1020000.0000000001</v>
      </c>
      <c r="D20" s="223">
        <f t="shared" si="9"/>
        <v>2040000.0000000002</v>
      </c>
      <c r="E20" s="223">
        <f t="shared" si="9"/>
        <v>2720000</v>
      </c>
      <c r="F20" s="223">
        <f t="shared" si="9"/>
        <v>3400000.0000000005</v>
      </c>
      <c r="G20" s="223">
        <f t="shared" si="9"/>
        <v>4080000.0000000005</v>
      </c>
      <c r="H20" s="223">
        <f t="shared" si="9"/>
        <v>6800000.0000000009</v>
      </c>
      <c r="I20" s="223">
        <f t="shared" si="9"/>
        <v>8500000</v>
      </c>
      <c r="J20" s="223">
        <f t="shared" si="9"/>
        <v>17000000</v>
      </c>
      <c r="K20" s="223">
        <f t="shared" si="9"/>
        <v>20400000</v>
      </c>
      <c r="L20" s="223">
        <f t="shared" si="9"/>
        <v>27200000.000000004</v>
      </c>
      <c r="M20" s="223">
        <f t="shared" si="9"/>
        <v>34000000</v>
      </c>
      <c r="N20" s="223">
        <f t="shared" si="9"/>
        <v>85000000</v>
      </c>
      <c r="O20" s="223">
        <f t="shared" si="9"/>
        <v>255000000.00000003</v>
      </c>
      <c r="P20" s="224">
        <f t="shared" si="9"/>
        <v>1020000000.0000001</v>
      </c>
    </row>
    <row r="21" spans="1:22">
      <c r="A21" t="s">
        <v>711</v>
      </c>
      <c r="B21">
        <v>0</v>
      </c>
      <c r="C21">
        <v>0</v>
      </c>
      <c r="D21">
        <v>0</v>
      </c>
    </row>
    <row r="31" spans="1:2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05">
        <v>133613.01369863012</v>
      </c>
      <c r="I31" s="205">
        <v>400839.0410958904</v>
      </c>
      <c r="J31" s="205">
        <v>801678.08219178079</v>
      </c>
      <c r="K31" s="205">
        <v>1068904.109589041</v>
      </c>
      <c r="L31" s="205">
        <v>1336130.1369863015</v>
      </c>
      <c r="M31" s="205">
        <v>1603356.1643835616</v>
      </c>
      <c r="N31" s="205">
        <v>1603356.1643835616</v>
      </c>
      <c r="O31" s="205">
        <v>3340325.3424657532</v>
      </c>
      <c r="P31" s="205">
        <v>6680650.6849315064</v>
      </c>
      <c r="Q31" s="205">
        <v>8016780.8219178077</v>
      </c>
      <c r="R31" s="205">
        <v>10689041.095890412</v>
      </c>
      <c r="S31" s="205">
        <v>13361301.369863013</v>
      </c>
      <c r="T31" s="205">
        <v>33403253.424657535</v>
      </c>
      <c r="U31" s="205">
        <v>100209760.27397262</v>
      </c>
      <c r="V31" s="205">
        <v>400839041.09589046</v>
      </c>
    </row>
    <row r="32" spans="1:2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99">
        <v>371250</v>
      </c>
      <c r="I32" s="199">
        <v>1147500.0000000002</v>
      </c>
      <c r="J32" s="199">
        <v>2295000.0000000005</v>
      </c>
      <c r="K32" s="199">
        <v>3060000</v>
      </c>
      <c r="L32" s="199">
        <v>3825000.0000000005</v>
      </c>
      <c r="M32" s="199">
        <v>4590000.0000000009</v>
      </c>
      <c r="N32" s="199">
        <v>4590000.0000000009</v>
      </c>
      <c r="O32" s="199">
        <v>9562500</v>
      </c>
      <c r="P32" s="199">
        <v>19125000</v>
      </c>
      <c r="Q32" s="199">
        <v>22950000</v>
      </c>
      <c r="R32" s="199">
        <v>30600000.000000004</v>
      </c>
      <c r="S32" s="199">
        <v>38250000</v>
      </c>
      <c r="T32" s="199">
        <v>95625000</v>
      </c>
      <c r="U32" s="199">
        <v>286875000.00000006</v>
      </c>
      <c r="V32" s="199">
        <v>1147500000.0000002</v>
      </c>
    </row>
    <row r="33" spans="1:22">
      <c r="B33" s="22">
        <f>B10+B15+B31</f>
        <v>14845.890410958904</v>
      </c>
      <c r="C33" s="22">
        <f t="shared" ref="C33:V33" si="10">C10+C15+C31</f>
        <v>44537.67123287671</v>
      </c>
      <c r="D33" s="22">
        <f t="shared" si="10"/>
        <v>89075.34246575342</v>
      </c>
      <c r="E33" s="22">
        <f t="shared" si="10"/>
        <v>118767.12328767123</v>
      </c>
      <c r="F33" s="22">
        <f t="shared" si="10"/>
        <v>148458.90410958906</v>
      </c>
      <c r="G33" s="22">
        <f t="shared" si="10"/>
        <v>178150.68493150684</v>
      </c>
      <c r="H33" s="22">
        <f t="shared" si="10"/>
        <v>430530.82191780827</v>
      </c>
      <c r="I33" s="22">
        <f t="shared" si="10"/>
        <v>771986.30136986298</v>
      </c>
      <c r="J33" s="22">
        <f t="shared" si="10"/>
        <v>1543972.602739726</v>
      </c>
      <c r="K33" s="22">
        <f t="shared" si="10"/>
        <v>1959657.5342465751</v>
      </c>
      <c r="L33" s="22">
        <f t="shared" si="10"/>
        <v>2523801.3698630137</v>
      </c>
      <c r="M33" s="22">
        <f t="shared" si="10"/>
        <v>3087945.2054794519</v>
      </c>
      <c r="N33" s="22">
        <f t="shared" si="10"/>
        <v>5314828.7671232875</v>
      </c>
      <c r="O33" s="22">
        <f t="shared" si="10"/>
        <v>14474743.150684932</v>
      </c>
      <c r="P33" s="22">
        <f t="shared" si="10"/>
        <v>51218321.917808227</v>
      </c>
      <c r="Q33" s="22">
        <f t="shared" si="10"/>
        <v>8016780.8219178077</v>
      </c>
      <c r="R33" s="22">
        <f t="shared" si="10"/>
        <v>10689041.095890412</v>
      </c>
      <c r="S33" s="22">
        <f t="shared" si="10"/>
        <v>13361301.369863013</v>
      </c>
      <c r="T33" s="22">
        <f t="shared" si="10"/>
        <v>33403253.424657535</v>
      </c>
      <c r="U33" s="22">
        <f t="shared" si="10"/>
        <v>100209760.27397262</v>
      </c>
      <c r="V33" s="22">
        <f t="shared" si="10"/>
        <v>400839041.09589046</v>
      </c>
    </row>
    <row r="34" spans="1:22">
      <c r="B34" s="22">
        <f>B19+B32</f>
        <v>5820</v>
      </c>
      <c r="C34" s="22">
        <f t="shared" ref="C34:V34" si="11">C19+C32</f>
        <v>127500.00000000001</v>
      </c>
      <c r="D34" s="22">
        <f t="shared" si="11"/>
        <v>255000.00000000003</v>
      </c>
      <c r="E34" s="22">
        <f t="shared" si="11"/>
        <v>340000</v>
      </c>
      <c r="F34" s="22">
        <f t="shared" si="11"/>
        <v>425000.00000000006</v>
      </c>
      <c r="G34" s="22">
        <f t="shared" si="11"/>
        <v>510000.00000000006</v>
      </c>
      <c r="H34" s="22">
        <f t="shared" si="11"/>
        <v>1221250</v>
      </c>
      <c r="I34" s="22">
        <f t="shared" si="11"/>
        <v>2210000</v>
      </c>
      <c r="J34" s="22">
        <f t="shared" si="11"/>
        <v>4420000</v>
      </c>
      <c r="K34" s="22">
        <f t="shared" si="11"/>
        <v>5610000</v>
      </c>
      <c r="L34" s="22">
        <f t="shared" si="11"/>
        <v>7225000.0000000009</v>
      </c>
      <c r="M34" s="22">
        <f t="shared" si="11"/>
        <v>8840000</v>
      </c>
      <c r="N34" s="22">
        <f t="shared" si="11"/>
        <v>15215000</v>
      </c>
      <c r="O34" s="22">
        <f t="shared" si="11"/>
        <v>41437500</v>
      </c>
      <c r="P34" s="22">
        <f t="shared" si="11"/>
        <v>146625000</v>
      </c>
      <c r="Q34" s="22">
        <f t="shared" si="11"/>
        <v>22950000</v>
      </c>
      <c r="R34" s="22">
        <f t="shared" si="11"/>
        <v>30600000.000000004</v>
      </c>
      <c r="S34" s="22">
        <f t="shared" si="11"/>
        <v>38250000</v>
      </c>
      <c r="T34" s="22">
        <f t="shared" si="11"/>
        <v>95625000</v>
      </c>
      <c r="U34" s="22">
        <f t="shared" si="11"/>
        <v>286875000.00000006</v>
      </c>
      <c r="V34" s="22">
        <f t="shared" si="11"/>
        <v>1147500000.0000002</v>
      </c>
    </row>
    <row r="37" spans="1:22">
      <c r="A37" t="s">
        <v>699</v>
      </c>
    </row>
    <row r="38" spans="1:22">
      <c r="A38" t="s">
        <v>700</v>
      </c>
      <c r="B38">
        <v>400</v>
      </c>
    </row>
    <row r="39" spans="1:22">
      <c r="A39" t="s">
        <v>701</v>
      </c>
      <c r="B39">
        <v>40</v>
      </c>
    </row>
    <row r="40" spans="1:22">
      <c r="A40" t="s">
        <v>702</v>
      </c>
      <c r="B40">
        <f>B39*B38</f>
        <v>16000</v>
      </c>
    </row>
    <row r="41" spans="1:22">
      <c r="A41" t="s">
        <v>703</v>
      </c>
      <c r="B41" s="14">
        <v>0.05</v>
      </c>
    </row>
    <row r="42" spans="1:22">
      <c r="A42" t="s">
        <v>704</v>
      </c>
      <c r="B42">
        <f>B41*B40</f>
        <v>800</v>
      </c>
    </row>
    <row r="43" spans="1:22">
      <c r="A43" t="s">
        <v>705</v>
      </c>
      <c r="B43">
        <v>50000</v>
      </c>
    </row>
    <row r="44" spans="1:22">
      <c r="A44" t="s">
        <v>706</v>
      </c>
      <c r="B44" s="22">
        <f>B43*B42</f>
        <v>40000000</v>
      </c>
    </row>
    <row r="45" spans="1:22">
      <c r="A45" t="s">
        <v>708</v>
      </c>
      <c r="B45" s="14">
        <v>0.24</v>
      </c>
    </row>
    <row r="46" spans="1:22">
      <c r="A46" t="s">
        <v>707</v>
      </c>
      <c r="B46" s="22">
        <f>B45*B44</f>
        <v>9600000</v>
      </c>
    </row>
    <row r="47" spans="1:22">
      <c r="A47" t="s">
        <v>709</v>
      </c>
      <c r="B47" s="14">
        <v>0.02</v>
      </c>
    </row>
    <row r="48" spans="1:22">
      <c r="A48" t="s">
        <v>710</v>
      </c>
      <c r="B48" s="22">
        <f>B47*B44</f>
        <v>800000</v>
      </c>
    </row>
  </sheetData>
  <mergeCells count="1">
    <mergeCell ref="A1:P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427-B45B-D84D-B86D-A1652A66E5AC}">
  <dimension ref="A1:BI24"/>
  <sheetViews>
    <sheetView zoomScale="170" zoomScaleNormal="170" workbookViewId="0">
      <pane ySplit="2" topLeftCell="A3" activePane="bottomLeft" state="frozen"/>
      <selection pane="bottomLeft" activeCell="B18" sqref="B18"/>
    </sheetView>
  </sheetViews>
  <sheetFormatPr baseColWidth="10" defaultRowHeight="16"/>
  <cols>
    <col min="1" max="1" width="32.1640625" bestFit="1" customWidth="1"/>
    <col min="2" max="2" width="11.6640625" bestFit="1" customWidth="1"/>
    <col min="5" max="6" width="10.83203125" customWidth="1"/>
    <col min="7" max="7" width="11.5" customWidth="1"/>
    <col min="8" max="12" width="10.83203125" customWidth="1"/>
    <col min="17" max="19" width="11.6640625" bestFit="1" customWidth="1"/>
    <col min="20" max="24" width="11.6640625" customWidth="1"/>
    <col min="25" max="25" width="11.6640625" bestFit="1" customWidth="1"/>
    <col min="26" max="32" width="11.6640625" customWidth="1"/>
    <col min="33" max="37" width="13.1640625" bestFit="1" customWidth="1"/>
    <col min="38" max="48" width="13.1640625" customWidth="1"/>
    <col min="49" max="61" width="14.83203125" customWidth="1"/>
    <col min="64" max="64" width="12.1640625" bestFit="1" customWidth="1"/>
    <col min="65" max="65" width="13.1640625" bestFit="1" customWidth="1"/>
  </cols>
  <sheetData>
    <row r="1" spans="1:61" ht="21">
      <c r="A1" s="287" t="s">
        <v>670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  <c r="AO1" s="287"/>
      <c r="AP1" s="287"/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287"/>
      <c r="BD1" s="287"/>
      <c r="BE1" s="287"/>
      <c r="BF1" s="287"/>
      <c r="BG1" s="287"/>
      <c r="BH1" s="287"/>
      <c r="BI1" s="287"/>
    </row>
    <row r="2" spans="1:61">
      <c r="A2" s="167" t="s">
        <v>511</v>
      </c>
      <c r="B2" s="168" t="s">
        <v>663</v>
      </c>
      <c r="C2" s="168" t="s">
        <v>664</v>
      </c>
      <c r="D2" s="168" t="s">
        <v>665</v>
      </c>
      <c r="E2" s="168" t="s">
        <v>392</v>
      </c>
      <c r="F2" s="168" t="s">
        <v>384</v>
      </c>
      <c r="G2" s="168" t="s">
        <v>385</v>
      </c>
      <c r="H2" s="168" t="s">
        <v>386</v>
      </c>
      <c r="I2" s="168" t="s">
        <v>387</v>
      </c>
      <c r="J2" s="168" t="s">
        <v>388</v>
      </c>
      <c r="K2" s="168" t="s">
        <v>389</v>
      </c>
      <c r="L2" s="168" t="s">
        <v>390</v>
      </c>
      <c r="M2" s="168" t="s">
        <v>391</v>
      </c>
      <c r="N2" s="168" t="s">
        <v>712</v>
      </c>
      <c r="O2" s="168" t="s">
        <v>713</v>
      </c>
      <c r="P2" s="168" t="s">
        <v>714</v>
      </c>
      <c r="Q2" s="168" t="s">
        <v>715</v>
      </c>
      <c r="R2" s="168" t="s">
        <v>716</v>
      </c>
      <c r="S2" s="168" t="s">
        <v>668</v>
      </c>
      <c r="T2" s="168" t="s">
        <v>717</v>
      </c>
      <c r="U2" s="168" t="s">
        <v>718</v>
      </c>
      <c r="V2" s="168" t="s">
        <v>719</v>
      </c>
      <c r="W2" s="168" t="s">
        <v>720</v>
      </c>
      <c r="X2" s="168" t="s">
        <v>721</v>
      </c>
      <c r="Y2" s="168" t="s">
        <v>666</v>
      </c>
      <c r="Z2" s="168" t="s">
        <v>722</v>
      </c>
      <c r="AA2" s="168" t="s">
        <v>723</v>
      </c>
      <c r="AB2" s="168" t="s">
        <v>724</v>
      </c>
      <c r="AC2" s="168" t="s">
        <v>725</v>
      </c>
      <c r="AD2" s="168" t="s">
        <v>726</v>
      </c>
      <c r="AE2" s="168" t="s">
        <v>727</v>
      </c>
      <c r="AF2" s="168" t="s">
        <v>728</v>
      </c>
      <c r="AG2" s="168" t="s">
        <v>729</v>
      </c>
      <c r="AH2" s="168" t="s">
        <v>730</v>
      </c>
      <c r="AI2" s="168" t="s">
        <v>731</v>
      </c>
      <c r="AJ2" s="168" t="s">
        <v>732</v>
      </c>
      <c r="AK2" s="168" t="s">
        <v>667</v>
      </c>
      <c r="AL2" s="168" t="s">
        <v>735</v>
      </c>
      <c r="AM2" s="168" t="s">
        <v>736</v>
      </c>
      <c r="AN2" s="168" t="s">
        <v>737</v>
      </c>
      <c r="AO2" s="168" t="s">
        <v>738</v>
      </c>
      <c r="AP2" s="168" t="s">
        <v>739</v>
      </c>
      <c r="AQ2" s="168" t="s">
        <v>740</v>
      </c>
      <c r="AR2" s="168" t="s">
        <v>741</v>
      </c>
      <c r="AS2" s="168" t="s">
        <v>742</v>
      </c>
      <c r="AT2" s="168" t="s">
        <v>743</v>
      </c>
      <c r="AU2" s="168" t="s">
        <v>744</v>
      </c>
      <c r="AV2" s="168" t="s">
        <v>745</v>
      </c>
      <c r="AW2" s="168" t="s">
        <v>733</v>
      </c>
      <c r="AX2" s="168" t="s">
        <v>746</v>
      </c>
      <c r="AY2" s="168" t="s">
        <v>747</v>
      </c>
      <c r="AZ2" s="168" t="s">
        <v>748</v>
      </c>
      <c r="BA2" s="168" t="s">
        <v>749</v>
      </c>
      <c r="BB2" s="168" t="s">
        <v>750</v>
      </c>
      <c r="BC2" s="168" t="s">
        <v>751</v>
      </c>
      <c r="BD2" s="168" t="s">
        <v>752</v>
      </c>
      <c r="BE2" s="168" t="s">
        <v>753</v>
      </c>
      <c r="BF2" s="168" t="s">
        <v>754</v>
      </c>
      <c r="BG2" s="168" t="s">
        <v>755</v>
      </c>
      <c r="BH2" s="168" t="s">
        <v>756</v>
      </c>
      <c r="BI2" s="168" t="s">
        <v>734</v>
      </c>
    </row>
    <row r="3" spans="1:61">
      <c r="A3" s="158" t="s">
        <v>697</v>
      </c>
      <c r="B3" s="181">
        <v>5000</v>
      </c>
      <c r="C3" s="181">
        <v>5000</v>
      </c>
      <c r="D3" s="181">
        <v>5000</v>
      </c>
      <c r="E3" s="181">
        <v>5000</v>
      </c>
      <c r="F3" s="181">
        <v>5000</v>
      </c>
      <c r="G3" s="181">
        <v>5000</v>
      </c>
      <c r="H3" s="181">
        <v>5000</v>
      </c>
      <c r="I3" s="181">
        <v>5000</v>
      </c>
      <c r="J3" s="181">
        <v>5000</v>
      </c>
      <c r="K3" s="181">
        <v>5000</v>
      </c>
      <c r="L3" s="181">
        <v>5000</v>
      </c>
      <c r="M3" s="181">
        <v>5000</v>
      </c>
      <c r="N3" s="181">
        <v>5000</v>
      </c>
      <c r="O3" s="181">
        <v>5000</v>
      </c>
      <c r="P3" s="181">
        <v>5000</v>
      </c>
      <c r="Q3" s="181">
        <v>5000</v>
      </c>
      <c r="R3" s="181">
        <v>5000</v>
      </c>
      <c r="S3" s="181">
        <v>5000</v>
      </c>
      <c r="T3" s="181">
        <v>5000</v>
      </c>
      <c r="U3" s="181">
        <v>5000</v>
      </c>
      <c r="V3" s="181">
        <v>5000</v>
      </c>
      <c r="W3" s="181">
        <v>5000</v>
      </c>
      <c r="X3" s="181">
        <v>5000</v>
      </c>
      <c r="Y3" s="181">
        <v>5000</v>
      </c>
      <c r="Z3" s="181">
        <v>5000</v>
      </c>
      <c r="AA3" s="181">
        <v>5000</v>
      </c>
      <c r="AB3" s="181">
        <v>5000</v>
      </c>
      <c r="AC3" s="181">
        <v>5000</v>
      </c>
      <c r="AD3" s="181">
        <v>5000</v>
      </c>
      <c r="AE3" s="181">
        <v>5000</v>
      </c>
      <c r="AF3" s="181">
        <v>6000</v>
      </c>
      <c r="AG3" s="181">
        <v>6000</v>
      </c>
      <c r="AH3" s="181">
        <v>6000</v>
      </c>
      <c r="AI3" s="181">
        <v>6000</v>
      </c>
      <c r="AJ3" s="181">
        <v>6000</v>
      </c>
      <c r="AK3" s="181">
        <v>7000</v>
      </c>
      <c r="AL3" s="181">
        <v>7000</v>
      </c>
      <c r="AM3" s="181">
        <v>7000</v>
      </c>
      <c r="AN3" s="181">
        <v>7000</v>
      </c>
      <c r="AO3" s="181">
        <v>7000</v>
      </c>
      <c r="AP3" s="181">
        <v>7000</v>
      </c>
      <c r="AQ3" s="181">
        <v>7000</v>
      </c>
      <c r="AR3" s="181">
        <v>7000</v>
      </c>
      <c r="AS3" s="181">
        <v>7000</v>
      </c>
      <c r="AT3" s="181">
        <v>7000</v>
      </c>
      <c r="AU3" s="181">
        <v>7000</v>
      </c>
      <c r="AV3" s="181">
        <v>7000</v>
      </c>
      <c r="AW3" s="181">
        <v>8000</v>
      </c>
      <c r="AX3" s="181">
        <v>8000</v>
      </c>
      <c r="AY3" s="181">
        <v>8000</v>
      </c>
      <c r="AZ3" s="181">
        <v>8000</v>
      </c>
      <c r="BA3" s="181">
        <v>8000</v>
      </c>
      <c r="BB3" s="181">
        <v>8000</v>
      </c>
      <c r="BC3" s="181">
        <v>8000</v>
      </c>
      <c r="BD3" s="181">
        <v>8000</v>
      </c>
      <c r="BE3" s="181">
        <v>8000</v>
      </c>
      <c r="BF3" s="181">
        <v>8000</v>
      </c>
      <c r="BG3" s="181">
        <v>8000</v>
      </c>
      <c r="BH3" s="181">
        <v>8000</v>
      </c>
      <c r="BI3" s="181">
        <v>9000</v>
      </c>
    </row>
    <row r="4" spans="1:61">
      <c r="A4" s="158" t="s">
        <v>696</v>
      </c>
      <c r="B4" s="181">
        <v>50</v>
      </c>
      <c r="C4" s="181">
        <v>80</v>
      </c>
      <c r="D4" s="181">
        <v>100</v>
      </c>
      <c r="E4" s="181">
        <v>150</v>
      </c>
      <c r="F4" s="181">
        <v>300</v>
      </c>
      <c r="G4" s="181">
        <v>500</v>
      </c>
      <c r="H4" s="181">
        <v>750</v>
      </c>
      <c r="I4" s="181">
        <v>1000</v>
      </c>
      <c r="J4" s="181">
        <v>1500</v>
      </c>
      <c r="K4" s="181">
        <v>2000</v>
      </c>
      <c r="L4" s="181">
        <v>2500</v>
      </c>
      <c r="M4" s="181">
        <v>3000</v>
      </c>
      <c r="N4" s="181">
        <v>4000</v>
      </c>
      <c r="O4" s="181">
        <v>5000</v>
      </c>
      <c r="P4" s="181">
        <v>6500</v>
      </c>
      <c r="Q4" s="181">
        <v>8000</v>
      </c>
      <c r="R4" s="181">
        <v>10000</v>
      </c>
      <c r="S4" s="181">
        <v>12000</v>
      </c>
      <c r="T4" s="181">
        <v>14500</v>
      </c>
      <c r="U4" s="181">
        <v>17000</v>
      </c>
      <c r="V4" s="181">
        <v>19500</v>
      </c>
      <c r="W4" s="181">
        <v>22500</v>
      </c>
      <c r="X4" s="181">
        <v>25500</v>
      </c>
      <c r="Y4" s="181">
        <v>28500</v>
      </c>
      <c r="Z4" s="181">
        <v>32000</v>
      </c>
      <c r="AA4" s="181">
        <v>36000</v>
      </c>
      <c r="AB4" s="181">
        <v>40000</v>
      </c>
      <c r="AC4" s="181">
        <v>45000</v>
      </c>
      <c r="AD4" s="181">
        <v>50000</v>
      </c>
      <c r="AE4" s="181">
        <v>56000</v>
      </c>
      <c r="AF4" s="181">
        <v>62000</v>
      </c>
      <c r="AG4" s="181">
        <v>68000</v>
      </c>
      <c r="AH4" s="181">
        <v>75000</v>
      </c>
      <c r="AI4" s="181">
        <v>83000</v>
      </c>
      <c r="AJ4" s="181">
        <v>91000</v>
      </c>
      <c r="AK4" s="181">
        <v>100000</v>
      </c>
      <c r="AL4" s="181">
        <v>100000</v>
      </c>
      <c r="AM4" s="181">
        <v>100000</v>
      </c>
      <c r="AN4" s="181">
        <v>100000</v>
      </c>
      <c r="AO4" s="181">
        <v>100000</v>
      </c>
      <c r="AP4" s="181">
        <v>100000</v>
      </c>
      <c r="AQ4" s="181">
        <v>100000</v>
      </c>
      <c r="AR4" s="181">
        <v>100000</v>
      </c>
      <c r="AS4" s="181">
        <v>100000</v>
      </c>
      <c r="AT4" s="181">
        <v>100000</v>
      </c>
      <c r="AU4" s="181">
        <v>100000</v>
      </c>
      <c r="AV4" s="181">
        <v>100000</v>
      </c>
      <c r="AW4" s="181">
        <v>100000</v>
      </c>
      <c r="AX4" s="181">
        <v>100000</v>
      </c>
      <c r="AY4" s="181">
        <v>100000</v>
      </c>
      <c r="AZ4" s="181">
        <v>100000</v>
      </c>
      <c r="BA4" s="181">
        <v>100000</v>
      </c>
      <c r="BB4" s="181">
        <v>100000</v>
      </c>
      <c r="BC4" s="181">
        <v>100000</v>
      </c>
      <c r="BD4" s="181">
        <v>100000</v>
      </c>
      <c r="BE4" s="181">
        <v>100000</v>
      </c>
      <c r="BF4" s="181">
        <v>100000</v>
      </c>
      <c r="BG4" s="181">
        <v>100000</v>
      </c>
      <c r="BH4" s="181">
        <v>100000</v>
      </c>
      <c r="BI4" s="181">
        <v>100000</v>
      </c>
    </row>
    <row r="5" spans="1:61">
      <c r="A5" s="158" t="s">
        <v>695</v>
      </c>
      <c r="B5" s="31">
        <f t="shared" ref="B5:Y5" si="0">B4*B3</f>
        <v>250000</v>
      </c>
      <c r="C5" s="31">
        <f t="shared" si="0"/>
        <v>400000</v>
      </c>
      <c r="D5" s="31">
        <f t="shared" si="0"/>
        <v>500000</v>
      </c>
      <c r="E5" s="31">
        <f t="shared" si="0"/>
        <v>750000</v>
      </c>
      <c r="F5" s="31">
        <f t="shared" si="0"/>
        <v>1500000</v>
      </c>
      <c r="G5" s="31">
        <f t="shared" si="0"/>
        <v>2500000</v>
      </c>
      <c r="H5" s="31">
        <f t="shared" si="0"/>
        <v>3750000</v>
      </c>
      <c r="I5" s="31">
        <f t="shared" si="0"/>
        <v>5000000</v>
      </c>
      <c r="J5" s="31">
        <f t="shared" si="0"/>
        <v>7500000</v>
      </c>
      <c r="K5" s="31">
        <f t="shared" si="0"/>
        <v>10000000</v>
      </c>
      <c r="L5" s="31">
        <f t="shared" si="0"/>
        <v>12500000</v>
      </c>
      <c r="M5" s="31">
        <f t="shared" si="0"/>
        <v>15000000</v>
      </c>
      <c r="N5" s="31">
        <f t="shared" si="0"/>
        <v>20000000</v>
      </c>
      <c r="O5" s="31">
        <f t="shared" si="0"/>
        <v>25000000</v>
      </c>
      <c r="P5" s="31">
        <f t="shared" si="0"/>
        <v>32500000</v>
      </c>
      <c r="Q5" s="31">
        <f t="shared" si="0"/>
        <v>40000000</v>
      </c>
      <c r="R5" s="31">
        <f t="shared" si="0"/>
        <v>50000000</v>
      </c>
      <c r="S5" s="31">
        <f t="shared" si="0"/>
        <v>60000000</v>
      </c>
      <c r="T5" s="31">
        <f t="shared" si="0"/>
        <v>72500000</v>
      </c>
      <c r="U5" s="31">
        <f t="shared" si="0"/>
        <v>85000000</v>
      </c>
      <c r="V5" s="31">
        <f t="shared" si="0"/>
        <v>97500000</v>
      </c>
      <c r="W5" s="31">
        <f t="shared" si="0"/>
        <v>112500000</v>
      </c>
      <c r="X5" s="31">
        <f t="shared" si="0"/>
        <v>127500000</v>
      </c>
      <c r="Y5" s="31">
        <f t="shared" si="0"/>
        <v>142500000</v>
      </c>
      <c r="Z5" s="31">
        <f t="shared" ref="Z5:AJ5" si="1">Z4*Z3</f>
        <v>160000000</v>
      </c>
      <c r="AA5" s="31">
        <f t="shared" si="1"/>
        <v>180000000</v>
      </c>
      <c r="AB5" s="31">
        <f t="shared" si="1"/>
        <v>200000000</v>
      </c>
      <c r="AC5" s="31">
        <f t="shared" si="1"/>
        <v>225000000</v>
      </c>
      <c r="AD5" s="31">
        <f t="shared" si="1"/>
        <v>250000000</v>
      </c>
      <c r="AE5" s="31">
        <f t="shared" si="1"/>
        <v>280000000</v>
      </c>
      <c r="AF5" s="31">
        <f t="shared" si="1"/>
        <v>372000000</v>
      </c>
      <c r="AG5" s="31">
        <f t="shared" si="1"/>
        <v>408000000</v>
      </c>
      <c r="AH5" s="31">
        <f t="shared" si="1"/>
        <v>450000000</v>
      </c>
      <c r="AI5" s="31">
        <f t="shared" si="1"/>
        <v>498000000</v>
      </c>
      <c r="AJ5" s="31">
        <f t="shared" si="1"/>
        <v>546000000</v>
      </c>
      <c r="AK5" s="31">
        <f>AK4*AK3</f>
        <v>700000000</v>
      </c>
      <c r="AL5" s="31">
        <f t="shared" ref="AL5:AV5" si="2">AL4*AL3</f>
        <v>700000000</v>
      </c>
      <c r="AM5" s="31">
        <f t="shared" si="2"/>
        <v>700000000</v>
      </c>
      <c r="AN5" s="31">
        <f t="shared" si="2"/>
        <v>700000000</v>
      </c>
      <c r="AO5" s="31">
        <f t="shared" si="2"/>
        <v>700000000</v>
      </c>
      <c r="AP5" s="31">
        <f t="shared" si="2"/>
        <v>700000000</v>
      </c>
      <c r="AQ5" s="31">
        <f t="shared" si="2"/>
        <v>700000000</v>
      </c>
      <c r="AR5" s="31">
        <f t="shared" si="2"/>
        <v>700000000</v>
      </c>
      <c r="AS5" s="31">
        <f t="shared" si="2"/>
        <v>700000000</v>
      </c>
      <c r="AT5" s="31">
        <f t="shared" si="2"/>
        <v>700000000</v>
      </c>
      <c r="AU5" s="31">
        <f t="shared" si="2"/>
        <v>700000000</v>
      </c>
      <c r="AV5" s="31">
        <f t="shared" si="2"/>
        <v>700000000</v>
      </c>
      <c r="AW5" s="31">
        <f>AW4*AW3</f>
        <v>800000000</v>
      </c>
      <c r="AX5" s="31">
        <f t="shared" ref="AX5:BH5" si="3">AX4*AX3</f>
        <v>800000000</v>
      </c>
      <c r="AY5" s="31">
        <f t="shared" si="3"/>
        <v>800000000</v>
      </c>
      <c r="AZ5" s="31">
        <f t="shared" si="3"/>
        <v>800000000</v>
      </c>
      <c r="BA5" s="31">
        <f t="shared" si="3"/>
        <v>800000000</v>
      </c>
      <c r="BB5" s="31">
        <f t="shared" si="3"/>
        <v>800000000</v>
      </c>
      <c r="BC5" s="31">
        <f t="shared" si="3"/>
        <v>800000000</v>
      </c>
      <c r="BD5" s="31">
        <f t="shared" si="3"/>
        <v>800000000</v>
      </c>
      <c r="BE5" s="31">
        <f t="shared" si="3"/>
        <v>800000000</v>
      </c>
      <c r="BF5" s="31">
        <f t="shared" si="3"/>
        <v>800000000</v>
      </c>
      <c r="BG5" s="31">
        <f t="shared" si="3"/>
        <v>800000000</v>
      </c>
      <c r="BH5" s="31">
        <f t="shared" si="3"/>
        <v>800000000</v>
      </c>
      <c r="BI5" s="31">
        <f>BI4*BI3</f>
        <v>900000000</v>
      </c>
    </row>
    <row r="6" spans="1:61">
      <c r="A6" s="158" t="s">
        <v>694</v>
      </c>
      <c r="B6" s="169">
        <v>0.24</v>
      </c>
      <c r="C6" s="169">
        <v>0.24</v>
      </c>
      <c r="D6" s="169">
        <v>0.24</v>
      </c>
      <c r="E6" s="169">
        <v>0.24</v>
      </c>
      <c r="F6" s="169">
        <v>0.24</v>
      </c>
      <c r="G6" s="169">
        <v>0.24</v>
      </c>
      <c r="H6" s="169">
        <v>0.24</v>
      </c>
      <c r="I6" s="169">
        <v>0.24</v>
      </c>
      <c r="J6" s="169">
        <v>0.24</v>
      </c>
      <c r="K6" s="169">
        <v>0.24</v>
      </c>
      <c r="L6" s="169">
        <v>0.24</v>
      </c>
      <c r="M6" s="169">
        <v>0.24</v>
      </c>
      <c r="N6" s="169">
        <v>0.24</v>
      </c>
      <c r="O6" s="169">
        <v>0.24</v>
      </c>
      <c r="P6" s="169">
        <v>0.24</v>
      </c>
      <c r="Q6" s="169">
        <v>0.24</v>
      </c>
      <c r="R6" s="169">
        <v>0.24</v>
      </c>
      <c r="S6" s="169">
        <v>0.24</v>
      </c>
      <c r="T6" s="169">
        <v>0.24</v>
      </c>
      <c r="U6" s="169">
        <v>0.24</v>
      </c>
      <c r="V6" s="169">
        <v>0.24</v>
      </c>
      <c r="W6" s="169">
        <v>0.24</v>
      </c>
      <c r="X6" s="169">
        <v>0.24</v>
      </c>
      <c r="Y6" s="169">
        <v>0.24</v>
      </c>
      <c r="Z6" s="169">
        <v>0.24</v>
      </c>
      <c r="AA6" s="169">
        <v>0.24</v>
      </c>
      <c r="AB6" s="169">
        <v>0.24</v>
      </c>
      <c r="AC6" s="169">
        <v>0.24</v>
      </c>
      <c r="AD6" s="169">
        <v>0.24</v>
      </c>
      <c r="AE6" s="169">
        <v>0.24</v>
      </c>
      <c r="AF6" s="169">
        <v>0.24</v>
      </c>
      <c r="AG6" s="169">
        <v>0.24</v>
      </c>
      <c r="AH6" s="169">
        <v>0.24</v>
      </c>
      <c r="AI6" s="169">
        <v>0.24</v>
      </c>
      <c r="AJ6" s="169">
        <v>0.24</v>
      </c>
      <c r="AK6" s="169">
        <v>0.24</v>
      </c>
      <c r="AL6" s="169">
        <v>0.24</v>
      </c>
      <c r="AM6" s="169">
        <v>0.24</v>
      </c>
      <c r="AN6" s="169">
        <v>0.24</v>
      </c>
      <c r="AO6" s="169">
        <v>0.24</v>
      </c>
      <c r="AP6" s="169">
        <v>0.24</v>
      </c>
      <c r="AQ6" s="169">
        <v>0.24</v>
      </c>
      <c r="AR6" s="169">
        <v>0.24</v>
      </c>
      <c r="AS6" s="169">
        <v>0.24</v>
      </c>
      <c r="AT6" s="169">
        <v>0.24</v>
      </c>
      <c r="AU6" s="169">
        <v>0.24</v>
      </c>
      <c r="AV6" s="169">
        <v>0.24</v>
      </c>
      <c r="AW6" s="169">
        <v>0.24</v>
      </c>
      <c r="AX6" s="169">
        <v>0.24</v>
      </c>
      <c r="AY6" s="169">
        <v>0.24</v>
      </c>
      <c r="AZ6" s="169">
        <v>0.24</v>
      </c>
      <c r="BA6" s="169">
        <v>0.24</v>
      </c>
      <c r="BB6" s="169">
        <v>0.24</v>
      </c>
      <c r="BC6" s="169">
        <v>0.24</v>
      </c>
      <c r="BD6" s="169">
        <v>0.24</v>
      </c>
      <c r="BE6" s="169">
        <v>0.24</v>
      </c>
      <c r="BF6" s="169">
        <v>0.24</v>
      </c>
      <c r="BG6" s="169">
        <v>0.24</v>
      </c>
      <c r="BH6" s="169">
        <v>0.24</v>
      </c>
      <c r="BI6" s="169">
        <v>0.24</v>
      </c>
    </row>
    <row r="7" spans="1:61">
      <c r="A7" s="158" t="s">
        <v>693</v>
      </c>
      <c r="B7" s="181">
        <v>2500</v>
      </c>
      <c r="C7" s="181">
        <v>2500</v>
      </c>
      <c r="D7" s="181">
        <v>2500</v>
      </c>
      <c r="E7" s="181">
        <v>2500</v>
      </c>
      <c r="F7" s="181">
        <v>2500</v>
      </c>
      <c r="G7" s="181">
        <v>2500</v>
      </c>
      <c r="H7" s="181">
        <v>2500</v>
      </c>
      <c r="I7" s="181">
        <v>2500</v>
      </c>
      <c r="J7" s="181">
        <v>2500</v>
      </c>
      <c r="K7" s="181">
        <v>2500</v>
      </c>
      <c r="L7" s="181">
        <v>2500</v>
      </c>
      <c r="M7" s="181">
        <v>2500</v>
      </c>
      <c r="N7" s="181">
        <v>2500</v>
      </c>
      <c r="O7" s="181">
        <v>2500</v>
      </c>
      <c r="P7" s="181">
        <v>2500</v>
      </c>
      <c r="Q7" s="181">
        <v>2500</v>
      </c>
      <c r="R7" s="181">
        <v>2500</v>
      </c>
      <c r="S7" s="181">
        <v>2500</v>
      </c>
      <c r="T7" s="181">
        <v>3000</v>
      </c>
      <c r="U7" s="181">
        <v>3000</v>
      </c>
      <c r="V7" s="181">
        <v>3000</v>
      </c>
      <c r="W7" s="181">
        <v>3000</v>
      </c>
      <c r="X7" s="181">
        <v>3000</v>
      </c>
      <c r="Y7" s="181">
        <v>3000</v>
      </c>
      <c r="Z7" s="181">
        <v>3500</v>
      </c>
      <c r="AA7" s="181">
        <v>3500</v>
      </c>
      <c r="AB7" s="181">
        <v>3500</v>
      </c>
      <c r="AC7" s="181">
        <v>3500</v>
      </c>
      <c r="AD7" s="181">
        <v>3500</v>
      </c>
      <c r="AE7" s="181">
        <v>3500</v>
      </c>
      <c r="AF7" s="181">
        <v>4000</v>
      </c>
      <c r="AG7" s="181">
        <v>4000</v>
      </c>
      <c r="AH7" s="181">
        <v>4000</v>
      </c>
      <c r="AI7" s="181">
        <v>4000</v>
      </c>
      <c r="AJ7" s="181">
        <v>4000</v>
      </c>
      <c r="AK7" s="181">
        <v>4000</v>
      </c>
      <c r="AL7" s="181">
        <v>4000</v>
      </c>
      <c r="AM7" s="181">
        <v>4000</v>
      </c>
      <c r="AN7" s="181">
        <v>4000</v>
      </c>
      <c r="AO7" s="181">
        <v>4000</v>
      </c>
      <c r="AP7" s="181">
        <v>4000</v>
      </c>
      <c r="AQ7" s="181">
        <v>4000</v>
      </c>
      <c r="AR7" s="181">
        <v>4000</v>
      </c>
      <c r="AS7" s="181">
        <v>4000</v>
      </c>
      <c r="AT7" s="181">
        <v>4000</v>
      </c>
      <c r="AU7" s="181">
        <v>4000</v>
      </c>
      <c r="AV7" s="181">
        <v>4000</v>
      </c>
      <c r="AW7" s="181">
        <v>4500</v>
      </c>
      <c r="AX7" s="181">
        <v>4500</v>
      </c>
      <c r="AY7" s="181">
        <v>4500</v>
      </c>
      <c r="AZ7" s="181">
        <v>4500</v>
      </c>
      <c r="BA7" s="181">
        <v>4500</v>
      </c>
      <c r="BB7" s="181">
        <v>4500</v>
      </c>
      <c r="BC7" s="181">
        <v>4500</v>
      </c>
      <c r="BD7" s="181">
        <v>4500</v>
      </c>
      <c r="BE7" s="181">
        <v>4500</v>
      </c>
      <c r="BF7" s="181">
        <v>4500</v>
      </c>
      <c r="BG7" s="181">
        <v>4500</v>
      </c>
      <c r="BH7" s="181">
        <v>4500</v>
      </c>
      <c r="BI7" s="181">
        <v>5000</v>
      </c>
    </row>
    <row r="8" spans="1:61">
      <c r="A8" s="158" t="s">
        <v>692</v>
      </c>
      <c r="B8" s="31">
        <f t="shared" ref="B8:Y8" si="4">B7*B4</f>
        <v>125000</v>
      </c>
      <c r="C8" s="31">
        <f t="shared" si="4"/>
        <v>200000</v>
      </c>
      <c r="D8" s="31">
        <f t="shared" si="4"/>
        <v>250000</v>
      </c>
      <c r="E8" s="31">
        <f t="shared" si="4"/>
        <v>375000</v>
      </c>
      <c r="F8" s="31">
        <f t="shared" si="4"/>
        <v>750000</v>
      </c>
      <c r="G8" s="31">
        <f t="shared" si="4"/>
        <v>1250000</v>
      </c>
      <c r="H8" s="31">
        <f t="shared" si="4"/>
        <v>1875000</v>
      </c>
      <c r="I8" s="31">
        <f t="shared" si="4"/>
        <v>2500000</v>
      </c>
      <c r="J8" s="31">
        <f t="shared" si="4"/>
        <v>3750000</v>
      </c>
      <c r="K8" s="31">
        <f t="shared" si="4"/>
        <v>5000000</v>
      </c>
      <c r="L8" s="31">
        <f t="shared" si="4"/>
        <v>6250000</v>
      </c>
      <c r="M8" s="31">
        <f t="shared" si="4"/>
        <v>7500000</v>
      </c>
      <c r="N8" s="31">
        <f t="shared" si="4"/>
        <v>10000000</v>
      </c>
      <c r="O8" s="31">
        <f t="shared" si="4"/>
        <v>12500000</v>
      </c>
      <c r="P8" s="31">
        <f t="shared" si="4"/>
        <v>16250000</v>
      </c>
      <c r="Q8" s="31">
        <f t="shared" si="4"/>
        <v>20000000</v>
      </c>
      <c r="R8" s="31">
        <f t="shared" si="4"/>
        <v>25000000</v>
      </c>
      <c r="S8" s="31">
        <f t="shared" si="4"/>
        <v>30000000</v>
      </c>
      <c r="T8" s="31">
        <f t="shared" si="4"/>
        <v>43500000</v>
      </c>
      <c r="U8" s="31">
        <f t="shared" si="4"/>
        <v>51000000</v>
      </c>
      <c r="V8" s="31">
        <f t="shared" si="4"/>
        <v>58500000</v>
      </c>
      <c r="W8" s="31">
        <f t="shared" si="4"/>
        <v>67500000</v>
      </c>
      <c r="X8" s="31">
        <f t="shared" si="4"/>
        <v>76500000</v>
      </c>
      <c r="Y8" s="31">
        <f t="shared" si="4"/>
        <v>85500000</v>
      </c>
      <c r="Z8" s="31">
        <f t="shared" ref="Z8:AJ8" si="5">Z7*Z4</f>
        <v>112000000</v>
      </c>
      <c r="AA8" s="31">
        <f t="shared" si="5"/>
        <v>126000000</v>
      </c>
      <c r="AB8" s="31">
        <f t="shared" si="5"/>
        <v>140000000</v>
      </c>
      <c r="AC8" s="31">
        <f t="shared" si="5"/>
        <v>157500000</v>
      </c>
      <c r="AD8" s="31">
        <f t="shared" si="5"/>
        <v>175000000</v>
      </c>
      <c r="AE8" s="31">
        <f t="shared" si="5"/>
        <v>196000000</v>
      </c>
      <c r="AF8" s="31">
        <f t="shared" si="5"/>
        <v>248000000</v>
      </c>
      <c r="AG8" s="31">
        <f t="shared" si="5"/>
        <v>272000000</v>
      </c>
      <c r="AH8" s="31">
        <f t="shared" si="5"/>
        <v>300000000</v>
      </c>
      <c r="AI8" s="31">
        <f t="shared" si="5"/>
        <v>332000000</v>
      </c>
      <c r="AJ8" s="31">
        <f t="shared" si="5"/>
        <v>364000000</v>
      </c>
      <c r="AK8" s="31">
        <f>AK7*AK4</f>
        <v>400000000</v>
      </c>
      <c r="AL8" s="31">
        <f t="shared" ref="AL8:AV8" si="6">AL7*AL4</f>
        <v>400000000</v>
      </c>
      <c r="AM8" s="31">
        <f t="shared" si="6"/>
        <v>400000000</v>
      </c>
      <c r="AN8" s="31">
        <f t="shared" si="6"/>
        <v>400000000</v>
      </c>
      <c r="AO8" s="31">
        <f t="shared" si="6"/>
        <v>400000000</v>
      </c>
      <c r="AP8" s="31">
        <f t="shared" si="6"/>
        <v>400000000</v>
      </c>
      <c r="AQ8" s="31">
        <f t="shared" si="6"/>
        <v>400000000</v>
      </c>
      <c r="AR8" s="31">
        <f t="shared" si="6"/>
        <v>400000000</v>
      </c>
      <c r="AS8" s="31">
        <f t="shared" si="6"/>
        <v>400000000</v>
      </c>
      <c r="AT8" s="31">
        <f t="shared" si="6"/>
        <v>400000000</v>
      </c>
      <c r="AU8" s="31">
        <f t="shared" si="6"/>
        <v>400000000</v>
      </c>
      <c r="AV8" s="31">
        <f t="shared" si="6"/>
        <v>400000000</v>
      </c>
      <c r="AW8" s="31">
        <f>AW7*AW4</f>
        <v>450000000</v>
      </c>
      <c r="AX8" s="31">
        <f t="shared" ref="AX8:BH8" si="7">AX7*AX4</f>
        <v>450000000</v>
      </c>
      <c r="AY8" s="31">
        <f t="shared" si="7"/>
        <v>450000000</v>
      </c>
      <c r="AZ8" s="31">
        <f t="shared" si="7"/>
        <v>450000000</v>
      </c>
      <c r="BA8" s="31">
        <f t="shared" si="7"/>
        <v>450000000</v>
      </c>
      <c r="BB8" s="31">
        <f t="shared" si="7"/>
        <v>450000000</v>
      </c>
      <c r="BC8" s="31">
        <f t="shared" si="7"/>
        <v>450000000</v>
      </c>
      <c r="BD8" s="31">
        <f t="shared" si="7"/>
        <v>450000000</v>
      </c>
      <c r="BE8" s="31">
        <f t="shared" si="7"/>
        <v>450000000</v>
      </c>
      <c r="BF8" s="31">
        <f t="shared" si="7"/>
        <v>450000000</v>
      </c>
      <c r="BG8" s="31">
        <f t="shared" si="7"/>
        <v>450000000</v>
      </c>
      <c r="BH8" s="31">
        <f t="shared" si="7"/>
        <v>450000000</v>
      </c>
      <c r="BI8" s="31">
        <f>BI7*BI4</f>
        <v>500000000</v>
      </c>
    </row>
    <row r="9" spans="1:61" hidden="1">
      <c r="A9" s="158" t="s">
        <v>691</v>
      </c>
      <c r="B9" s="204">
        <f t="shared" ref="B9:Y9" si="8">B7*B6*45/365</f>
        <v>73.972602739726028</v>
      </c>
      <c r="C9" s="204">
        <f t="shared" si="8"/>
        <v>73.972602739726028</v>
      </c>
      <c r="D9" s="204">
        <f t="shared" si="8"/>
        <v>73.972602739726028</v>
      </c>
      <c r="E9" s="204">
        <f t="shared" si="8"/>
        <v>73.972602739726028</v>
      </c>
      <c r="F9" s="204">
        <f t="shared" si="8"/>
        <v>73.972602739726028</v>
      </c>
      <c r="G9" s="204">
        <f t="shared" si="8"/>
        <v>73.972602739726028</v>
      </c>
      <c r="H9" s="204">
        <f t="shared" si="8"/>
        <v>73.972602739726028</v>
      </c>
      <c r="I9" s="204">
        <f t="shared" si="8"/>
        <v>73.972602739726028</v>
      </c>
      <c r="J9" s="204">
        <f t="shared" si="8"/>
        <v>73.972602739726028</v>
      </c>
      <c r="K9" s="204">
        <f t="shared" si="8"/>
        <v>73.972602739726028</v>
      </c>
      <c r="L9" s="204">
        <f t="shared" si="8"/>
        <v>73.972602739726028</v>
      </c>
      <c r="M9" s="204">
        <f t="shared" si="8"/>
        <v>73.972602739726028</v>
      </c>
      <c r="N9" s="204">
        <f t="shared" si="8"/>
        <v>73.972602739726028</v>
      </c>
      <c r="O9" s="204">
        <f t="shared" si="8"/>
        <v>73.972602739726028</v>
      </c>
      <c r="P9" s="204">
        <f t="shared" si="8"/>
        <v>73.972602739726028</v>
      </c>
      <c r="Q9" s="204">
        <f t="shared" si="8"/>
        <v>73.972602739726028</v>
      </c>
      <c r="R9" s="204">
        <f t="shared" si="8"/>
        <v>73.972602739726028</v>
      </c>
      <c r="S9" s="204">
        <f t="shared" si="8"/>
        <v>73.972602739726028</v>
      </c>
      <c r="T9" s="204">
        <f t="shared" si="8"/>
        <v>88.767123287671239</v>
      </c>
      <c r="U9" s="204">
        <f t="shared" si="8"/>
        <v>88.767123287671239</v>
      </c>
      <c r="V9" s="204">
        <f t="shared" si="8"/>
        <v>88.767123287671239</v>
      </c>
      <c r="W9" s="204">
        <f t="shared" si="8"/>
        <v>88.767123287671239</v>
      </c>
      <c r="X9" s="204">
        <f t="shared" si="8"/>
        <v>88.767123287671239</v>
      </c>
      <c r="Y9" s="204">
        <f t="shared" si="8"/>
        <v>88.767123287671239</v>
      </c>
      <c r="Z9" s="204">
        <f t="shared" ref="Z9:AJ9" si="9">Z7*Z6*45/365</f>
        <v>103.56164383561644</v>
      </c>
      <c r="AA9" s="204">
        <f t="shared" si="9"/>
        <v>103.56164383561644</v>
      </c>
      <c r="AB9" s="204">
        <f t="shared" si="9"/>
        <v>103.56164383561644</v>
      </c>
      <c r="AC9" s="204">
        <f t="shared" si="9"/>
        <v>103.56164383561644</v>
      </c>
      <c r="AD9" s="204">
        <f t="shared" si="9"/>
        <v>103.56164383561644</v>
      </c>
      <c r="AE9" s="204">
        <f t="shared" si="9"/>
        <v>103.56164383561644</v>
      </c>
      <c r="AF9" s="204">
        <f t="shared" si="9"/>
        <v>118.35616438356165</v>
      </c>
      <c r="AG9" s="204">
        <f t="shared" si="9"/>
        <v>118.35616438356165</v>
      </c>
      <c r="AH9" s="204">
        <f t="shared" si="9"/>
        <v>118.35616438356165</v>
      </c>
      <c r="AI9" s="204">
        <f t="shared" si="9"/>
        <v>118.35616438356165</v>
      </c>
      <c r="AJ9" s="204">
        <f t="shared" si="9"/>
        <v>118.35616438356165</v>
      </c>
      <c r="AK9" s="204">
        <f>AK7*AK6*45/365</f>
        <v>118.35616438356165</v>
      </c>
      <c r="AL9" s="204">
        <f t="shared" ref="AL9:AV9" si="10">AL7*AL6*45/365</f>
        <v>118.35616438356165</v>
      </c>
      <c r="AM9" s="204">
        <f t="shared" si="10"/>
        <v>118.35616438356165</v>
      </c>
      <c r="AN9" s="204">
        <f t="shared" si="10"/>
        <v>118.35616438356165</v>
      </c>
      <c r="AO9" s="204">
        <f t="shared" si="10"/>
        <v>118.35616438356165</v>
      </c>
      <c r="AP9" s="204">
        <f t="shared" si="10"/>
        <v>118.35616438356165</v>
      </c>
      <c r="AQ9" s="204">
        <f t="shared" si="10"/>
        <v>118.35616438356165</v>
      </c>
      <c r="AR9" s="204">
        <f t="shared" si="10"/>
        <v>118.35616438356165</v>
      </c>
      <c r="AS9" s="204">
        <f t="shared" si="10"/>
        <v>118.35616438356165</v>
      </c>
      <c r="AT9" s="204">
        <f t="shared" si="10"/>
        <v>118.35616438356165</v>
      </c>
      <c r="AU9" s="204">
        <f t="shared" si="10"/>
        <v>118.35616438356165</v>
      </c>
      <c r="AV9" s="204">
        <f t="shared" si="10"/>
        <v>118.35616438356165</v>
      </c>
      <c r="AW9" s="204">
        <f>AW7*AW6*45/365</f>
        <v>133.15068493150685</v>
      </c>
      <c r="AX9" s="204">
        <f t="shared" ref="AX9:BH9" si="11">AX7*AX6*45/365</f>
        <v>133.15068493150685</v>
      </c>
      <c r="AY9" s="204">
        <f t="shared" si="11"/>
        <v>133.15068493150685</v>
      </c>
      <c r="AZ9" s="204">
        <f t="shared" si="11"/>
        <v>133.15068493150685</v>
      </c>
      <c r="BA9" s="204">
        <f t="shared" si="11"/>
        <v>133.15068493150685</v>
      </c>
      <c r="BB9" s="204">
        <f t="shared" si="11"/>
        <v>133.15068493150685</v>
      </c>
      <c r="BC9" s="204">
        <f t="shared" si="11"/>
        <v>133.15068493150685</v>
      </c>
      <c r="BD9" s="204">
        <f t="shared" si="11"/>
        <v>133.15068493150685</v>
      </c>
      <c r="BE9" s="204">
        <f t="shared" si="11"/>
        <v>133.15068493150685</v>
      </c>
      <c r="BF9" s="204">
        <f t="shared" si="11"/>
        <v>133.15068493150685</v>
      </c>
      <c r="BG9" s="204">
        <f t="shared" si="11"/>
        <v>133.15068493150685</v>
      </c>
      <c r="BH9" s="204">
        <f t="shared" si="11"/>
        <v>133.15068493150685</v>
      </c>
      <c r="BI9" s="204">
        <f>BI7*BI6*45/365</f>
        <v>147.94520547945206</v>
      </c>
    </row>
    <row r="10" spans="1:61">
      <c r="A10" s="203" t="s">
        <v>690</v>
      </c>
      <c r="B10" s="198">
        <f t="shared" ref="B10:Y10" si="12">B9*B4</f>
        <v>3698.6301369863013</v>
      </c>
      <c r="C10" s="198">
        <f t="shared" si="12"/>
        <v>5917.8082191780823</v>
      </c>
      <c r="D10" s="198">
        <f t="shared" si="12"/>
        <v>7397.2602739726026</v>
      </c>
      <c r="E10" s="198">
        <f t="shared" si="12"/>
        <v>11095.890410958904</v>
      </c>
      <c r="F10" s="198">
        <f t="shared" si="12"/>
        <v>22191.780821917808</v>
      </c>
      <c r="G10" s="198">
        <f t="shared" si="12"/>
        <v>36986.301369863017</v>
      </c>
      <c r="H10" s="198">
        <f t="shared" si="12"/>
        <v>55479.452054794521</v>
      </c>
      <c r="I10" s="198">
        <f t="shared" si="12"/>
        <v>73972.602739726033</v>
      </c>
      <c r="J10" s="198">
        <f t="shared" si="12"/>
        <v>110958.90410958904</v>
      </c>
      <c r="K10" s="198">
        <f t="shared" si="12"/>
        <v>147945.20547945207</v>
      </c>
      <c r="L10" s="198">
        <f t="shared" si="12"/>
        <v>184931.50684931508</v>
      </c>
      <c r="M10" s="198">
        <f t="shared" si="12"/>
        <v>221917.80821917808</v>
      </c>
      <c r="N10" s="198">
        <f t="shared" si="12"/>
        <v>295890.41095890413</v>
      </c>
      <c r="O10" s="198">
        <f t="shared" si="12"/>
        <v>369863.01369863015</v>
      </c>
      <c r="P10" s="198">
        <f t="shared" si="12"/>
        <v>480821.91780821921</v>
      </c>
      <c r="Q10" s="198">
        <f t="shared" si="12"/>
        <v>591780.82191780827</v>
      </c>
      <c r="R10" s="198">
        <f t="shared" si="12"/>
        <v>739726.0273972603</v>
      </c>
      <c r="S10" s="198">
        <f t="shared" si="12"/>
        <v>887671.23287671234</v>
      </c>
      <c r="T10" s="198">
        <f t="shared" si="12"/>
        <v>1287123.2876712331</v>
      </c>
      <c r="U10" s="198">
        <f t="shared" si="12"/>
        <v>1509041.0958904112</v>
      </c>
      <c r="V10" s="198">
        <f t="shared" si="12"/>
        <v>1730958.9041095891</v>
      </c>
      <c r="W10" s="198">
        <f t="shared" si="12"/>
        <v>1997260.2739726028</v>
      </c>
      <c r="X10" s="198">
        <f t="shared" si="12"/>
        <v>2263561.6438356168</v>
      </c>
      <c r="Y10" s="198">
        <f t="shared" si="12"/>
        <v>2529863.0136986305</v>
      </c>
      <c r="Z10" s="198">
        <f t="shared" ref="Z10:AJ10" si="13">Z9*Z4</f>
        <v>3313972.6027397262</v>
      </c>
      <c r="AA10" s="198">
        <f t="shared" si="13"/>
        <v>3728219.1780821919</v>
      </c>
      <c r="AB10" s="198">
        <f t="shared" si="13"/>
        <v>4142465.7534246575</v>
      </c>
      <c r="AC10" s="198">
        <f t="shared" si="13"/>
        <v>4660273.9726027399</v>
      </c>
      <c r="AD10" s="198">
        <f t="shared" si="13"/>
        <v>5178082.1917808214</v>
      </c>
      <c r="AE10" s="198">
        <f t="shared" si="13"/>
        <v>5799452.0547945201</v>
      </c>
      <c r="AF10" s="198">
        <f t="shared" si="13"/>
        <v>7338082.1917808224</v>
      </c>
      <c r="AG10" s="198">
        <f t="shared" si="13"/>
        <v>8048219.1780821923</v>
      </c>
      <c r="AH10" s="198">
        <f t="shared" si="13"/>
        <v>8876712.3287671227</v>
      </c>
      <c r="AI10" s="198">
        <f t="shared" si="13"/>
        <v>9823561.6438356172</v>
      </c>
      <c r="AJ10" s="198">
        <f t="shared" si="13"/>
        <v>10770410.95890411</v>
      </c>
      <c r="AK10" s="198">
        <f>AK9*AK4</f>
        <v>11835616.438356165</v>
      </c>
      <c r="AL10" s="198">
        <f t="shared" ref="AL10:AV10" si="14">AL9*AL4</f>
        <v>11835616.438356165</v>
      </c>
      <c r="AM10" s="198">
        <f t="shared" si="14"/>
        <v>11835616.438356165</v>
      </c>
      <c r="AN10" s="198">
        <f t="shared" si="14"/>
        <v>11835616.438356165</v>
      </c>
      <c r="AO10" s="198">
        <f t="shared" si="14"/>
        <v>11835616.438356165</v>
      </c>
      <c r="AP10" s="198">
        <f t="shared" si="14"/>
        <v>11835616.438356165</v>
      </c>
      <c r="AQ10" s="198">
        <f t="shared" si="14"/>
        <v>11835616.438356165</v>
      </c>
      <c r="AR10" s="198">
        <f t="shared" si="14"/>
        <v>11835616.438356165</v>
      </c>
      <c r="AS10" s="198">
        <f t="shared" si="14"/>
        <v>11835616.438356165</v>
      </c>
      <c r="AT10" s="198">
        <f t="shared" si="14"/>
        <v>11835616.438356165</v>
      </c>
      <c r="AU10" s="198">
        <f t="shared" si="14"/>
        <v>11835616.438356165</v>
      </c>
      <c r="AV10" s="198">
        <f t="shared" si="14"/>
        <v>11835616.438356165</v>
      </c>
      <c r="AW10" s="198">
        <f>AW9*AW4</f>
        <v>13315068.493150685</v>
      </c>
      <c r="AX10" s="198">
        <f t="shared" ref="AX10:BH10" si="15">AX9*AX4</f>
        <v>13315068.493150685</v>
      </c>
      <c r="AY10" s="198">
        <f t="shared" si="15"/>
        <v>13315068.493150685</v>
      </c>
      <c r="AZ10" s="198">
        <f t="shared" si="15"/>
        <v>13315068.493150685</v>
      </c>
      <c r="BA10" s="198">
        <f t="shared" si="15"/>
        <v>13315068.493150685</v>
      </c>
      <c r="BB10" s="198">
        <f t="shared" si="15"/>
        <v>13315068.493150685</v>
      </c>
      <c r="BC10" s="198">
        <f t="shared" si="15"/>
        <v>13315068.493150685</v>
      </c>
      <c r="BD10" s="198">
        <f t="shared" si="15"/>
        <v>13315068.493150685</v>
      </c>
      <c r="BE10" s="198">
        <f t="shared" si="15"/>
        <v>13315068.493150685</v>
      </c>
      <c r="BF10" s="198">
        <f t="shared" si="15"/>
        <v>13315068.493150685</v>
      </c>
      <c r="BG10" s="198">
        <f t="shared" si="15"/>
        <v>13315068.493150685</v>
      </c>
      <c r="BH10" s="198">
        <f t="shared" si="15"/>
        <v>13315068.493150685</v>
      </c>
      <c r="BI10" s="198">
        <f>BI9*BI4</f>
        <v>14794520.547945205</v>
      </c>
    </row>
    <row r="11" spans="1:61">
      <c r="A11" s="201" t="s">
        <v>689</v>
      </c>
      <c r="B11" s="174">
        <f t="shared" ref="B11:Y11" si="16">B10*8</f>
        <v>29589.04109589041</v>
      </c>
      <c r="C11" s="174">
        <f t="shared" si="16"/>
        <v>47342.465753424658</v>
      </c>
      <c r="D11" s="174">
        <f t="shared" si="16"/>
        <v>59178.082191780821</v>
      </c>
      <c r="E11" s="174">
        <f t="shared" si="16"/>
        <v>88767.123287671231</v>
      </c>
      <c r="F11" s="174">
        <f t="shared" si="16"/>
        <v>177534.24657534246</v>
      </c>
      <c r="G11" s="174">
        <f t="shared" si="16"/>
        <v>295890.41095890413</v>
      </c>
      <c r="H11" s="174">
        <f t="shared" si="16"/>
        <v>443835.61643835617</v>
      </c>
      <c r="I11" s="174">
        <f t="shared" si="16"/>
        <v>591780.82191780827</v>
      </c>
      <c r="J11" s="174">
        <f t="shared" si="16"/>
        <v>887671.23287671234</v>
      </c>
      <c r="K11" s="174">
        <f t="shared" si="16"/>
        <v>1183561.6438356165</v>
      </c>
      <c r="L11" s="174">
        <f t="shared" si="16"/>
        <v>1479452.0547945206</v>
      </c>
      <c r="M11" s="174">
        <f t="shared" si="16"/>
        <v>1775342.4657534247</v>
      </c>
      <c r="N11" s="174">
        <f t="shared" si="16"/>
        <v>2367123.2876712331</v>
      </c>
      <c r="O11" s="174">
        <f t="shared" si="16"/>
        <v>2958904.1095890412</v>
      </c>
      <c r="P11" s="174">
        <f t="shared" si="16"/>
        <v>3846575.3424657537</v>
      </c>
      <c r="Q11" s="174">
        <f t="shared" si="16"/>
        <v>4734246.5753424661</v>
      </c>
      <c r="R11" s="174">
        <f t="shared" si="16"/>
        <v>5917808.2191780824</v>
      </c>
      <c r="S11" s="174">
        <f t="shared" si="16"/>
        <v>7101369.8630136987</v>
      </c>
      <c r="T11" s="174">
        <f t="shared" si="16"/>
        <v>10296986.301369864</v>
      </c>
      <c r="U11" s="174">
        <f t="shared" si="16"/>
        <v>12072328.767123289</v>
      </c>
      <c r="V11" s="174">
        <f t="shared" si="16"/>
        <v>13847671.232876712</v>
      </c>
      <c r="W11" s="174">
        <f t="shared" si="16"/>
        <v>15978082.191780822</v>
      </c>
      <c r="X11" s="174">
        <f t="shared" si="16"/>
        <v>18108493.150684934</v>
      </c>
      <c r="Y11" s="174">
        <f t="shared" si="16"/>
        <v>20238904.109589044</v>
      </c>
      <c r="Z11" s="174">
        <f t="shared" ref="Z11:AJ11" si="17">Z10*8</f>
        <v>26511780.82191781</v>
      </c>
      <c r="AA11" s="174">
        <f t="shared" si="17"/>
        <v>29825753.424657535</v>
      </c>
      <c r="AB11" s="174">
        <f t="shared" si="17"/>
        <v>33139726.02739726</v>
      </c>
      <c r="AC11" s="174">
        <f t="shared" si="17"/>
        <v>37282191.780821919</v>
      </c>
      <c r="AD11" s="174">
        <f t="shared" si="17"/>
        <v>41424657.534246571</v>
      </c>
      <c r="AE11" s="174">
        <f t="shared" si="17"/>
        <v>46395616.438356161</v>
      </c>
      <c r="AF11" s="174">
        <f t="shared" si="17"/>
        <v>58704657.534246579</v>
      </c>
      <c r="AG11" s="174">
        <f t="shared" si="17"/>
        <v>64385753.424657539</v>
      </c>
      <c r="AH11" s="174">
        <f t="shared" si="17"/>
        <v>71013698.630136982</v>
      </c>
      <c r="AI11" s="174">
        <f t="shared" si="17"/>
        <v>78588493.150684938</v>
      </c>
      <c r="AJ11" s="174">
        <f t="shared" si="17"/>
        <v>86163287.671232879</v>
      </c>
      <c r="AK11" s="174">
        <f>AK10*8</f>
        <v>94684931.506849319</v>
      </c>
      <c r="AL11" s="174">
        <f t="shared" ref="AL11:AV11" si="18">AL10*8</f>
        <v>94684931.506849319</v>
      </c>
      <c r="AM11" s="174">
        <f t="shared" si="18"/>
        <v>94684931.506849319</v>
      </c>
      <c r="AN11" s="174">
        <f t="shared" si="18"/>
        <v>94684931.506849319</v>
      </c>
      <c r="AO11" s="174">
        <f t="shared" si="18"/>
        <v>94684931.506849319</v>
      </c>
      <c r="AP11" s="174">
        <f t="shared" si="18"/>
        <v>94684931.506849319</v>
      </c>
      <c r="AQ11" s="174">
        <f t="shared" si="18"/>
        <v>94684931.506849319</v>
      </c>
      <c r="AR11" s="174">
        <f t="shared" si="18"/>
        <v>94684931.506849319</v>
      </c>
      <c r="AS11" s="174">
        <f t="shared" si="18"/>
        <v>94684931.506849319</v>
      </c>
      <c r="AT11" s="174">
        <f t="shared" si="18"/>
        <v>94684931.506849319</v>
      </c>
      <c r="AU11" s="174">
        <f t="shared" si="18"/>
        <v>94684931.506849319</v>
      </c>
      <c r="AV11" s="174">
        <f t="shared" si="18"/>
        <v>94684931.506849319</v>
      </c>
      <c r="AW11" s="174">
        <f>AW10*8</f>
        <v>106520547.94520548</v>
      </c>
      <c r="AX11" s="174">
        <f t="shared" ref="AX11:BH11" si="19">AX10*8</f>
        <v>106520547.94520548</v>
      </c>
      <c r="AY11" s="174">
        <f t="shared" si="19"/>
        <v>106520547.94520548</v>
      </c>
      <c r="AZ11" s="174">
        <f t="shared" si="19"/>
        <v>106520547.94520548</v>
      </c>
      <c r="BA11" s="174">
        <f t="shared" si="19"/>
        <v>106520547.94520548</v>
      </c>
      <c r="BB11" s="174">
        <f t="shared" si="19"/>
        <v>106520547.94520548</v>
      </c>
      <c r="BC11" s="174">
        <f t="shared" si="19"/>
        <v>106520547.94520548</v>
      </c>
      <c r="BD11" s="174">
        <f t="shared" si="19"/>
        <v>106520547.94520548</v>
      </c>
      <c r="BE11" s="174">
        <f t="shared" si="19"/>
        <v>106520547.94520548</v>
      </c>
      <c r="BF11" s="174">
        <f t="shared" si="19"/>
        <v>106520547.94520548</v>
      </c>
      <c r="BG11" s="174">
        <f t="shared" si="19"/>
        <v>106520547.94520548</v>
      </c>
      <c r="BH11" s="174">
        <f t="shared" si="19"/>
        <v>106520547.94520548</v>
      </c>
      <c r="BI11" s="174">
        <f>BI10*8</f>
        <v>118356164.38356164</v>
      </c>
    </row>
    <row r="12" spans="1:61">
      <c r="A12" s="158" t="s">
        <v>687</v>
      </c>
      <c r="B12" s="169">
        <v>0.25</v>
      </c>
      <c r="C12" s="169">
        <v>0.25</v>
      </c>
      <c r="D12" s="169">
        <v>0.25</v>
      </c>
      <c r="E12" s="169">
        <v>0.25</v>
      </c>
      <c r="F12" s="169">
        <v>0.25</v>
      </c>
      <c r="G12" s="169">
        <v>0.25</v>
      </c>
      <c r="H12" s="169">
        <v>0.25</v>
      </c>
      <c r="I12" s="169">
        <v>0.25</v>
      </c>
      <c r="J12" s="169">
        <v>0.25</v>
      </c>
      <c r="K12" s="169">
        <v>0.25</v>
      </c>
      <c r="L12" s="169">
        <v>0.25</v>
      </c>
      <c r="M12" s="169">
        <v>0.25</v>
      </c>
      <c r="N12" s="169">
        <v>0.25</v>
      </c>
      <c r="O12" s="169">
        <v>0.25</v>
      </c>
      <c r="P12" s="169">
        <v>0.25</v>
      </c>
      <c r="Q12" s="169">
        <v>0.25</v>
      </c>
      <c r="R12" s="169">
        <v>0.25</v>
      </c>
      <c r="S12" s="169">
        <v>0.25</v>
      </c>
      <c r="T12" s="169">
        <v>0.25</v>
      </c>
      <c r="U12" s="169">
        <v>0.25</v>
      </c>
      <c r="V12" s="169">
        <v>0.25</v>
      </c>
      <c r="W12" s="169">
        <v>0.25</v>
      </c>
      <c r="X12" s="169">
        <v>0.25</v>
      </c>
      <c r="Y12" s="169">
        <v>0.25</v>
      </c>
      <c r="Z12" s="169">
        <v>0.25</v>
      </c>
      <c r="AA12" s="169">
        <v>0.25</v>
      </c>
      <c r="AB12" s="169">
        <v>0.25</v>
      </c>
      <c r="AC12" s="169">
        <v>0.25</v>
      </c>
      <c r="AD12" s="169">
        <v>0.25</v>
      </c>
      <c r="AE12" s="169">
        <v>0.25</v>
      </c>
      <c r="AF12" s="169">
        <v>0.25</v>
      </c>
      <c r="AG12" s="169">
        <v>0.25</v>
      </c>
      <c r="AH12" s="169">
        <v>0.25</v>
      </c>
      <c r="AI12" s="169">
        <v>0.25</v>
      </c>
      <c r="AJ12" s="169">
        <v>0.25</v>
      </c>
      <c r="AK12" s="169">
        <v>0.25</v>
      </c>
      <c r="AL12" s="169">
        <v>0.25</v>
      </c>
      <c r="AM12" s="169">
        <v>0.25</v>
      </c>
      <c r="AN12" s="169">
        <v>0.25</v>
      </c>
      <c r="AO12" s="169">
        <v>0.25</v>
      </c>
      <c r="AP12" s="169">
        <v>0.25</v>
      </c>
      <c r="AQ12" s="169">
        <v>0.25</v>
      </c>
      <c r="AR12" s="169">
        <v>0.25</v>
      </c>
      <c r="AS12" s="169">
        <v>0.25</v>
      </c>
      <c r="AT12" s="169">
        <v>0.25</v>
      </c>
      <c r="AU12" s="169">
        <v>0.25</v>
      </c>
      <c r="AV12" s="169">
        <v>0.25</v>
      </c>
      <c r="AW12" s="169">
        <v>0.25</v>
      </c>
      <c r="AX12" s="169">
        <v>0.25</v>
      </c>
      <c r="AY12" s="169">
        <v>0.25</v>
      </c>
      <c r="AZ12" s="169">
        <v>0.25</v>
      </c>
      <c r="BA12" s="169">
        <v>0.25</v>
      </c>
      <c r="BB12" s="169">
        <v>0.25</v>
      </c>
      <c r="BC12" s="169">
        <v>0.25</v>
      </c>
      <c r="BD12" s="169">
        <v>0.25</v>
      </c>
      <c r="BE12" s="169">
        <v>0.25</v>
      </c>
      <c r="BF12" s="169">
        <v>0.25</v>
      </c>
      <c r="BG12" s="169">
        <v>0.25</v>
      </c>
      <c r="BH12" s="169">
        <v>0.25</v>
      </c>
      <c r="BI12" s="169">
        <v>0.25</v>
      </c>
    </row>
    <row r="13" spans="1:61">
      <c r="A13" s="158" t="s">
        <v>686</v>
      </c>
      <c r="B13" s="181">
        <v>10</v>
      </c>
      <c r="C13" s="181">
        <v>10</v>
      </c>
      <c r="D13" s="181">
        <v>10</v>
      </c>
      <c r="E13" s="181">
        <v>10</v>
      </c>
      <c r="F13" s="181">
        <v>10</v>
      </c>
      <c r="G13" s="181">
        <v>10</v>
      </c>
      <c r="H13" s="181">
        <v>10</v>
      </c>
      <c r="I13" s="181">
        <v>10</v>
      </c>
      <c r="J13" s="181">
        <v>10</v>
      </c>
      <c r="K13" s="181">
        <v>10</v>
      </c>
      <c r="L13" s="181">
        <v>10</v>
      </c>
      <c r="M13" s="181">
        <v>10</v>
      </c>
      <c r="N13" s="181">
        <v>10</v>
      </c>
      <c r="O13" s="181">
        <v>10</v>
      </c>
      <c r="P13" s="181">
        <v>10</v>
      </c>
      <c r="Q13" s="181">
        <v>10</v>
      </c>
      <c r="R13" s="181">
        <v>10</v>
      </c>
      <c r="S13" s="181">
        <v>10</v>
      </c>
      <c r="T13" s="181">
        <v>10</v>
      </c>
      <c r="U13" s="181">
        <v>10</v>
      </c>
      <c r="V13" s="181">
        <v>10</v>
      </c>
      <c r="W13" s="181">
        <v>10</v>
      </c>
      <c r="X13" s="181">
        <v>10</v>
      </c>
      <c r="Y13" s="181">
        <v>10</v>
      </c>
      <c r="Z13" s="181">
        <v>10</v>
      </c>
      <c r="AA13" s="181">
        <v>10</v>
      </c>
      <c r="AB13" s="181">
        <v>10</v>
      </c>
      <c r="AC13" s="181">
        <v>10</v>
      </c>
      <c r="AD13" s="181">
        <v>10</v>
      </c>
      <c r="AE13" s="181">
        <v>10</v>
      </c>
      <c r="AF13" s="181">
        <v>10</v>
      </c>
      <c r="AG13" s="181">
        <v>10</v>
      </c>
      <c r="AH13" s="181">
        <v>10</v>
      </c>
      <c r="AI13" s="181">
        <v>10</v>
      </c>
      <c r="AJ13" s="181">
        <v>10</v>
      </c>
      <c r="AK13" s="181">
        <v>10</v>
      </c>
      <c r="AL13" s="181">
        <v>10</v>
      </c>
      <c r="AM13" s="181">
        <v>10</v>
      </c>
      <c r="AN13" s="181">
        <v>10</v>
      </c>
      <c r="AO13" s="181">
        <v>10</v>
      </c>
      <c r="AP13" s="181">
        <v>10</v>
      </c>
      <c r="AQ13" s="181">
        <v>10</v>
      </c>
      <c r="AR13" s="181">
        <v>10</v>
      </c>
      <c r="AS13" s="181">
        <v>10</v>
      </c>
      <c r="AT13" s="181">
        <v>10</v>
      </c>
      <c r="AU13" s="181">
        <v>10</v>
      </c>
      <c r="AV13" s="181">
        <v>10</v>
      </c>
      <c r="AW13" s="181">
        <v>10</v>
      </c>
      <c r="AX13" s="181">
        <v>10</v>
      </c>
      <c r="AY13" s="181">
        <v>10</v>
      </c>
      <c r="AZ13" s="181">
        <v>10</v>
      </c>
      <c r="BA13" s="181">
        <v>10</v>
      </c>
      <c r="BB13" s="181">
        <v>10</v>
      </c>
      <c r="BC13" s="181">
        <v>10</v>
      </c>
      <c r="BD13" s="181">
        <v>10</v>
      </c>
      <c r="BE13" s="181">
        <v>10</v>
      </c>
      <c r="BF13" s="181">
        <v>10</v>
      </c>
      <c r="BG13" s="181">
        <v>10</v>
      </c>
      <c r="BH13" s="181">
        <v>10</v>
      </c>
      <c r="BI13" s="181">
        <v>10</v>
      </c>
    </row>
    <row r="14" spans="1:61" hidden="1">
      <c r="A14" s="158" t="s">
        <v>688</v>
      </c>
      <c r="B14" s="181">
        <v>15</v>
      </c>
      <c r="C14" s="181">
        <v>15</v>
      </c>
      <c r="D14" s="181">
        <v>15</v>
      </c>
      <c r="E14" s="181">
        <v>15</v>
      </c>
      <c r="F14" s="181">
        <v>15</v>
      </c>
      <c r="G14" s="181">
        <v>15</v>
      </c>
      <c r="H14" s="181">
        <v>15</v>
      </c>
      <c r="I14" s="181">
        <v>15</v>
      </c>
      <c r="J14" s="181">
        <v>15</v>
      </c>
      <c r="K14" s="181">
        <v>15</v>
      </c>
      <c r="L14" s="181">
        <v>15</v>
      </c>
      <c r="M14" s="181">
        <v>15</v>
      </c>
      <c r="N14" s="181">
        <v>15</v>
      </c>
      <c r="O14" s="181">
        <v>15</v>
      </c>
      <c r="P14" s="181">
        <v>15</v>
      </c>
      <c r="Q14" s="181">
        <v>15</v>
      </c>
      <c r="R14" s="181">
        <v>15</v>
      </c>
      <c r="S14" s="181">
        <v>15</v>
      </c>
      <c r="T14" s="181">
        <v>15</v>
      </c>
      <c r="U14" s="181">
        <v>15</v>
      </c>
      <c r="V14" s="181">
        <v>15</v>
      </c>
      <c r="W14" s="181">
        <v>15</v>
      </c>
      <c r="X14" s="181">
        <v>15</v>
      </c>
      <c r="Y14" s="181">
        <v>15</v>
      </c>
      <c r="Z14" s="181">
        <v>15</v>
      </c>
      <c r="AA14" s="181">
        <v>15</v>
      </c>
      <c r="AB14" s="181">
        <v>15</v>
      </c>
      <c r="AC14" s="181">
        <v>15</v>
      </c>
      <c r="AD14" s="181">
        <v>15</v>
      </c>
      <c r="AE14" s="181">
        <v>15</v>
      </c>
      <c r="AF14" s="181">
        <v>15</v>
      </c>
      <c r="AG14" s="181">
        <v>15</v>
      </c>
      <c r="AH14" s="181">
        <v>15</v>
      </c>
      <c r="AI14" s="181">
        <v>15</v>
      </c>
      <c r="AJ14" s="181">
        <v>15</v>
      </c>
      <c r="AK14" s="181">
        <v>15</v>
      </c>
      <c r="AL14" s="181">
        <v>15</v>
      </c>
      <c r="AM14" s="181">
        <v>15</v>
      </c>
      <c r="AN14" s="181">
        <v>15</v>
      </c>
      <c r="AO14" s="181">
        <v>15</v>
      </c>
      <c r="AP14" s="181">
        <v>15</v>
      </c>
      <c r="AQ14" s="181">
        <v>15</v>
      </c>
      <c r="AR14" s="181">
        <v>15</v>
      </c>
      <c r="AS14" s="181">
        <v>15</v>
      </c>
      <c r="AT14" s="181">
        <v>15</v>
      </c>
      <c r="AU14" s="181">
        <v>15</v>
      </c>
      <c r="AV14" s="181">
        <v>15</v>
      </c>
      <c r="AW14" s="181">
        <v>15</v>
      </c>
      <c r="AX14" s="181">
        <v>15</v>
      </c>
      <c r="AY14" s="181">
        <v>15</v>
      </c>
      <c r="AZ14" s="181">
        <v>15</v>
      </c>
      <c r="BA14" s="181">
        <v>15</v>
      </c>
      <c r="BB14" s="181">
        <v>15</v>
      </c>
      <c r="BC14" s="181">
        <v>15</v>
      </c>
      <c r="BD14" s="181">
        <v>15</v>
      </c>
      <c r="BE14" s="181">
        <v>15</v>
      </c>
      <c r="BF14" s="181">
        <v>15</v>
      </c>
      <c r="BG14" s="181">
        <v>15</v>
      </c>
      <c r="BH14" s="181">
        <v>15</v>
      </c>
      <c r="BI14" s="181">
        <v>15</v>
      </c>
    </row>
    <row r="15" spans="1:61">
      <c r="A15" s="203" t="s">
        <v>698</v>
      </c>
      <c r="B15" s="198">
        <f t="shared" ref="B15:AG15" si="20">B4*B12*B13*B14</f>
        <v>1875</v>
      </c>
      <c r="C15" s="198">
        <f t="shared" si="20"/>
        <v>3000</v>
      </c>
      <c r="D15" s="198">
        <f t="shared" si="20"/>
        <v>3750</v>
      </c>
      <c r="E15" s="198">
        <f t="shared" si="20"/>
        <v>5625</v>
      </c>
      <c r="F15" s="198">
        <f t="shared" si="20"/>
        <v>11250</v>
      </c>
      <c r="G15" s="198">
        <f t="shared" si="20"/>
        <v>18750</v>
      </c>
      <c r="H15" s="198">
        <f t="shared" si="20"/>
        <v>28125</v>
      </c>
      <c r="I15" s="198">
        <f t="shared" si="20"/>
        <v>37500</v>
      </c>
      <c r="J15" s="198">
        <f t="shared" si="20"/>
        <v>56250</v>
      </c>
      <c r="K15" s="198">
        <f t="shared" si="20"/>
        <v>75000</v>
      </c>
      <c r="L15" s="198">
        <f t="shared" si="20"/>
        <v>93750</v>
      </c>
      <c r="M15" s="198">
        <f t="shared" si="20"/>
        <v>112500</v>
      </c>
      <c r="N15" s="198">
        <f t="shared" si="20"/>
        <v>150000</v>
      </c>
      <c r="O15" s="198">
        <f t="shared" si="20"/>
        <v>187500</v>
      </c>
      <c r="P15" s="198">
        <f t="shared" si="20"/>
        <v>243750</v>
      </c>
      <c r="Q15" s="198">
        <f t="shared" si="20"/>
        <v>300000</v>
      </c>
      <c r="R15" s="198">
        <f t="shared" si="20"/>
        <v>375000</v>
      </c>
      <c r="S15" s="198">
        <f t="shared" si="20"/>
        <v>450000</v>
      </c>
      <c r="T15" s="198">
        <f t="shared" si="20"/>
        <v>543750</v>
      </c>
      <c r="U15" s="198">
        <f t="shared" si="20"/>
        <v>637500</v>
      </c>
      <c r="V15" s="198">
        <f t="shared" si="20"/>
        <v>731250</v>
      </c>
      <c r="W15" s="198">
        <f t="shared" si="20"/>
        <v>843750</v>
      </c>
      <c r="X15" s="198">
        <f t="shared" si="20"/>
        <v>956250</v>
      </c>
      <c r="Y15" s="198">
        <f t="shared" si="20"/>
        <v>1068750</v>
      </c>
      <c r="Z15" s="198">
        <f t="shared" si="20"/>
        <v>1200000</v>
      </c>
      <c r="AA15" s="198">
        <f t="shared" si="20"/>
        <v>1350000</v>
      </c>
      <c r="AB15" s="198">
        <f t="shared" si="20"/>
        <v>1500000</v>
      </c>
      <c r="AC15" s="198">
        <f t="shared" si="20"/>
        <v>1687500</v>
      </c>
      <c r="AD15" s="198">
        <f t="shared" si="20"/>
        <v>1875000</v>
      </c>
      <c r="AE15" s="198">
        <f t="shared" si="20"/>
        <v>2100000</v>
      </c>
      <c r="AF15" s="198">
        <f t="shared" si="20"/>
        <v>2325000</v>
      </c>
      <c r="AG15" s="198">
        <f t="shared" si="20"/>
        <v>2550000</v>
      </c>
      <c r="AH15" s="198">
        <f t="shared" ref="AH15:BI15" si="21">AH4*AH12*AH13*AH14</f>
        <v>2812500</v>
      </c>
      <c r="AI15" s="198">
        <f t="shared" si="21"/>
        <v>3112500</v>
      </c>
      <c r="AJ15" s="198">
        <f t="shared" si="21"/>
        <v>3412500</v>
      </c>
      <c r="AK15" s="198">
        <f t="shared" si="21"/>
        <v>3750000</v>
      </c>
      <c r="AL15" s="198">
        <f t="shared" si="21"/>
        <v>3750000</v>
      </c>
      <c r="AM15" s="198">
        <f t="shared" si="21"/>
        <v>3750000</v>
      </c>
      <c r="AN15" s="198">
        <f t="shared" si="21"/>
        <v>3750000</v>
      </c>
      <c r="AO15" s="198">
        <f t="shared" si="21"/>
        <v>3750000</v>
      </c>
      <c r="AP15" s="198">
        <f t="shared" si="21"/>
        <v>3750000</v>
      </c>
      <c r="AQ15" s="198">
        <f t="shared" si="21"/>
        <v>3750000</v>
      </c>
      <c r="AR15" s="198">
        <f t="shared" si="21"/>
        <v>3750000</v>
      </c>
      <c r="AS15" s="198">
        <f t="shared" si="21"/>
        <v>3750000</v>
      </c>
      <c r="AT15" s="198">
        <f t="shared" si="21"/>
        <v>3750000</v>
      </c>
      <c r="AU15" s="198">
        <f t="shared" si="21"/>
        <v>3750000</v>
      </c>
      <c r="AV15" s="198">
        <f t="shared" si="21"/>
        <v>3750000</v>
      </c>
      <c r="AW15" s="198">
        <f t="shared" si="21"/>
        <v>3750000</v>
      </c>
      <c r="AX15" s="198">
        <f t="shared" si="21"/>
        <v>3750000</v>
      </c>
      <c r="AY15" s="198">
        <f t="shared" si="21"/>
        <v>3750000</v>
      </c>
      <c r="AZ15" s="198">
        <f t="shared" si="21"/>
        <v>3750000</v>
      </c>
      <c r="BA15" s="198">
        <f t="shared" si="21"/>
        <v>3750000</v>
      </c>
      <c r="BB15" s="198">
        <f t="shared" si="21"/>
        <v>3750000</v>
      </c>
      <c r="BC15" s="198">
        <f t="shared" si="21"/>
        <v>3750000</v>
      </c>
      <c r="BD15" s="198">
        <f t="shared" si="21"/>
        <v>3750000</v>
      </c>
      <c r="BE15" s="198">
        <f t="shared" si="21"/>
        <v>3750000</v>
      </c>
      <c r="BF15" s="198">
        <f t="shared" si="21"/>
        <v>3750000</v>
      </c>
      <c r="BG15" s="198">
        <f t="shared" si="21"/>
        <v>3750000</v>
      </c>
      <c r="BH15" s="198">
        <f t="shared" si="21"/>
        <v>3750000</v>
      </c>
      <c r="BI15" s="198">
        <f t="shared" si="21"/>
        <v>3750000</v>
      </c>
    </row>
    <row r="16" spans="1:61">
      <c r="A16" s="201" t="s">
        <v>669</v>
      </c>
      <c r="B16" s="174">
        <f t="shared" ref="B16:Y16" si="22">B15*8</f>
        <v>15000</v>
      </c>
      <c r="C16" s="174">
        <f t="shared" si="22"/>
        <v>24000</v>
      </c>
      <c r="D16" s="174">
        <f t="shared" si="22"/>
        <v>30000</v>
      </c>
      <c r="E16" s="174">
        <f t="shared" si="22"/>
        <v>45000</v>
      </c>
      <c r="F16" s="174">
        <f t="shared" si="22"/>
        <v>90000</v>
      </c>
      <c r="G16" s="174">
        <f t="shared" si="22"/>
        <v>150000</v>
      </c>
      <c r="H16" s="174">
        <f t="shared" si="22"/>
        <v>225000</v>
      </c>
      <c r="I16" s="174">
        <f t="shared" si="22"/>
        <v>300000</v>
      </c>
      <c r="J16" s="174">
        <f t="shared" si="22"/>
        <v>450000</v>
      </c>
      <c r="K16" s="174">
        <f t="shared" si="22"/>
        <v>600000</v>
      </c>
      <c r="L16" s="174">
        <f t="shared" si="22"/>
        <v>750000</v>
      </c>
      <c r="M16" s="174">
        <f t="shared" si="22"/>
        <v>900000</v>
      </c>
      <c r="N16" s="174">
        <f t="shared" si="22"/>
        <v>1200000</v>
      </c>
      <c r="O16" s="174">
        <f t="shared" si="22"/>
        <v>1500000</v>
      </c>
      <c r="P16" s="174">
        <f t="shared" si="22"/>
        <v>1950000</v>
      </c>
      <c r="Q16" s="174">
        <f t="shared" si="22"/>
        <v>2400000</v>
      </c>
      <c r="R16" s="174">
        <f t="shared" si="22"/>
        <v>3000000</v>
      </c>
      <c r="S16" s="174">
        <f t="shared" si="22"/>
        <v>3600000</v>
      </c>
      <c r="T16" s="174">
        <f t="shared" si="22"/>
        <v>4350000</v>
      </c>
      <c r="U16" s="174">
        <f t="shared" si="22"/>
        <v>5100000</v>
      </c>
      <c r="V16" s="174">
        <f t="shared" si="22"/>
        <v>5850000</v>
      </c>
      <c r="W16" s="174">
        <f t="shared" si="22"/>
        <v>6750000</v>
      </c>
      <c r="X16" s="174">
        <f t="shared" si="22"/>
        <v>7650000</v>
      </c>
      <c r="Y16" s="174">
        <f t="shared" si="22"/>
        <v>8550000</v>
      </c>
      <c r="Z16" s="174">
        <f t="shared" ref="Z16:AJ16" si="23">Z15*8</f>
        <v>9600000</v>
      </c>
      <c r="AA16" s="174">
        <f t="shared" si="23"/>
        <v>10800000</v>
      </c>
      <c r="AB16" s="174">
        <f t="shared" si="23"/>
        <v>12000000</v>
      </c>
      <c r="AC16" s="174">
        <f t="shared" si="23"/>
        <v>13500000</v>
      </c>
      <c r="AD16" s="174">
        <f t="shared" si="23"/>
        <v>15000000</v>
      </c>
      <c r="AE16" s="174">
        <f t="shared" si="23"/>
        <v>16800000</v>
      </c>
      <c r="AF16" s="174">
        <f t="shared" si="23"/>
        <v>18600000</v>
      </c>
      <c r="AG16" s="174">
        <f t="shared" si="23"/>
        <v>20400000</v>
      </c>
      <c r="AH16" s="174">
        <f t="shared" si="23"/>
        <v>22500000</v>
      </c>
      <c r="AI16" s="174">
        <f t="shared" si="23"/>
        <v>24900000</v>
      </c>
      <c r="AJ16" s="174">
        <f t="shared" si="23"/>
        <v>27300000</v>
      </c>
      <c r="AK16" s="174">
        <f>AK15*8</f>
        <v>30000000</v>
      </c>
      <c r="AL16" s="174">
        <f t="shared" ref="AL16:AV16" si="24">AL15*8</f>
        <v>30000000</v>
      </c>
      <c r="AM16" s="174">
        <f t="shared" si="24"/>
        <v>30000000</v>
      </c>
      <c r="AN16" s="174">
        <f t="shared" si="24"/>
        <v>30000000</v>
      </c>
      <c r="AO16" s="174">
        <f t="shared" si="24"/>
        <v>30000000</v>
      </c>
      <c r="AP16" s="174">
        <f t="shared" si="24"/>
        <v>30000000</v>
      </c>
      <c r="AQ16" s="174">
        <f t="shared" si="24"/>
        <v>30000000</v>
      </c>
      <c r="AR16" s="174">
        <f t="shared" si="24"/>
        <v>30000000</v>
      </c>
      <c r="AS16" s="174">
        <f t="shared" si="24"/>
        <v>30000000</v>
      </c>
      <c r="AT16" s="174">
        <f t="shared" si="24"/>
        <v>30000000</v>
      </c>
      <c r="AU16" s="174">
        <f t="shared" si="24"/>
        <v>30000000</v>
      </c>
      <c r="AV16" s="174">
        <f t="shared" si="24"/>
        <v>30000000</v>
      </c>
      <c r="AW16" s="174">
        <f>AW15*8</f>
        <v>30000000</v>
      </c>
      <c r="AX16" s="174">
        <f t="shared" ref="AX16:BH16" si="25">AX15*8</f>
        <v>30000000</v>
      </c>
      <c r="AY16" s="174">
        <f t="shared" si="25"/>
        <v>30000000</v>
      </c>
      <c r="AZ16" s="174">
        <f t="shared" si="25"/>
        <v>30000000</v>
      </c>
      <c r="BA16" s="174">
        <f t="shared" si="25"/>
        <v>30000000</v>
      </c>
      <c r="BB16" s="174">
        <f t="shared" si="25"/>
        <v>30000000</v>
      </c>
      <c r="BC16" s="174">
        <f t="shared" si="25"/>
        <v>30000000</v>
      </c>
      <c r="BD16" s="174">
        <f t="shared" si="25"/>
        <v>30000000</v>
      </c>
      <c r="BE16" s="174">
        <f t="shared" si="25"/>
        <v>30000000</v>
      </c>
      <c r="BF16" s="174">
        <f t="shared" si="25"/>
        <v>30000000</v>
      </c>
      <c r="BG16" s="174">
        <f t="shared" si="25"/>
        <v>30000000</v>
      </c>
      <c r="BH16" s="174">
        <f t="shared" si="25"/>
        <v>30000000</v>
      </c>
      <c r="BI16" s="174">
        <f>BI15*8</f>
        <v>30000000</v>
      </c>
    </row>
    <row r="17" spans="1:61">
      <c r="A17" s="202" t="s">
        <v>674</v>
      </c>
      <c r="B17" s="194">
        <f t="shared" ref="B17:Y17" si="26">B16+B11</f>
        <v>44589.04109589041</v>
      </c>
      <c r="C17" s="194">
        <f t="shared" si="26"/>
        <v>71342.465753424651</v>
      </c>
      <c r="D17" s="194">
        <f t="shared" si="26"/>
        <v>89178.082191780821</v>
      </c>
      <c r="E17" s="194">
        <f t="shared" si="26"/>
        <v>133767.12328767125</v>
      </c>
      <c r="F17" s="194">
        <f t="shared" si="26"/>
        <v>267534.24657534249</v>
      </c>
      <c r="G17" s="194">
        <f t="shared" si="26"/>
        <v>445890.41095890413</v>
      </c>
      <c r="H17" s="194">
        <f t="shared" si="26"/>
        <v>668835.61643835623</v>
      </c>
      <c r="I17" s="194">
        <f t="shared" si="26"/>
        <v>891780.82191780827</v>
      </c>
      <c r="J17" s="194">
        <f t="shared" si="26"/>
        <v>1337671.2328767125</v>
      </c>
      <c r="K17" s="194">
        <f t="shared" si="26"/>
        <v>1783561.6438356165</v>
      </c>
      <c r="L17" s="194">
        <f t="shared" si="26"/>
        <v>2229452.0547945206</v>
      </c>
      <c r="M17" s="194">
        <f t="shared" si="26"/>
        <v>2675342.4657534249</v>
      </c>
      <c r="N17" s="194">
        <f t="shared" si="26"/>
        <v>3567123.2876712331</v>
      </c>
      <c r="O17" s="194">
        <f t="shared" si="26"/>
        <v>4458904.1095890412</v>
      </c>
      <c r="P17" s="194">
        <f t="shared" si="26"/>
        <v>5796575.3424657537</v>
      </c>
      <c r="Q17" s="194">
        <f t="shared" si="26"/>
        <v>7134246.5753424661</v>
      </c>
      <c r="R17" s="194">
        <f t="shared" si="26"/>
        <v>8917808.2191780824</v>
      </c>
      <c r="S17" s="194">
        <f t="shared" si="26"/>
        <v>10701369.8630137</v>
      </c>
      <c r="T17" s="194">
        <f t="shared" si="26"/>
        <v>14646986.301369864</v>
      </c>
      <c r="U17" s="194">
        <f t="shared" si="26"/>
        <v>17172328.767123289</v>
      </c>
      <c r="V17" s="194">
        <f t="shared" si="26"/>
        <v>19697671.232876711</v>
      </c>
      <c r="W17" s="194">
        <f t="shared" si="26"/>
        <v>22728082.19178082</v>
      </c>
      <c r="X17" s="194">
        <f t="shared" si="26"/>
        <v>25758493.150684934</v>
      </c>
      <c r="Y17" s="194">
        <f t="shared" si="26"/>
        <v>28788904.109589044</v>
      </c>
      <c r="Z17" s="194">
        <f t="shared" ref="Z17:AJ17" si="27">Z16+Z11</f>
        <v>36111780.82191781</v>
      </c>
      <c r="AA17" s="194">
        <f t="shared" si="27"/>
        <v>40625753.424657539</v>
      </c>
      <c r="AB17" s="194">
        <f t="shared" si="27"/>
        <v>45139726.02739726</v>
      </c>
      <c r="AC17" s="194">
        <f t="shared" si="27"/>
        <v>50782191.780821919</v>
      </c>
      <c r="AD17" s="194">
        <f t="shared" si="27"/>
        <v>56424657.534246571</v>
      </c>
      <c r="AE17" s="194">
        <f t="shared" si="27"/>
        <v>63195616.438356161</v>
      </c>
      <c r="AF17" s="194">
        <f t="shared" si="27"/>
        <v>77304657.534246579</v>
      </c>
      <c r="AG17" s="194">
        <f t="shared" si="27"/>
        <v>84785753.424657539</v>
      </c>
      <c r="AH17" s="194">
        <f t="shared" si="27"/>
        <v>93513698.630136982</v>
      </c>
      <c r="AI17" s="194">
        <f t="shared" si="27"/>
        <v>103488493.15068494</v>
      </c>
      <c r="AJ17" s="194">
        <f t="shared" si="27"/>
        <v>113463287.67123288</v>
      </c>
      <c r="AK17" s="194">
        <f>AK16+AK11</f>
        <v>124684931.50684932</v>
      </c>
      <c r="AL17" s="194">
        <f t="shared" ref="AL17:AV17" si="28">AL16+AL11</f>
        <v>124684931.50684932</v>
      </c>
      <c r="AM17" s="194">
        <f t="shared" si="28"/>
        <v>124684931.50684932</v>
      </c>
      <c r="AN17" s="194">
        <f t="shared" si="28"/>
        <v>124684931.50684932</v>
      </c>
      <c r="AO17" s="194">
        <f t="shared" si="28"/>
        <v>124684931.50684932</v>
      </c>
      <c r="AP17" s="194">
        <f t="shared" si="28"/>
        <v>124684931.50684932</v>
      </c>
      <c r="AQ17" s="194">
        <f t="shared" si="28"/>
        <v>124684931.50684932</v>
      </c>
      <c r="AR17" s="194">
        <f t="shared" si="28"/>
        <v>124684931.50684932</v>
      </c>
      <c r="AS17" s="194">
        <f t="shared" si="28"/>
        <v>124684931.50684932</v>
      </c>
      <c r="AT17" s="194">
        <f t="shared" si="28"/>
        <v>124684931.50684932</v>
      </c>
      <c r="AU17" s="194">
        <f t="shared" si="28"/>
        <v>124684931.50684932</v>
      </c>
      <c r="AV17" s="194">
        <f t="shared" si="28"/>
        <v>124684931.50684932</v>
      </c>
      <c r="AW17" s="194">
        <f>AW16+AW11</f>
        <v>136520547.94520548</v>
      </c>
      <c r="AX17" s="194">
        <f t="shared" ref="AX17:BH17" si="29">AX16+AX11</f>
        <v>136520547.94520548</v>
      </c>
      <c r="AY17" s="194">
        <f t="shared" si="29"/>
        <v>136520547.94520548</v>
      </c>
      <c r="AZ17" s="194">
        <f t="shared" si="29"/>
        <v>136520547.94520548</v>
      </c>
      <c r="BA17" s="194">
        <f t="shared" si="29"/>
        <v>136520547.94520548</v>
      </c>
      <c r="BB17" s="194">
        <f t="shared" si="29"/>
        <v>136520547.94520548</v>
      </c>
      <c r="BC17" s="194">
        <f t="shared" si="29"/>
        <v>136520547.94520548</v>
      </c>
      <c r="BD17" s="194">
        <f t="shared" si="29"/>
        <v>136520547.94520548</v>
      </c>
      <c r="BE17" s="194">
        <f t="shared" si="29"/>
        <v>136520547.94520548</v>
      </c>
      <c r="BF17" s="194">
        <f t="shared" si="29"/>
        <v>136520547.94520548</v>
      </c>
      <c r="BG17" s="194">
        <f t="shared" si="29"/>
        <v>136520547.94520548</v>
      </c>
      <c r="BH17" s="194">
        <f t="shared" si="29"/>
        <v>136520547.94520548</v>
      </c>
      <c r="BI17" s="194">
        <f>BI16+BI11</f>
        <v>148356164.38356164</v>
      </c>
    </row>
    <row r="18" spans="1:61">
      <c r="A18" s="158" t="s">
        <v>675</v>
      </c>
      <c r="B18" s="169">
        <v>0.16500000000000001</v>
      </c>
      <c r="C18" s="169">
        <v>0.17</v>
      </c>
      <c r="D18" s="169">
        <v>0.17</v>
      </c>
      <c r="E18" s="169">
        <v>0.17</v>
      </c>
      <c r="F18" s="169">
        <v>0.17</v>
      </c>
      <c r="G18" s="169">
        <v>0.17</v>
      </c>
      <c r="H18" s="169">
        <v>0.17</v>
      </c>
      <c r="I18" s="169">
        <v>0.17</v>
      </c>
      <c r="J18" s="169">
        <v>0.17</v>
      </c>
      <c r="K18" s="169">
        <v>0.17</v>
      </c>
      <c r="L18" s="169">
        <v>0.17</v>
      </c>
      <c r="M18" s="169">
        <v>0.17</v>
      </c>
      <c r="N18" s="169">
        <v>0.17</v>
      </c>
      <c r="O18" s="169">
        <v>0.17</v>
      </c>
      <c r="P18" s="169">
        <v>0.17</v>
      </c>
      <c r="Q18" s="169">
        <v>0.17</v>
      </c>
      <c r="R18" s="169">
        <v>0.17</v>
      </c>
      <c r="S18" s="169">
        <v>0.17</v>
      </c>
      <c r="T18" s="169">
        <v>0.17</v>
      </c>
      <c r="U18" s="169">
        <v>0.17</v>
      </c>
      <c r="V18" s="169">
        <v>0.17</v>
      </c>
      <c r="W18" s="169">
        <v>0.17</v>
      </c>
      <c r="X18" s="169">
        <v>0.17</v>
      </c>
      <c r="Y18" s="169">
        <v>0.17</v>
      </c>
      <c r="Z18" s="169">
        <v>0.17</v>
      </c>
      <c r="AA18" s="169">
        <v>0.17</v>
      </c>
      <c r="AB18" s="169">
        <v>0.17</v>
      </c>
      <c r="AC18" s="169">
        <v>0.17</v>
      </c>
      <c r="AD18" s="169">
        <v>0.17</v>
      </c>
      <c r="AE18" s="169">
        <v>0.17</v>
      </c>
      <c r="AF18" s="169">
        <v>0.17</v>
      </c>
      <c r="AG18" s="169">
        <v>0.17</v>
      </c>
      <c r="AH18" s="169">
        <v>0.17</v>
      </c>
      <c r="AI18" s="169">
        <v>0.17</v>
      </c>
      <c r="AJ18" s="169">
        <v>0.17</v>
      </c>
      <c r="AK18" s="169">
        <v>0.17</v>
      </c>
      <c r="AL18" s="169">
        <v>0.17</v>
      </c>
      <c r="AM18" s="169">
        <v>0.17</v>
      </c>
      <c r="AN18" s="169">
        <v>0.17</v>
      </c>
      <c r="AO18" s="169">
        <v>0.17</v>
      </c>
      <c r="AP18" s="169">
        <v>0.17</v>
      </c>
      <c r="AQ18" s="169">
        <v>0.17</v>
      </c>
      <c r="AR18" s="169">
        <v>0.17</v>
      </c>
      <c r="AS18" s="169">
        <v>0.17</v>
      </c>
      <c r="AT18" s="169">
        <v>0.17</v>
      </c>
      <c r="AU18" s="169">
        <v>0.17</v>
      </c>
      <c r="AV18" s="169">
        <v>0.17</v>
      </c>
      <c r="AW18" s="169">
        <v>0.17</v>
      </c>
      <c r="AX18" s="169">
        <v>0.17</v>
      </c>
      <c r="AY18" s="169">
        <v>0.17</v>
      </c>
      <c r="AZ18" s="169">
        <v>0.17</v>
      </c>
      <c r="BA18" s="169">
        <v>0.17</v>
      </c>
      <c r="BB18" s="169">
        <v>0.17</v>
      </c>
      <c r="BC18" s="169">
        <v>0.17</v>
      </c>
      <c r="BD18" s="169">
        <v>0.17</v>
      </c>
      <c r="BE18" s="169">
        <v>0.17</v>
      </c>
      <c r="BF18" s="169">
        <v>0.17</v>
      </c>
      <c r="BG18" s="169">
        <v>0.17</v>
      </c>
      <c r="BH18" s="169">
        <v>0.17</v>
      </c>
      <c r="BI18" s="169">
        <v>0.17</v>
      </c>
    </row>
    <row r="19" spans="1:61">
      <c r="A19" s="200" t="s">
        <v>673</v>
      </c>
      <c r="B19" s="182">
        <f t="shared" ref="B19:Y19" si="30">B7*B4*B18</f>
        <v>20625</v>
      </c>
      <c r="C19" s="182">
        <f t="shared" si="30"/>
        <v>34000</v>
      </c>
      <c r="D19" s="182">
        <f t="shared" si="30"/>
        <v>42500</v>
      </c>
      <c r="E19" s="182">
        <f t="shared" si="30"/>
        <v>63750.000000000007</v>
      </c>
      <c r="F19" s="182">
        <f t="shared" si="30"/>
        <v>127500.00000000001</v>
      </c>
      <c r="G19" s="182">
        <f t="shared" si="30"/>
        <v>212500.00000000003</v>
      </c>
      <c r="H19" s="182">
        <f t="shared" si="30"/>
        <v>318750</v>
      </c>
      <c r="I19" s="182">
        <f t="shared" si="30"/>
        <v>425000.00000000006</v>
      </c>
      <c r="J19" s="182">
        <f t="shared" si="30"/>
        <v>637500</v>
      </c>
      <c r="K19" s="182">
        <f t="shared" si="30"/>
        <v>850000.00000000012</v>
      </c>
      <c r="L19" s="182">
        <f t="shared" si="30"/>
        <v>1062500</v>
      </c>
      <c r="M19" s="182">
        <f t="shared" si="30"/>
        <v>1275000</v>
      </c>
      <c r="N19" s="182">
        <f t="shared" si="30"/>
        <v>1700000.0000000002</v>
      </c>
      <c r="O19" s="182">
        <f t="shared" si="30"/>
        <v>2125000</v>
      </c>
      <c r="P19" s="182">
        <f t="shared" si="30"/>
        <v>2762500</v>
      </c>
      <c r="Q19" s="182">
        <f t="shared" si="30"/>
        <v>3400000.0000000005</v>
      </c>
      <c r="R19" s="182">
        <f t="shared" si="30"/>
        <v>4250000</v>
      </c>
      <c r="S19" s="182">
        <f t="shared" si="30"/>
        <v>5100000</v>
      </c>
      <c r="T19" s="182">
        <f t="shared" si="30"/>
        <v>7395000.0000000009</v>
      </c>
      <c r="U19" s="182">
        <f t="shared" si="30"/>
        <v>8670000</v>
      </c>
      <c r="V19" s="182">
        <f t="shared" si="30"/>
        <v>9945000</v>
      </c>
      <c r="W19" s="182">
        <f t="shared" si="30"/>
        <v>11475000</v>
      </c>
      <c r="X19" s="182">
        <f t="shared" si="30"/>
        <v>13005000.000000002</v>
      </c>
      <c r="Y19" s="182">
        <f t="shared" si="30"/>
        <v>14535000.000000002</v>
      </c>
      <c r="Z19" s="182">
        <f t="shared" ref="Z19:AJ19" si="31">Z7*Z4*Z18</f>
        <v>19040000</v>
      </c>
      <c r="AA19" s="182">
        <f t="shared" si="31"/>
        <v>21420000</v>
      </c>
      <c r="AB19" s="182">
        <f t="shared" si="31"/>
        <v>23800000</v>
      </c>
      <c r="AC19" s="182">
        <f t="shared" si="31"/>
        <v>26775000.000000004</v>
      </c>
      <c r="AD19" s="182">
        <f t="shared" si="31"/>
        <v>29750000.000000004</v>
      </c>
      <c r="AE19" s="182">
        <f t="shared" si="31"/>
        <v>33320000.000000004</v>
      </c>
      <c r="AF19" s="182">
        <f t="shared" si="31"/>
        <v>42160000</v>
      </c>
      <c r="AG19" s="182">
        <f t="shared" si="31"/>
        <v>46240000</v>
      </c>
      <c r="AH19" s="182">
        <f t="shared" si="31"/>
        <v>51000000</v>
      </c>
      <c r="AI19" s="182">
        <f t="shared" si="31"/>
        <v>56440000.000000007</v>
      </c>
      <c r="AJ19" s="182">
        <f t="shared" si="31"/>
        <v>61880000.000000007</v>
      </c>
      <c r="AK19" s="182">
        <f>AK7*AK4*AK18</f>
        <v>68000000</v>
      </c>
      <c r="AL19" s="182">
        <f t="shared" ref="AL19:AV19" si="32">AL7*AL4*AL18</f>
        <v>68000000</v>
      </c>
      <c r="AM19" s="182">
        <f t="shared" si="32"/>
        <v>68000000</v>
      </c>
      <c r="AN19" s="182">
        <f t="shared" si="32"/>
        <v>68000000</v>
      </c>
      <c r="AO19" s="182">
        <f t="shared" si="32"/>
        <v>68000000</v>
      </c>
      <c r="AP19" s="182">
        <f t="shared" si="32"/>
        <v>68000000</v>
      </c>
      <c r="AQ19" s="182">
        <f t="shared" si="32"/>
        <v>68000000</v>
      </c>
      <c r="AR19" s="182">
        <f t="shared" si="32"/>
        <v>68000000</v>
      </c>
      <c r="AS19" s="182">
        <f t="shared" si="32"/>
        <v>68000000</v>
      </c>
      <c r="AT19" s="182">
        <f t="shared" si="32"/>
        <v>68000000</v>
      </c>
      <c r="AU19" s="182">
        <f t="shared" si="32"/>
        <v>68000000</v>
      </c>
      <c r="AV19" s="182">
        <f t="shared" si="32"/>
        <v>68000000</v>
      </c>
      <c r="AW19" s="182">
        <f>AW7*AW4*AW18</f>
        <v>76500000</v>
      </c>
      <c r="AX19" s="182">
        <f t="shared" ref="AX19:BH19" si="33">AX7*AX4*AX18</f>
        <v>76500000</v>
      </c>
      <c r="AY19" s="182">
        <f t="shared" si="33"/>
        <v>76500000</v>
      </c>
      <c r="AZ19" s="182">
        <f t="shared" si="33"/>
        <v>76500000</v>
      </c>
      <c r="BA19" s="182">
        <f t="shared" si="33"/>
        <v>76500000</v>
      </c>
      <c r="BB19" s="182">
        <f t="shared" si="33"/>
        <v>76500000</v>
      </c>
      <c r="BC19" s="182">
        <f t="shared" si="33"/>
        <v>76500000</v>
      </c>
      <c r="BD19" s="182">
        <f t="shared" si="33"/>
        <v>76500000</v>
      </c>
      <c r="BE19" s="182">
        <f t="shared" si="33"/>
        <v>76500000</v>
      </c>
      <c r="BF19" s="182">
        <f t="shared" si="33"/>
        <v>76500000</v>
      </c>
      <c r="BG19" s="182">
        <f t="shared" si="33"/>
        <v>76500000</v>
      </c>
      <c r="BH19" s="182">
        <f t="shared" si="33"/>
        <v>76500000</v>
      </c>
      <c r="BI19" s="182">
        <f>BI7*BI4*BI18</f>
        <v>85000000</v>
      </c>
    </row>
    <row r="20" spans="1:61">
      <c r="A20" s="200" t="s">
        <v>763</v>
      </c>
      <c r="B20" s="182">
        <f>B19-B10</f>
        <v>16926.369863013701</v>
      </c>
      <c r="C20" s="182">
        <f>C19-C10</f>
        <v>28082.191780821919</v>
      </c>
      <c r="D20" s="182">
        <f t="shared" ref="D20:AK20" si="34">D19-D10</f>
        <v>35102.739726027401</v>
      </c>
      <c r="E20" s="182">
        <f t="shared" si="34"/>
        <v>52654.109589041102</v>
      </c>
      <c r="F20" s="182">
        <f t="shared" si="34"/>
        <v>105308.2191780822</v>
      </c>
      <c r="G20" s="182">
        <f t="shared" si="34"/>
        <v>175513.69863013702</v>
      </c>
      <c r="H20" s="182">
        <f t="shared" si="34"/>
        <v>263270.54794520547</v>
      </c>
      <c r="I20" s="182">
        <f t="shared" si="34"/>
        <v>351027.39726027404</v>
      </c>
      <c r="J20" s="182">
        <f t="shared" si="34"/>
        <v>526541.09589041094</v>
      </c>
      <c r="K20" s="182">
        <f t="shared" si="34"/>
        <v>702054.79452054808</v>
      </c>
      <c r="L20" s="182">
        <f t="shared" si="34"/>
        <v>877568.49315068498</v>
      </c>
      <c r="M20" s="182">
        <f t="shared" si="34"/>
        <v>1053082.1917808219</v>
      </c>
      <c r="N20" s="182">
        <f t="shared" si="34"/>
        <v>1404109.5890410962</v>
      </c>
      <c r="O20" s="182">
        <f t="shared" si="34"/>
        <v>1755136.98630137</v>
      </c>
      <c r="P20" s="182">
        <f t="shared" si="34"/>
        <v>2281678.0821917807</v>
      </c>
      <c r="Q20" s="182">
        <f t="shared" si="34"/>
        <v>2808219.1780821923</v>
      </c>
      <c r="R20" s="182">
        <f t="shared" si="34"/>
        <v>3510273.9726027399</v>
      </c>
      <c r="S20" s="182">
        <f t="shared" si="34"/>
        <v>4212328.7671232875</v>
      </c>
      <c r="T20" s="182">
        <f t="shared" si="34"/>
        <v>6107876.7123287674</v>
      </c>
      <c r="U20" s="182">
        <f t="shared" si="34"/>
        <v>7160958.9041095888</v>
      </c>
      <c r="V20" s="182">
        <f t="shared" si="34"/>
        <v>8214041.0958904112</v>
      </c>
      <c r="W20" s="182">
        <f t="shared" si="34"/>
        <v>9477739.7260273974</v>
      </c>
      <c r="X20" s="182">
        <f t="shared" si="34"/>
        <v>10741438.356164385</v>
      </c>
      <c r="Y20" s="182">
        <f t="shared" si="34"/>
        <v>12005136.986301372</v>
      </c>
      <c r="Z20" s="182">
        <f t="shared" si="34"/>
        <v>15726027.397260275</v>
      </c>
      <c r="AA20" s="182">
        <f t="shared" si="34"/>
        <v>17691780.82191781</v>
      </c>
      <c r="AB20" s="182">
        <f t="shared" si="34"/>
        <v>19657534.246575341</v>
      </c>
      <c r="AC20" s="182">
        <f t="shared" si="34"/>
        <v>22114726.027397264</v>
      </c>
      <c r="AD20" s="182">
        <f t="shared" si="34"/>
        <v>24571917.808219183</v>
      </c>
      <c r="AE20" s="182">
        <f t="shared" si="34"/>
        <v>27520547.945205484</v>
      </c>
      <c r="AF20" s="182">
        <f t="shared" si="34"/>
        <v>34821917.80821918</v>
      </c>
      <c r="AG20" s="182">
        <f t="shared" si="34"/>
        <v>38191780.82191781</v>
      </c>
      <c r="AH20" s="182">
        <f t="shared" si="34"/>
        <v>42123287.671232879</v>
      </c>
      <c r="AI20" s="182">
        <f t="shared" si="34"/>
        <v>46616438.356164388</v>
      </c>
      <c r="AJ20" s="182">
        <f t="shared" si="34"/>
        <v>51109589.041095898</v>
      </c>
      <c r="AK20" s="182">
        <f t="shared" si="34"/>
        <v>56164383.561643839</v>
      </c>
      <c r="AL20" s="182">
        <f t="shared" ref="AL20:BI20" si="35">AL19-AL10</f>
        <v>56164383.561643839</v>
      </c>
      <c r="AM20" s="182">
        <f t="shared" si="35"/>
        <v>56164383.561643839</v>
      </c>
      <c r="AN20" s="182">
        <f t="shared" si="35"/>
        <v>56164383.561643839</v>
      </c>
      <c r="AO20" s="182">
        <f t="shared" si="35"/>
        <v>56164383.561643839</v>
      </c>
      <c r="AP20" s="182">
        <f t="shared" si="35"/>
        <v>56164383.561643839</v>
      </c>
      <c r="AQ20" s="182">
        <f t="shared" si="35"/>
        <v>56164383.561643839</v>
      </c>
      <c r="AR20" s="182">
        <f t="shared" si="35"/>
        <v>56164383.561643839</v>
      </c>
      <c r="AS20" s="182">
        <f t="shared" si="35"/>
        <v>56164383.561643839</v>
      </c>
      <c r="AT20" s="182">
        <f t="shared" si="35"/>
        <v>56164383.561643839</v>
      </c>
      <c r="AU20" s="182">
        <f t="shared" si="35"/>
        <v>56164383.561643839</v>
      </c>
      <c r="AV20" s="182">
        <f t="shared" si="35"/>
        <v>56164383.561643839</v>
      </c>
      <c r="AW20" s="182">
        <f t="shared" si="35"/>
        <v>63184931.506849319</v>
      </c>
      <c r="AX20" s="182">
        <f t="shared" si="35"/>
        <v>63184931.506849319</v>
      </c>
      <c r="AY20" s="182">
        <f t="shared" si="35"/>
        <v>63184931.506849319</v>
      </c>
      <c r="AZ20" s="182">
        <f t="shared" si="35"/>
        <v>63184931.506849319</v>
      </c>
      <c r="BA20" s="182">
        <f t="shared" si="35"/>
        <v>63184931.506849319</v>
      </c>
      <c r="BB20" s="182">
        <f t="shared" si="35"/>
        <v>63184931.506849319</v>
      </c>
      <c r="BC20" s="182">
        <f t="shared" si="35"/>
        <v>63184931.506849319</v>
      </c>
      <c r="BD20" s="182">
        <f t="shared" si="35"/>
        <v>63184931.506849319</v>
      </c>
      <c r="BE20" s="182">
        <f t="shared" si="35"/>
        <v>63184931.506849319</v>
      </c>
      <c r="BF20" s="182">
        <f t="shared" si="35"/>
        <v>63184931.506849319</v>
      </c>
      <c r="BG20" s="182">
        <f t="shared" si="35"/>
        <v>63184931.506849319</v>
      </c>
      <c r="BH20" s="182">
        <f t="shared" si="35"/>
        <v>63184931.506849319</v>
      </c>
      <c r="BI20" s="182">
        <f t="shared" si="35"/>
        <v>70205479.452054799</v>
      </c>
    </row>
    <row r="21" spans="1:61">
      <c r="A21" s="200" t="s">
        <v>757</v>
      </c>
      <c r="B21" s="198">
        <f>B20</f>
        <v>16926.369863013701</v>
      </c>
      <c r="C21" s="182">
        <f t="shared" ref="C21:M21" si="36">C20+B21</f>
        <v>45008.561643835623</v>
      </c>
      <c r="D21" s="182">
        <f t="shared" si="36"/>
        <v>80111.301369863024</v>
      </c>
      <c r="E21" s="182">
        <f t="shared" si="36"/>
        <v>132765.41095890413</v>
      </c>
      <c r="F21" s="182">
        <f t="shared" si="36"/>
        <v>238073.63013698632</v>
      </c>
      <c r="G21" s="182">
        <f t="shared" si="36"/>
        <v>413587.32876712334</v>
      </c>
      <c r="H21" s="182">
        <f t="shared" si="36"/>
        <v>676857.87671232875</v>
      </c>
      <c r="I21" s="182">
        <f t="shared" si="36"/>
        <v>1027885.2739726028</v>
      </c>
      <c r="J21" s="182">
        <f t="shared" si="36"/>
        <v>1554426.3698630137</v>
      </c>
      <c r="K21" s="182">
        <f t="shared" si="36"/>
        <v>2256481.1643835618</v>
      </c>
      <c r="L21" s="182">
        <f t="shared" si="36"/>
        <v>3134049.6575342468</v>
      </c>
      <c r="M21" s="182">
        <f t="shared" si="36"/>
        <v>4187131.8493150687</v>
      </c>
      <c r="N21" s="198">
        <f>N20</f>
        <v>1404109.5890410962</v>
      </c>
      <c r="O21" s="182">
        <f t="shared" ref="O21:Y21" si="37">O20+N21</f>
        <v>3159246.5753424661</v>
      </c>
      <c r="P21" s="182">
        <f t="shared" si="37"/>
        <v>5440924.6575342473</v>
      </c>
      <c r="Q21" s="182">
        <f t="shared" si="37"/>
        <v>8249143.8356164396</v>
      </c>
      <c r="R21" s="182">
        <f t="shared" si="37"/>
        <v>11759417.80821918</v>
      </c>
      <c r="S21" s="182">
        <f t="shared" si="37"/>
        <v>15971746.575342467</v>
      </c>
      <c r="T21" s="182">
        <f t="shared" si="37"/>
        <v>22079623.287671234</v>
      </c>
      <c r="U21" s="182">
        <f t="shared" si="37"/>
        <v>29240582.191780824</v>
      </c>
      <c r="V21" s="182">
        <f t="shared" si="37"/>
        <v>37454623.287671238</v>
      </c>
      <c r="W21" s="182">
        <f t="shared" si="37"/>
        <v>46932363.013698637</v>
      </c>
      <c r="X21" s="182">
        <f t="shared" si="37"/>
        <v>57673801.369863018</v>
      </c>
      <c r="Y21" s="182">
        <f t="shared" si="37"/>
        <v>69678938.356164396</v>
      </c>
      <c r="Z21" s="198">
        <f>Z20</f>
        <v>15726027.397260275</v>
      </c>
      <c r="AA21" s="182">
        <f t="shared" ref="AA21:AK21" si="38">AA20+Z21</f>
        <v>33417808.219178084</v>
      </c>
      <c r="AB21" s="182">
        <f t="shared" si="38"/>
        <v>53075342.465753421</v>
      </c>
      <c r="AC21" s="182">
        <f t="shared" si="38"/>
        <v>75190068.493150681</v>
      </c>
      <c r="AD21" s="182">
        <f t="shared" si="38"/>
        <v>99761986.301369861</v>
      </c>
      <c r="AE21" s="182">
        <f t="shared" si="38"/>
        <v>127282534.24657534</v>
      </c>
      <c r="AF21" s="182">
        <f t="shared" si="38"/>
        <v>162104452.05479452</v>
      </c>
      <c r="AG21" s="182">
        <f t="shared" si="38"/>
        <v>200296232.87671232</v>
      </c>
      <c r="AH21" s="182">
        <f t="shared" si="38"/>
        <v>242419520.5479452</v>
      </c>
      <c r="AI21" s="182">
        <f t="shared" si="38"/>
        <v>289035958.9041096</v>
      </c>
      <c r="AJ21" s="182">
        <f t="shared" si="38"/>
        <v>340145547.94520551</v>
      </c>
      <c r="AK21" s="182">
        <f t="shared" si="38"/>
        <v>396309931.50684935</v>
      </c>
      <c r="AL21" s="198">
        <f>AL20</f>
        <v>56164383.561643839</v>
      </c>
      <c r="AM21" s="182">
        <f t="shared" ref="AM21:AW21" si="39">AM20+AL21</f>
        <v>112328767.12328768</v>
      </c>
      <c r="AN21" s="182">
        <f t="shared" si="39"/>
        <v>168493150.68493152</v>
      </c>
      <c r="AO21" s="182">
        <f t="shared" si="39"/>
        <v>224657534.24657536</v>
      </c>
      <c r="AP21" s="182">
        <f t="shared" si="39"/>
        <v>280821917.80821919</v>
      </c>
      <c r="AQ21" s="182">
        <f t="shared" si="39"/>
        <v>336986301.36986303</v>
      </c>
      <c r="AR21" s="182">
        <f t="shared" si="39"/>
        <v>393150684.93150687</v>
      </c>
      <c r="AS21" s="182">
        <f t="shared" si="39"/>
        <v>449315068.49315071</v>
      </c>
      <c r="AT21" s="182">
        <f t="shared" si="39"/>
        <v>505479452.05479455</v>
      </c>
      <c r="AU21" s="182">
        <f t="shared" si="39"/>
        <v>561643835.61643839</v>
      </c>
      <c r="AV21" s="182">
        <f t="shared" si="39"/>
        <v>617808219.17808223</v>
      </c>
      <c r="AW21" s="182">
        <f t="shared" si="39"/>
        <v>680993150.68493152</v>
      </c>
      <c r="AX21" s="198">
        <f>AX20</f>
        <v>63184931.506849319</v>
      </c>
      <c r="AY21" s="182">
        <f t="shared" ref="AY21:BI21" si="40">AY20+AX21</f>
        <v>126369863.01369864</v>
      </c>
      <c r="AZ21" s="182">
        <f t="shared" si="40"/>
        <v>189554794.52054796</v>
      </c>
      <c r="BA21" s="182">
        <f t="shared" si="40"/>
        <v>252739726.02739727</v>
      </c>
      <c r="BB21" s="182">
        <f t="shared" si="40"/>
        <v>315924657.53424656</v>
      </c>
      <c r="BC21" s="182">
        <f t="shared" si="40"/>
        <v>379109589.04109585</v>
      </c>
      <c r="BD21" s="182">
        <f t="shared" si="40"/>
        <v>442294520.54794514</v>
      </c>
      <c r="BE21" s="182">
        <f t="shared" si="40"/>
        <v>505479452.05479443</v>
      </c>
      <c r="BF21" s="182">
        <f t="shared" si="40"/>
        <v>568664383.56164372</v>
      </c>
      <c r="BG21" s="182">
        <f t="shared" si="40"/>
        <v>631849315.06849301</v>
      </c>
      <c r="BH21" s="182">
        <f t="shared" si="40"/>
        <v>695034246.5753423</v>
      </c>
      <c r="BI21" s="182">
        <f t="shared" si="40"/>
        <v>765239726.02739716</v>
      </c>
    </row>
    <row r="22" spans="1:61">
      <c r="A22" s="158" t="s">
        <v>762</v>
      </c>
      <c r="B22" s="158"/>
      <c r="C22" s="158"/>
      <c r="D22" s="158"/>
      <c r="E22" s="158" t="s">
        <v>760</v>
      </c>
      <c r="F22" s="158" t="s">
        <v>759</v>
      </c>
      <c r="G22" s="158">
        <v>1</v>
      </c>
      <c r="H22" s="198">
        <v>16926.369863013701</v>
      </c>
      <c r="I22" s="198">
        <v>45008.561643835623</v>
      </c>
      <c r="J22" s="198">
        <v>80111.301369863024</v>
      </c>
      <c r="K22" s="198">
        <v>132765.41095890413</v>
      </c>
      <c r="L22" s="198">
        <v>238073.63013698632</v>
      </c>
      <c r="M22" s="198">
        <v>413587.32876712334</v>
      </c>
      <c r="N22" s="230">
        <f t="shared" ref="N22:T22" si="41">H20</f>
        <v>263270.54794520547</v>
      </c>
      <c r="O22" s="230">
        <f>N22+I20</f>
        <v>614297.94520547951</v>
      </c>
      <c r="P22" s="198">
        <f>O22</f>
        <v>614297.94520547951</v>
      </c>
      <c r="Q22" s="198">
        <f t="shared" si="41"/>
        <v>702054.79452054808</v>
      </c>
      <c r="R22" s="198">
        <f t="shared" si="41"/>
        <v>877568.49315068498</v>
      </c>
      <c r="S22" s="198">
        <f t="shared" si="41"/>
        <v>1053082.1917808219</v>
      </c>
      <c r="T22" s="230">
        <f t="shared" si="41"/>
        <v>1404109.5890410962</v>
      </c>
      <c r="U22" s="198">
        <f>O21</f>
        <v>3159246.5753424661</v>
      </c>
      <c r="V22" s="198">
        <f>P21</f>
        <v>5440924.6575342473</v>
      </c>
      <c r="W22" s="198">
        <f>Q21</f>
        <v>8249143.8356164396</v>
      </c>
      <c r="X22" s="198">
        <f>R21</f>
        <v>11759417.80821918</v>
      </c>
      <c r="Y22" s="198">
        <f>S21</f>
        <v>15971746.575342467</v>
      </c>
      <c r="Z22" s="198">
        <v>22079623.287671234</v>
      </c>
      <c r="AA22" s="198">
        <v>29240582.191780824</v>
      </c>
      <c r="AB22" s="198">
        <v>37454623.287671238</v>
      </c>
      <c r="AC22" s="198">
        <v>46932363.013698637</v>
      </c>
      <c r="AD22" s="198">
        <v>57673801.369863018</v>
      </c>
      <c r="AE22" s="198">
        <v>69678938.356164396</v>
      </c>
      <c r="AF22" s="198">
        <v>15726027.397260275</v>
      </c>
      <c r="AG22" s="198">
        <v>33417808.219178084</v>
      </c>
      <c r="AH22" s="198">
        <v>53075342.465753421</v>
      </c>
      <c r="AI22" s="198">
        <v>75190068.493150681</v>
      </c>
      <c r="AJ22" s="198">
        <v>99761986.301369861</v>
      </c>
      <c r="AK22" s="198">
        <v>127282534.24657534</v>
      </c>
      <c r="AL22" s="198">
        <v>162104452.05479452</v>
      </c>
      <c r="AM22" s="198">
        <v>200296232.87671232</v>
      </c>
      <c r="AN22" s="198">
        <v>242419520.5479452</v>
      </c>
      <c r="AO22" s="198">
        <v>289035958.9041096</v>
      </c>
      <c r="AP22" s="198">
        <v>340145547.94520551</v>
      </c>
      <c r="AQ22" s="198">
        <v>396309931.50684935</v>
      </c>
      <c r="AR22" s="198">
        <v>56164383.561643839</v>
      </c>
      <c r="AS22" s="198">
        <v>112328767.12328768</v>
      </c>
      <c r="AT22" s="198">
        <v>168493150.68493152</v>
      </c>
      <c r="AU22" s="198">
        <v>224657534.24657536</v>
      </c>
      <c r="AV22" s="198">
        <v>280821917.80821919</v>
      </c>
      <c r="AW22" s="198">
        <v>336986301.36986303</v>
      </c>
      <c r="AX22" s="198">
        <v>393150684.93150687</v>
      </c>
      <c r="AY22" s="198">
        <v>449315068.49315071</v>
      </c>
      <c r="AZ22" s="198">
        <v>505479452.05479455</v>
      </c>
      <c r="BA22" s="198">
        <v>561643835.61643839</v>
      </c>
      <c r="BB22" s="198">
        <v>617808219.17808223</v>
      </c>
      <c r="BC22" s="198">
        <v>680993150.68493152</v>
      </c>
      <c r="BD22" s="198">
        <v>63184931.506849319</v>
      </c>
      <c r="BE22" s="198">
        <v>126369863.01369864</v>
      </c>
      <c r="BF22" s="198">
        <v>189554794.52054796</v>
      </c>
      <c r="BG22" s="198">
        <v>252739726.02739727</v>
      </c>
      <c r="BH22" s="198">
        <v>315924657.53424656</v>
      </c>
      <c r="BI22" s="198">
        <v>379109589.04109585</v>
      </c>
    </row>
    <row r="23" spans="1:61">
      <c r="A23" s="158" t="s">
        <v>762</v>
      </c>
      <c r="B23" s="198"/>
      <c r="C23" s="158"/>
      <c r="D23" s="158"/>
      <c r="E23" s="158"/>
      <c r="F23" s="158" t="s">
        <v>758</v>
      </c>
      <c r="G23" s="158">
        <v>6</v>
      </c>
      <c r="H23" s="198">
        <f>H22*$G$23</f>
        <v>101558.2191780822</v>
      </c>
      <c r="I23" s="198">
        <f>I22*$G$23</f>
        <v>270051.36986301374</v>
      </c>
      <c r="J23" s="198">
        <f t="shared" ref="J23:BI23" si="42">J22*$G$23</f>
        <v>480667.80821917811</v>
      </c>
      <c r="K23" s="198">
        <f t="shared" si="42"/>
        <v>796592.4657534248</v>
      </c>
      <c r="L23" s="198">
        <f t="shared" si="42"/>
        <v>1428441.780821918</v>
      </c>
      <c r="M23" s="198">
        <f t="shared" si="42"/>
        <v>2481523.9726027399</v>
      </c>
      <c r="N23" s="230">
        <f t="shared" si="42"/>
        <v>1579623.2876712328</v>
      </c>
      <c r="O23" s="198">
        <f t="shared" si="42"/>
        <v>3685787.6712328773</v>
      </c>
      <c r="P23" s="198">
        <f t="shared" si="42"/>
        <v>3685787.6712328773</v>
      </c>
      <c r="Q23" s="198">
        <f t="shared" si="42"/>
        <v>4212328.7671232885</v>
      </c>
      <c r="R23" s="198">
        <f t="shared" si="42"/>
        <v>5265410.9589041099</v>
      </c>
      <c r="S23" s="198">
        <f t="shared" si="42"/>
        <v>6318493.1506849313</v>
      </c>
      <c r="T23" s="198">
        <f t="shared" si="42"/>
        <v>8424657.5342465769</v>
      </c>
      <c r="U23" s="198">
        <f t="shared" si="42"/>
        <v>18955479.452054799</v>
      </c>
      <c r="V23" s="198">
        <f t="shared" si="42"/>
        <v>32645547.945205484</v>
      </c>
      <c r="W23" s="198">
        <f t="shared" si="42"/>
        <v>49494863.013698637</v>
      </c>
      <c r="X23" s="198">
        <f t="shared" si="42"/>
        <v>70556506.849315077</v>
      </c>
      <c r="Y23" s="198">
        <f t="shared" si="42"/>
        <v>95830479.452054799</v>
      </c>
      <c r="Z23" s="198">
        <f t="shared" si="42"/>
        <v>132477739.7260274</v>
      </c>
      <c r="AA23" s="198">
        <f t="shared" si="42"/>
        <v>175443493.15068495</v>
      </c>
      <c r="AB23" s="198">
        <f t="shared" si="42"/>
        <v>224727739.72602743</v>
      </c>
      <c r="AC23" s="198">
        <f t="shared" si="42"/>
        <v>281594178.08219182</v>
      </c>
      <c r="AD23" s="198">
        <f t="shared" si="42"/>
        <v>346042808.21917808</v>
      </c>
      <c r="AE23" s="198">
        <f t="shared" si="42"/>
        <v>418073630.13698637</v>
      </c>
      <c r="AF23" s="198">
        <f t="shared" si="42"/>
        <v>94356164.383561641</v>
      </c>
      <c r="AG23" s="198">
        <f t="shared" si="42"/>
        <v>200506849.31506851</v>
      </c>
      <c r="AH23" s="198">
        <f t="shared" si="42"/>
        <v>318452054.7945205</v>
      </c>
      <c r="AI23" s="198">
        <f t="shared" si="42"/>
        <v>451140410.95890409</v>
      </c>
      <c r="AJ23" s="198">
        <f t="shared" si="42"/>
        <v>598571917.80821919</v>
      </c>
      <c r="AK23" s="198">
        <f t="shared" si="42"/>
        <v>763695205.47945201</v>
      </c>
      <c r="AL23" s="198">
        <f t="shared" si="42"/>
        <v>972626712.32876706</v>
      </c>
      <c r="AM23" s="198">
        <f t="shared" si="42"/>
        <v>1201777397.2602739</v>
      </c>
      <c r="AN23" s="198">
        <f t="shared" si="42"/>
        <v>1454517123.2876711</v>
      </c>
      <c r="AO23" s="198">
        <f t="shared" si="42"/>
        <v>1734215753.4246576</v>
      </c>
      <c r="AP23" s="198">
        <f t="shared" si="42"/>
        <v>2040873287.6712332</v>
      </c>
      <c r="AQ23" s="198">
        <f t="shared" si="42"/>
        <v>2377859589.0410962</v>
      </c>
      <c r="AR23" s="198">
        <f t="shared" si="42"/>
        <v>336986301.36986303</v>
      </c>
      <c r="AS23" s="198">
        <f t="shared" si="42"/>
        <v>673972602.73972607</v>
      </c>
      <c r="AT23" s="198">
        <f t="shared" si="42"/>
        <v>1010958904.1095891</v>
      </c>
      <c r="AU23" s="198">
        <f t="shared" si="42"/>
        <v>1347945205.4794521</v>
      </c>
      <c r="AV23" s="198">
        <f t="shared" si="42"/>
        <v>1684931506.8493152</v>
      </c>
      <c r="AW23" s="198">
        <f t="shared" si="42"/>
        <v>2021917808.2191782</v>
      </c>
      <c r="AX23" s="198">
        <f t="shared" si="42"/>
        <v>2358904109.5890412</v>
      </c>
      <c r="AY23" s="198">
        <f t="shared" si="42"/>
        <v>2695890410.9589043</v>
      </c>
      <c r="AZ23" s="198">
        <f t="shared" si="42"/>
        <v>3032876712.3287673</v>
      </c>
      <c r="BA23" s="198">
        <f t="shared" si="42"/>
        <v>3369863013.6986303</v>
      </c>
      <c r="BB23" s="198">
        <f t="shared" si="42"/>
        <v>3706849315.0684934</v>
      </c>
      <c r="BC23" s="198">
        <f t="shared" si="42"/>
        <v>4085958904.1095891</v>
      </c>
      <c r="BD23" s="198">
        <f t="shared" si="42"/>
        <v>379109589.04109591</v>
      </c>
      <c r="BE23" s="198">
        <f t="shared" si="42"/>
        <v>758219178.08219182</v>
      </c>
      <c r="BF23" s="198">
        <f t="shared" si="42"/>
        <v>1137328767.1232877</v>
      </c>
      <c r="BG23" s="198">
        <f t="shared" si="42"/>
        <v>1516438356.1643836</v>
      </c>
      <c r="BH23" s="198">
        <f t="shared" si="42"/>
        <v>1895547945.2054794</v>
      </c>
      <c r="BI23" s="198">
        <f t="shared" si="42"/>
        <v>2274657534.2465754</v>
      </c>
    </row>
    <row r="24" spans="1:61">
      <c r="A24" s="162" t="s">
        <v>761</v>
      </c>
      <c r="B24" s="22">
        <f t="shared" ref="B24:G24" si="43">B21</f>
        <v>16926.369863013701</v>
      </c>
      <c r="C24" s="22">
        <f t="shared" si="43"/>
        <v>45008.561643835623</v>
      </c>
      <c r="D24" s="22">
        <f t="shared" si="43"/>
        <v>80111.301369863024</v>
      </c>
      <c r="E24" s="22">
        <f t="shared" si="43"/>
        <v>132765.41095890413</v>
      </c>
      <c r="F24" s="22">
        <f t="shared" si="43"/>
        <v>238073.63013698632</v>
      </c>
      <c r="G24" s="22">
        <f t="shared" si="43"/>
        <v>413587.32876712334</v>
      </c>
      <c r="H24" s="22">
        <f>H23+H21</f>
        <v>778416.09589041094</v>
      </c>
      <c r="I24" s="22">
        <f t="shared" ref="I24:N24" si="44">I23+I21</f>
        <v>1297936.6438356165</v>
      </c>
      <c r="J24" s="22">
        <f t="shared" si="44"/>
        <v>2035094.1780821919</v>
      </c>
      <c r="K24" s="22">
        <f t="shared" si="44"/>
        <v>3053073.6301369867</v>
      </c>
      <c r="L24" s="22">
        <f t="shared" si="44"/>
        <v>4562491.4383561648</v>
      </c>
      <c r="M24" s="127">
        <f>M23+M21</f>
        <v>6668655.8219178086</v>
      </c>
      <c r="N24" s="22">
        <f t="shared" si="44"/>
        <v>2983732.8767123288</v>
      </c>
      <c r="O24" s="22" t="e">
        <f>#REF!+O21</f>
        <v>#REF!</v>
      </c>
      <c r="P24" s="22" t="e">
        <f>#REF!+P21</f>
        <v>#REF!</v>
      </c>
      <c r="Q24" s="22" t="e">
        <f>#REF!+Q21</f>
        <v>#REF!</v>
      </c>
      <c r="R24" s="22" t="e">
        <f>#REF!+R21</f>
        <v>#REF!</v>
      </c>
      <c r="S24" s="22" t="e">
        <f>#REF!+S21</f>
        <v>#REF!</v>
      </c>
      <c r="T24" s="22" t="e">
        <f>#REF!+T21</f>
        <v>#REF!</v>
      </c>
      <c r="U24" s="22" t="e">
        <f>#REF!+U21</f>
        <v>#REF!</v>
      </c>
      <c r="V24" s="22" t="e">
        <f>#REF!+V21</f>
        <v>#REF!</v>
      </c>
      <c r="W24" s="22" t="e">
        <f>#REF!+W21</f>
        <v>#REF!</v>
      </c>
      <c r="X24" s="22" t="e">
        <f>#REF!+X21</f>
        <v>#REF!</v>
      </c>
      <c r="Y24" s="22" t="e">
        <f>#REF!+Y21</f>
        <v>#REF!</v>
      </c>
      <c r="Z24" s="22" t="e">
        <f>#REF!+Z21</f>
        <v>#REF!</v>
      </c>
      <c r="AA24" s="22" t="e">
        <f>#REF!+AA21</f>
        <v>#REF!</v>
      </c>
      <c r="AB24" s="22" t="e">
        <f>#REF!+AB21</f>
        <v>#REF!</v>
      </c>
      <c r="AC24" s="22" t="e">
        <f>#REF!+AC21</f>
        <v>#REF!</v>
      </c>
      <c r="AD24" s="22" t="e">
        <f>#REF!+AD21</f>
        <v>#REF!</v>
      </c>
      <c r="AE24" s="22" t="e">
        <f>#REF!+AE21</f>
        <v>#REF!</v>
      </c>
      <c r="AF24" s="22" t="e">
        <f>#REF!+AF21</f>
        <v>#REF!</v>
      </c>
      <c r="AG24" s="22" t="e">
        <f>#REF!+AG21</f>
        <v>#REF!</v>
      </c>
      <c r="AH24" s="22" t="e">
        <f>#REF!+AH21</f>
        <v>#REF!</v>
      </c>
      <c r="AI24" s="22" t="e">
        <f>#REF!+AI21</f>
        <v>#REF!</v>
      </c>
      <c r="AJ24" s="22" t="e">
        <f>#REF!+AJ21</f>
        <v>#REF!</v>
      </c>
      <c r="AK24" s="22" t="e">
        <f>#REF!+AK21</f>
        <v>#REF!</v>
      </c>
      <c r="AL24" s="22" t="e">
        <f>#REF!+AL21</f>
        <v>#REF!</v>
      </c>
      <c r="AM24" s="22" t="e">
        <f>#REF!+AM21</f>
        <v>#REF!</v>
      </c>
      <c r="AN24" s="22" t="e">
        <f>#REF!+AN21</f>
        <v>#REF!</v>
      </c>
      <c r="AO24" s="22" t="e">
        <f>#REF!+AO21</f>
        <v>#REF!</v>
      </c>
      <c r="AP24" s="22" t="e">
        <f>#REF!+AP21</f>
        <v>#REF!</v>
      </c>
      <c r="AQ24" s="22" t="e">
        <f>#REF!+AQ21</f>
        <v>#REF!</v>
      </c>
      <c r="AR24" s="22" t="e">
        <f>#REF!+AR21</f>
        <v>#REF!</v>
      </c>
      <c r="AS24" s="22" t="e">
        <f>#REF!+AS21</f>
        <v>#REF!</v>
      </c>
      <c r="AT24" s="22" t="e">
        <f>#REF!+AT21</f>
        <v>#REF!</v>
      </c>
      <c r="AU24" s="22" t="e">
        <f>#REF!+AU21</f>
        <v>#REF!</v>
      </c>
      <c r="AV24" s="22" t="e">
        <f>#REF!+AV21</f>
        <v>#REF!</v>
      </c>
      <c r="AW24" s="22" t="e">
        <f>#REF!+AW21</f>
        <v>#REF!</v>
      </c>
      <c r="AX24" s="22" t="e">
        <f>#REF!+AX21</f>
        <v>#REF!</v>
      </c>
      <c r="AY24" s="22" t="e">
        <f>#REF!+AY21</f>
        <v>#REF!</v>
      </c>
      <c r="AZ24" s="22" t="e">
        <f>#REF!+AZ21</f>
        <v>#REF!</v>
      </c>
      <c r="BA24" s="22" t="e">
        <f>#REF!+BA21</f>
        <v>#REF!</v>
      </c>
      <c r="BB24" s="22" t="e">
        <f>#REF!+BB21</f>
        <v>#REF!</v>
      </c>
      <c r="BC24" s="22" t="e">
        <f>#REF!+BC21</f>
        <v>#REF!</v>
      </c>
      <c r="BD24" s="22" t="e">
        <f>#REF!+BD21</f>
        <v>#REF!</v>
      </c>
      <c r="BE24" s="22" t="e">
        <f>#REF!+BE21</f>
        <v>#REF!</v>
      </c>
      <c r="BF24" s="22" t="e">
        <f>#REF!+BF21</f>
        <v>#REF!</v>
      </c>
      <c r="BG24" s="22" t="e">
        <f>#REF!+BG21</f>
        <v>#REF!</v>
      </c>
      <c r="BH24" s="22" t="e">
        <f>#REF!+BH21</f>
        <v>#REF!</v>
      </c>
      <c r="BI24" s="22" t="e">
        <f>#REF!+BI21</f>
        <v>#REF!</v>
      </c>
    </row>
  </sheetData>
  <mergeCells count="1">
    <mergeCell ref="A1:BI1"/>
  </mergeCell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6BA7-5A25-314D-AF9E-028ADCA947E8}">
  <dimension ref="A1:G21"/>
  <sheetViews>
    <sheetView topLeftCell="C1" zoomScale="190" zoomScaleNormal="190" workbookViewId="0">
      <selection activeCell="B22" sqref="B22"/>
    </sheetView>
  </sheetViews>
  <sheetFormatPr baseColWidth="10" defaultRowHeight="16"/>
  <cols>
    <col min="1" max="1" width="34.6640625" bestFit="1" customWidth="1"/>
    <col min="2" max="2" width="10.83203125" style="12"/>
    <col min="3" max="3" width="39.33203125" customWidth="1"/>
    <col min="4" max="4" width="16.83203125" bestFit="1" customWidth="1"/>
    <col min="5" max="5" width="14" bestFit="1" customWidth="1"/>
    <col min="6" max="6" width="14.5" bestFit="1" customWidth="1"/>
    <col min="7" max="7" width="28.5" bestFit="1" customWidth="1"/>
  </cols>
  <sheetData>
    <row r="1" spans="1:7" ht="21">
      <c r="A1" s="329" t="s">
        <v>563</v>
      </c>
      <c r="B1" s="329"/>
      <c r="C1" s="329"/>
      <c r="D1" s="329"/>
      <c r="E1" s="329"/>
      <c r="F1" s="329"/>
      <c r="G1" s="329"/>
    </row>
    <row r="2" spans="1:7">
      <c r="A2" s="289" t="s">
        <v>541</v>
      </c>
      <c r="B2" s="289"/>
      <c r="C2" s="289"/>
      <c r="D2" s="330" t="s">
        <v>545</v>
      </c>
      <c r="E2" s="331"/>
      <c r="F2" s="331"/>
      <c r="G2" s="331"/>
    </row>
    <row r="3" spans="1:7">
      <c r="A3" s="167" t="s">
        <v>511</v>
      </c>
      <c r="B3" s="168" t="s">
        <v>512</v>
      </c>
      <c r="C3" s="167" t="s">
        <v>212</v>
      </c>
      <c r="D3" s="167" t="s">
        <v>511</v>
      </c>
      <c r="E3" s="167" t="s">
        <v>542</v>
      </c>
      <c r="F3" s="167" t="s">
        <v>543</v>
      </c>
      <c r="G3" s="167" t="s">
        <v>212</v>
      </c>
    </row>
    <row r="4" spans="1:7">
      <c r="A4" s="158" t="s">
        <v>510</v>
      </c>
      <c r="B4" s="30">
        <v>5000</v>
      </c>
      <c r="C4" s="158" t="s">
        <v>513</v>
      </c>
      <c r="D4" s="158" t="s">
        <v>381</v>
      </c>
      <c r="E4" s="158">
        <v>4500</v>
      </c>
      <c r="F4" s="158">
        <v>500</v>
      </c>
      <c r="G4" s="158" t="s">
        <v>550</v>
      </c>
    </row>
    <row r="5" spans="1:7">
      <c r="A5" s="158" t="s">
        <v>516</v>
      </c>
      <c r="B5" s="30">
        <v>5000</v>
      </c>
      <c r="C5" s="158" t="s">
        <v>515</v>
      </c>
      <c r="D5" s="159" t="s">
        <v>544</v>
      </c>
      <c r="E5" s="158">
        <v>100</v>
      </c>
      <c r="F5" s="158">
        <v>550</v>
      </c>
      <c r="G5" s="158" t="s">
        <v>551</v>
      </c>
    </row>
    <row r="6" spans="1:7">
      <c r="A6" s="158" t="s">
        <v>517</v>
      </c>
      <c r="B6" s="30" t="s">
        <v>540</v>
      </c>
      <c r="C6" s="158"/>
      <c r="D6" s="159" t="s">
        <v>556</v>
      </c>
      <c r="E6" s="158">
        <v>0</v>
      </c>
      <c r="F6" s="158">
        <v>0</v>
      </c>
      <c r="G6" s="158" t="s">
        <v>557</v>
      </c>
    </row>
    <row r="7" spans="1:7">
      <c r="A7" s="158" t="s">
        <v>507</v>
      </c>
      <c r="B7" s="169">
        <v>0.24</v>
      </c>
      <c r="C7" s="158" t="s">
        <v>508</v>
      </c>
      <c r="D7" s="158" t="s">
        <v>555</v>
      </c>
      <c r="E7" s="158">
        <v>0</v>
      </c>
      <c r="F7" s="158">
        <v>100</v>
      </c>
      <c r="G7" s="163" t="s">
        <v>558</v>
      </c>
    </row>
    <row r="8" spans="1:7">
      <c r="A8" s="158" t="s">
        <v>509</v>
      </c>
      <c r="B8" s="30">
        <v>2500</v>
      </c>
      <c r="C8" s="158" t="s">
        <v>560</v>
      </c>
      <c r="D8" s="158" t="s">
        <v>553</v>
      </c>
      <c r="E8" s="164">
        <v>20</v>
      </c>
      <c r="F8" s="164">
        <v>130</v>
      </c>
      <c r="G8" s="163" t="s">
        <v>554</v>
      </c>
    </row>
    <row r="9" spans="1:7">
      <c r="A9" s="158" t="s">
        <v>518</v>
      </c>
      <c r="B9" s="30" t="s">
        <v>519</v>
      </c>
      <c r="C9" s="158" t="s">
        <v>533</v>
      </c>
      <c r="D9" s="163"/>
      <c r="E9" s="158"/>
      <c r="F9" s="158"/>
      <c r="G9" s="158"/>
    </row>
    <row r="10" spans="1:7">
      <c r="A10" s="158" t="s">
        <v>548</v>
      </c>
      <c r="B10" s="30">
        <f>B8*0.15</f>
        <v>375</v>
      </c>
      <c r="C10" s="158"/>
      <c r="D10" s="158"/>
      <c r="E10" s="158"/>
      <c r="F10" s="158"/>
      <c r="G10" s="158"/>
    </row>
    <row r="11" spans="1:7">
      <c r="A11" s="158" t="s">
        <v>520</v>
      </c>
      <c r="B11" s="30">
        <f>B8*2/100*45/30</f>
        <v>75</v>
      </c>
      <c r="C11" s="158" t="s">
        <v>547</v>
      </c>
      <c r="D11" s="158" t="s">
        <v>546</v>
      </c>
      <c r="E11" s="291">
        <f>((100*9*5)+(650))/50</f>
        <v>103</v>
      </c>
      <c r="F11" s="291"/>
      <c r="G11" s="163" t="s">
        <v>566</v>
      </c>
    </row>
    <row r="12" spans="1:7">
      <c r="A12" s="158" t="s">
        <v>521</v>
      </c>
      <c r="B12" s="30" t="s">
        <v>522</v>
      </c>
      <c r="C12" s="158"/>
      <c r="D12" s="158" t="s">
        <v>549</v>
      </c>
      <c r="E12" s="158">
        <f>E11*5000</f>
        <v>515000</v>
      </c>
      <c r="F12" s="158"/>
      <c r="G12" s="163" t="s">
        <v>552</v>
      </c>
    </row>
    <row r="13" spans="1:7">
      <c r="A13" s="158" t="s">
        <v>529</v>
      </c>
      <c r="B13" s="161" t="s">
        <v>530</v>
      </c>
      <c r="C13" s="158" t="s">
        <v>531</v>
      </c>
      <c r="D13" s="332" t="s">
        <v>561</v>
      </c>
      <c r="E13" s="333"/>
      <c r="F13" s="333"/>
      <c r="G13" s="333"/>
    </row>
    <row r="14" spans="1:7">
      <c r="A14" s="158" t="s">
        <v>514</v>
      </c>
      <c r="B14" s="30">
        <v>20</v>
      </c>
      <c r="C14" s="158" t="s">
        <v>525</v>
      </c>
      <c r="D14" s="158" t="s">
        <v>562</v>
      </c>
      <c r="E14" s="158"/>
      <c r="F14" s="158"/>
      <c r="G14" s="158"/>
    </row>
    <row r="15" spans="1:7">
      <c r="A15" s="158" t="s">
        <v>523</v>
      </c>
      <c r="B15" s="30">
        <v>10</v>
      </c>
      <c r="C15" s="158" t="s">
        <v>524</v>
      </c>
      <c r="D15" s="158" t="s">
        <v>564</v>
      </c>
      <c r="E15" s="158"/>
      <c r="F15" s="158"/>
      <c r="G15" s="158"/>
    </row>
    <row r="16" spans="1:7">
      <c r="A16" s="158" t="s">
        <v>526</v>
      </c>
      <c r="B16" s="30">
        <v>14</v>
      </c>
      <c r="C16" s="158" t="s">
        <v>527</v>
      </c>
      <c r="D16" s="158"/>
      <c r="E16" s="158"/>
      <c r="F16" s="158"/>
      <c r="G16" s="158"/>
    </row>
    <row r="17" spans="1:7">
      <c r="A17" s="158" t="s">
        <v>532</v>
      </c>
      <c r="B17" s="30">
        <f>B5*B14/100*B15*B16</f>
        <v>140000</v>
      </c>
      <c r="C17" s="158" t="s">
        <v>528</v>
      </c>
      <c r="D17" s="158"/>
      <c r="E17" s="158"/>
      <c r="F17" s="158"/>
      <c r="G17" s="158"/>
    </row>
    <row r="18" spans="1:7" ht="34">
      <c r="A18" s="158" t="s">
        <v>565</v>
      </c>
      <c r="B18" s="166" t="s">
        <v>6</v>
      </c>
      <c r="C18" s="165" t="s">
        <v>559</v>
      </c>
      <c r="D18" s="158"/>
      <c r="E18" s="158"/>
      <c r="F18" s="158"/>
      <c r="G18" s="158"/>
    </row>
    <row r="19" spans="1:7">
      <c r="A19" s="158" t="s">
        <v>538</v>
      </c>
      <c r="B19" s="30">
        <f>B5*B8*15/100</f>
        <v>1875000</v>
      </c>
      <c r="C19" s="158" t="s">
        <v>535</v>
      </c>
      <c r="D19" s="158"/>
      <c r="E19" s="158"/>
      <c r="F19" s="158"/>
      <c r="G19" s="158"/>
    </row>
    <row r="20" spans="1:7">
      <c r="A20" s="158" t="s">
        <v>539</v>
      </c>
      <c r="B20" s="30" t="s">
        <v>536</v>
      </c>
      <c r="C20" s="158" t="s">
        <v>537</v>
      </c>
      <c r="D20" s="158"/>
      <c r="E20" s="158"/>
      <c r="F20" s="158"/>
      <c r="G20" s="158"/>
    </row>
    <row r="21" spans="1:7">
      <c r="A21" s="162" t="s">
        <v>567</v>
      </c>
      <c r="C21" s="162" t="s">
        <v>568</v>
      </c>
    </row>
  </sheetData>
  <mergeCells count="5">
    <mergeCell ref="A1:G1"/>
    <mergeCell ref="A2:C2"/>
    <mergeCell ref="D2:G2"/>
    <mergeCell ref="E11:F11"/>
    <mergeCell ref="D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MFI</vt:lpstr>
      <vt:lpstr>Consumer acquisition</vt:lpstr>
      <vt:lpstr>Merchant Acquisition</vt:lpstr>
      <vt:lpstr>Support</vt:lpstr>
      <vt:lpstr>Sakal Financials</vt:lpstr>
      <vt:lpstr>Financial Summary for Deck</vt:lpstr>
      <vt:lpstr>Consumer count per city</vt:lpstr>
      <vt:lpstr>Consumer by City</vt:lpstr>
      <vt:lpstr>Updated sales</vt:lpstr>
      <vt:lpstr>Financial Summary Deck - 10 oct</vt:lpstr>
      <vt:lpstr>Sakal Financials 10 oct</vt:lpstr>
      <vt:lpstr>Financial Summary Deck - 17 oct</vt:lpstr>
      <vt:lpstr>P&amp;Cs</vt:lpstr>
      <vt:lpstr>Clique Expenses</vt:lpstr>
      <vt:lpstr>YK Meeting Numbers</vt:lpstr>
      <vt:lpstr>Sheet8</vt:lpstr>
      <vt:lpstr>Revenue Sharing Model 36%</vt:lpstr>
      <vt:lpstr>Godhuli</vt:lpstr>
      <vt:lpstr>Revenue Sharing Model 24%</vt:lpstr>
      <vt:lpstr>Independent Operation Model 36%</vt:lpstr>
      <vt:lpstr>Independent Operation Model 24%</vt:lpstr>
      <vt:lpstr>MoM Financials 36%</vt:lpstr>
      <vt:lpstr>MoM Financials 24%</vt:lpstr>
      <vt:lpstr>Financials without revennue 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2021-09-11T12:12:59Z</dcterms:created>
  <dcterms:modified xsi:type="dcterms:W3CDTF">2022-03-15T16:13:04Z</dcterms:modified>
</cp:coreProperties>
</file>