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oozeShare\"/>
    </mc:Choice>
  </mc:AlternateContent>
  <bookViews>
    <workbookView xWindow="0" yWindow="0" windowWidth="20490" windowHeight="7755" firstSheet="1" activeTab="4"/>
  </bookViews>
  <sheets>
    <sheet name="Earning - By month &amp; phases" sheetId="6" r:id="rId1"/>
    <sheet name="Expenses - Final" sheetId="10" r:id="rId2"/>
    <sheet name="Points - 29 Jun New" sheetId="13" r:id="rId3"/>
    <sheet name="Points - 25 Jun" sheetId="12" r:id="rId4"/>
    <sheet name="Budgeting" sheetId="5" r:id="rId5"/>
    <sheet name="Deck Old" sheetId="11" r:id="rId6"/>
    <sheet name="Activity list" sheetId="4" r:id="rId7"/>
    <sheet name="Open Queries" sheetId="1" r:id="rId8"/>
    <sheet name="Legal Age Of Buying Alcohol" sheetId="2" r:id="rId9"/>
    <sheet name="Expenses" sheetId="7" r:id="rId10"/>
    <sheet name="Budgeting Copy" sheetId="9"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5" l="1"/>
  <c r="F42" i="5"/>
  <c r="E42" i="5"/>
  <c r="F41" i="5"/>
  <c r="F38" i="5"/>
  <c r="F39" i="5"/>
  <c r="F40" i="5"/>
  <c r="E41" i="5"/>
  <c r="E40" i="5"/>
  <c r="E39" i="5"/>
  <c r="E38" i="5"/>
  <c r="F18" i="13" l="1"/>
  <c r="F17" i="13"/>
  <c r="F16" i="13"/>
  <c r="F15" i="13"/>
  <c r="F14" i="13"/>
  <c r="C25" i="6"/>
  <c r="C16" i="6"/>
  <c r="C17" i="6" s="1"/>
  <c r="G30" i="12" l="1"/>
  <c r="G29" i="12"/>
  <c r="G28" i="12"/>
  <c r="G27" i="12"/>
  <c r="G26" i="12"/>
  <c r="G24" i="12"/>
  <c r="G23" i="12"/>
  <c r="G22" i="12"/>
  <c r="G21" i="12"/>
  <c r="G20" i="12"/>
  <c r="G18" i="12"/>
  <c r="G17" i="12"/>
  <c r="G16" i="12"/>
  <c r="G15" i="12"/>
  <c r="G14" i="12"/>
  <c r="E33" i="10" l="1"/>
  <c r="E37" i="10" s="1"/>
  <c r="F37" i="10" s="1"/>
  <c r="D9" i="10"/>
  <c r="F30" i="10"/>
  <c r="D13" i="11"/>
  <c r="I10" i="11"/>
  <c r="D3" i="11"/>
  <c r="D4" i="11" s="1"/>
  <c r="E4" i="11" s="1"/>
  <c r="C3" i="11"/>
  <c r="C5" i="11" s="1"/>
  <c r="E40" i="10"/>
  <c r="D39" i="10"/>
  <c r="E39" i="10" s="1"/>
  <c r="E36" i="10"/>
  <c r="E35" i="10"/>
  <c r="E34" i="10"/>
  <c r="F29" i="10"/>
  <c r="E28" i="10"/>
  <c r="E27" i="10"/>
  <c r="E26" i="10"/>
  <c r="E25" i="10"/>
  <c r="E24" i="10"/>
  <c r="E23" i="10"/>
  <c r="E22" i="10"/>
  <c r="E21" i="10"/>
  <c r="E20" i="10"/>
  <c r="E19" i="10"/>
  <c r="E18" i="10"/>
  <c r="E17" i="10"/>
  <c r="E16" i="10"/>
  <c r="E15" i="10"/>
  <c r="E14" i="10"/>
  <c r="E29" i="10" s="1"/>
  <c r="E30" i="10" s="1"/>
  <c r="F10" i="10"/>
  <c r="F9" i="10"/>
  <c r="F8" i="10"/>
  <c r="F4" i="10"/>
  <c r="F3" i="10"/>
  <c r="G36" i="10" l="1"/>
  <c r="F11" i="10"/>
  <c r="C4" i="11"/>
  <c r="C6" i="11" s="1"/>
  <c r="D5" i="11"/>
  <c r="G37" i="10"/>
  <c r="F25" i="5"/>
  <c r="E24" i="5"/>
  <c r="D24" i="5"/>
  <c r="E25" i="5"/>
  <c r="D25" i="5"/>
  <c r="C25" i="5"/>
  <c r="C29" i="5"/>
  <c r="C11" i="9"/>
  <c r="C10" i="9"/>
  <c r="C9" i="9"/>
  <c r="C34" i="9"/>
  <c r="C20" i="9"/>
  <c r="C21" i="9" s="1"/>
  <c r="C15" i="9"/>
  <c r="C16" i="9" s="1"/>
  <c r="C13" i="9"/>
  <c r="C8" i="9"/>
  <c r="F1" i="9"/>
  <c r="H1" i="9" s="1"/>
  <c r="D49" i="7"/>
  <c r="D48" i="7"/>
  <c r="D47" i="7"/>
  <c r="D46" i="7"/>
  <c r="D45" i="7"/>
  <c r="D44" i="7"/>
  <c r="D43" i="7"/>
  <c r="B41" i="7"/>
  <c r="C14" i="11" l="1"/>
  <c r="C16" i="11" s="1"/>
  <c r="C17" i="11" s="1"/>
  <c r="C8" i="11"/>
  <c r="C9" i="11" s="1"/>
  <c r="C10" i="11"/>
  <c r="C12" i="11" s="1"/>
  <c r="C13" i="11" s="1"/>
  <c r="E5" i="11"/>
  <c r="D6" i="11"/>
  <c r="C22" i="9"/>
  <c r="C24" i="9" s="1"/>
  <c r="C44" i="9"/>
  <c r="D44" i="9" s="1"/>
  <c r="C3" i="6"/>
  <c r="C5" i="6" s="1"/>
  <c r="C20" i="5"/>
  <c r="C21" i="5" s="1"/>
  <c r="C13" i="5"/>
  <c r="C15" i="5" s="1"/>
  <c r="C16" i="5" s="1"/>
  <c r="C8" i="5"/>
  <c r="G36" i="4"/>
  <c r="D24" i="4"/>
  <c r="D30" i="4" s="1"/>
  <c r="D32" i="4" s="1"/>
  <c r="G21" i="4"/>
  <c r="G22" i="4" s="1"/>
  <c r="G17" i="4"/>
  <c r="G18" i="4" s="1"/>
  <c r="F15" i="4"/>
  <c r="G10" i="4"/>
  <c r="G11" i="4" s="1"/>
  <c r="D8" i="11" l="1"/>
  <c r="D9" i="11" s="1"/>
  <c r="E6" i="11"/>
  <c r="D10" i="11"/>
  <c r="C18" i="11"/>
  <c r="E17" i="11"/>
  <c r="C10" i="5"/>
  <c r="C9" i="5"/>
  <c r="C11" i="5"/>
  <c r="C28" i="9"/>
  <c r="C30" i="9" s="1"/>
  <c r="C25" i="9"/>
  <c r="C4" i="6"/>
  <c r="C6" i="6" s="1"/>
  <c r="G23" i="4"/>
  <c r="G24" i="4" s="1"/>
  <c r="G12" i="4"/>
  <c r="G13" i="4"/>
  <c r="I13" i="4" s="1"/>
  <c r="C19" i="11" l="1"/>
  <c r="C20" i="11"/>
  <c r="C21" i="11" s="1"/>
  <c r="C23" i="11" s="1"/>
  <c r="E9" i="11"/>
  <c r="E13" i="11"/>
  <c r="C18" i="6"/>
  <c r="C12" i="6"/>
  <c r="C14" i="6" s="1"/>
  <c r="C8" i="6"/>
  <c r="C9" i="6" s="1"/>
  <c r="H24" i="4"/>
  <c r="G26" i="4"/>
  <c r="G30" i="4"/>
  <c r="G32" i="4" s="1"/>
  <c r="C22" i="5"/>
  <c r="C10" i="6" l="1"/>
  <c r="C11" i="6" s="1"/>
  <c r="C20" i="6"/>
  <c r="C21" i="6" s="1"/>
  <c r="C24" i="5"/>
  <c r="C27" i="5" s="1"/>
  <c r="C22" i="6" l="1"/>
  <c r="C23" i="6" s="1"/>
  <c r="C32" i="5"/>
  <c r="C34" i="5" s="1"/>
  <c r="C28" i="5"/>
  <c r="C33" i="6" l="1"/>
  <c r="C29" i="6"/>
  <c r="D25" i="6"/>
  <c r="E25" i="6" s="1"/>
  <c r="C28" i="6"/>
  <c r="D28" i="6" s="1"/>
  <c r="E28" i="6" s="1"/>
  <c r="C24" i="6"/>
  <c r="C27" i="6"/>
  <c r="D27" i="6" s="1"/>
  <c r="E27" i="6" s="1"/>
  <c r="C26" i="6"/>
  <c r="D26" i="6" s="1"/>
  <c r="E26" i="6" s="1"/>
  <c r="C32" i="6"/>
  <c r="C31" i="6"/>
  <c r="C30" i="6"/>
  <c r="D30" i="6"/>
  <c r="D29" i="6"/>
  <c r="E29" i="6" s="1"/>
  <c r="D31" i="6" l="1"/>
  <c r="D32" i="6" s="1"/>
  <c r="D33" i="6"/>
  <c r="E30" i="6"/>
  <c r="E31" i="6" l="1"/>
  <c r="E32" i="6" s="1"/>
</calcChain>
</file>

<file path=xl/sharedStrings.xml><?xml version="1.0" encoding="utf-8"?>
<sst xmlns="http://schemas.openxmlformats.org/spreadsheetml/2006/main" count="773" uniqueCount="469">
  <si>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</si>
  <si>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</si>
  <si>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</si>
  <si>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</si>
  <si>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</si>
  <si>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</si>
  <si>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</si>
  <si>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</si>
  <si>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</si>
  <si>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</si>
  <si>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</si>
  <si>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</si>
  <si>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</si>
  <si>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</si>
  <si>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</si>
  <si>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</si>
  <si>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</si>
  <si>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</si>
  <si>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</si>
  <si>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</si>
  <si>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</si>
  <si>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</si>
  <si>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</si>
  <si>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</si>
  <si>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</si>
  <si>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</si>
  <si>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</si>
  <si>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</si>
  <si>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</si>
  <si>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</si>
  <si>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</si>
  <si>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</si>
  <si>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</si>
  <si>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</si>
  <si>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</si>
  <si>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</si>
  <si>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</si>
  <si>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</si>
  <si>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</si>
  <si>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</si>
  <si>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</si>
  <si>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</si>
  <si>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</si>
  <si>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</si>
  <si>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</si>
  <si>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</si>
  <si>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</si>
  <si>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</si>
  <si>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</si>
  <si>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</si>
  <si>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</si>
  <si>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</si>
  <si>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</si>
  <si>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</si>
  <si>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</si>
  <si>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</si>
  <si>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</si>
  <si>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</si>
  <si>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</si>
  <si>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</si>
  <si>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</si>
  <si>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</si>
  <si>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</si>
  <si>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</si>
  <si>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</si>
  <si>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</si>
  <si>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</si>
  <si>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</si>
  <si>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</si>
  <si>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</si>
  <si>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</si>
  <si>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</si>
  <si>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</si>
  <si>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</si>
  <si>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</si>
  <si>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</si>
  <si>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</si>
  <si>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</si>
  <si>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</si>
  <si>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</si>
  <si>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</si>
  <si>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</si>
  <si>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</si>
  <si>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</si>
  <si>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</si>
  <si>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</si>
  <si>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</si>
  <si>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</si>
  <si>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</si>
  <si>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</si>
  <si>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</si>
  <si>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</si>
  <si>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</si>
  <si>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</si>
  <si>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</si>
  <si>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</si>
  <si>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</si>
  <si>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</si>
  <si>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</si>
  <si>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</si>
  <si>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</si>
  <si>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</si>
  <si>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</si>
  <si>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</si>
  <si>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</si>
  <si>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</si>
  <si>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</si>
  <si>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</si>
  <si>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</si>
  <si>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</si>
  <si>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</si>
  <si>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</si>
  <si>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</si>
  <si>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</si>
  <si>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</si>
  <si>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</si>
  <si>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</si>
  <si>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</si>
  <si>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</si>
  <si>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</si>
  <si>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</si>
  <si>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</si>
  <si>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</si>
  <si>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</si>
  <si>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</si>
  <si>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</si>
  <si>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</si>
  <si>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</si>
  <si>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</si>
  <si>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</si>
  <si>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</si>
  <si>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</si>
  <si>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</si>
  <si>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</si>
  <si>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</si>
  <si>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</si>
  <si>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</si>
  <si>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</si>
  <si>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</si>
  <si>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</si>
  <si>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</si>
  <si>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</si>
  <si>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</si>
  <si>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</si>
  <si>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</si>
  <si>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</si>
  <si>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</si>
  <si>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</si>
  <si>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</si>
  <si>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</si>
  <si>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</si>
  <si>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</si>
  <si>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</si>
  <si>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</si>
  <si>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</si>
  <si>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</si>
  <si>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</si>
  <si>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</si>
  <si>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</si>
  <si>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</si>
  <si>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</si>
  <si>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</si>
  <si>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</si>
  <si>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</si>
  <si>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</si>
  <si>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</si>
  <si>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</si>
  <si>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</si>
  <si>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</si>
  <si>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</si>
  <si>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</si>
  <si>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Mumbai</t>
  </si>
  <si>
    <t>Bangalore</t>
  </si>
  <si>
    <t>Delhi/NCR</t>
  </si>
  <si>
    <t>Chennai</t>
  </si>
  <si>
    <t>Kolkata?</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</si>
  <si>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</si>
  <si>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</si>
  <si>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</si>
  <si>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</si>
  <si>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</si>
  <si>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</si>
  <si>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</si>
  <si>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</si>
  <si>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</si>
  <si>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</si>
  <si>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</si>
  <si>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</si>
  <si>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</si>
  <si>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</si>
  <si>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</si>
  <si>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</si>
  <si>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</si>
  <si>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</si>
  <si>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</si>
  <si>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</si>
  <si>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</si>
  <si>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</si>
  <si>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</si>
  <si>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</si>
  <si>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</si>
  <si>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</si>
  <si>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</si>
  <si>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</si>
  <si>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</si>
  <si>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</si>
  <si>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</si>
  <si>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</si>
  <si>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</si>
  <si>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</si>
  <si>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</si>
  <si>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</si>
  <si>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</si>
  <si>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</si>
  <si>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</si>
  <si>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</si>
  <si>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</si>
  <si>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</si>
  <si>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</si>
  <si>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</si>
  <si>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</si>
  <si>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</si>
  <si>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</si>
  <si>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</si>
  <si>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</si>
  <si>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</si>
  <si>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</si>
  <si>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</si>
  <si>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</si>
  <si>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</si>
  <si>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</si>
  <si>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</si>
  <si>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</si>
  <si>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</si>
  <si>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Drink Sharing - 25% of Regular Customers</t>
  </si>
  <si>
    <t>Drink Sharing - 10% of Remaining Customers</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</si>
  <si>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</si>
  <si>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</si>
  <si>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</si>
  <si>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</si>
  <si>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</si>
  <si>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</si>
  <si>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</si>
  <si>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Costing &amp; Revenue</t>
  </si>
  <si>
    <t>Average Customers per FL3</t>
  </si>
  <si>
    <t>Assuming 3 years old business</t>
  </si>
  <si>
    <t>Market trend</t>
  </si>
  <si>
    <t>Retained customers</t>
  </si>
  <si>
    <t>Booze Share Target</t>
  </si>
  <si>
    <t xml:space="preserve">Drink Sharing
Earning = 4% sale value
</t>
  </si>
  <si>
    <t>Minimum target for FL4 Customers Per FL3</t>
  </si>
  <si>
    <t>Details available if needed</t>
  </si>
  <si>
    <t>Drink Offering
Earning = 37% sale value
Customers = 5% of total members</t>
  </si>
  <si>
    <t>Total customer target per FL3 - 5% members</t>
  </si>
  <si>
    <t>Booze Share Revenue (37%)</t>
  </si>
  <si>
    <t>Delivery
Earning = 5% sale value
Customers= 10% of total members</t>
  </si>
  <si>
    <t>Total customer target per FL3 - 10% members</t>
  </si>
  <si>
    <t>Booze Share Revenue (5%)</t>
  </si>
  <si>
    <t>Total Earning Per FL3 Per Month</t>
  </si>
  <si>
    <t>Expense of about ₹111 per member per month</t>
  </si>
  <si>
    <t>Phase 1 Target - First 6 months</t>
  </si>
  <si>
    <t>50 FL3 Per Location 
i.e. 61250 FL4 Customers at end of phase</t>
  </si>
  <si>
    <t>Next 5 Phases
6 Months Each Phase</t>
  </si>
  <si>
    <t>5 Per Month i.e. 30 FL3 Per Phase: Total 200
2.45L FL4 Customers at end of phase 6 (3 years)</t>
  </si>
  <si>
    <t>Growth Plan For Simultaneous Launch in 10 Cities</t>
  </si>
  <si>
    <t>Launch Target - 10 locations</t>
  </si>
  <si>
    <r>
      <t xml:space="preserve">Earning per month at the end of </t>
    </r>
    <r>
      <rPr>
        <b/>
        <sz val="11"/>
        <color theme="1"/>
        <rFont val="Calibri"/>
        <family val="2"/>
        <scheme val="minor"/>
      </rPr>
      <t>Phase 6 across 10 locations</t>
    </r>
  </si>
  <si>
    <t>Parallel launch at 10 locations
24.5L FL4 Customers</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</si>
  <si>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</si>
  <si>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</si>
  <si>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</si>
  <si>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</si>
  <si>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</si>
  <si>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</si>
  <si>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</si>
  <si>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</si>
  <si>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</si>
  <si>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</si>
  <si>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</si>
  <si>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</si>
  <si>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</si>
  <si>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</si>
  <si>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</si>
  <si>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</si>
  <si>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</si>
  <si>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</si>
  <si>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</si>
  <si>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</si>
  <si>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</si>
  <si>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</si>
  <si>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</si>
  <si>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</si>
  <si>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</si>
  <si>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</si>
  <si>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</si>
  <si>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</si>
  <si>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</si>
  <si>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</si>
  <si>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</si>
  <si>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</si>
  <si>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</si>
  <si>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</si>
  <si>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</si>
  <si>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</si>
  <si>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</si>
  <si>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</si>
  <si>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</si>
  <si>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</si>
  <si>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</si>
  <si>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</si>
  <si>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</si>
  <si>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</si>
  <si>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One time</t>
  </si>
  <si>
    <t>Maintenance of office, equipment, consumables, supplies, printer, fax, headset, CC software</t>
  </si>
  <si>
    <t>Email, Microsoft suite, other softwares</t>
  </si>
  <si>
    <t>Public Utilities such as telephone service, Internet connectivity, mobile cost</t>
  </si>
  <si>
    <t>Dev tools - CRM?</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</si>
  <si>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</si>
  <si>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</si>
  <si>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</si>
  <si>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</si>
  <si>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</si>
  <si>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</si>
  <si>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</si>
  <si>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</si>
  <si>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</si>
  <si>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</si>
  <si>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</si>
  <si>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</si>
  <si>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</si>
  <si>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</si>
  <si>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Launch cost</t>
  </si>
  <si>
    <t>Income tax 30%</t>
  </si>
  <si>
    <t>Business Development Manager - Contract signing</t>
  </si>
  <si>
    <t>F</t>
  </si>
  <si>
    <t>G</t>
  </si>
  <si>
    <t>H</t>
  </si>
  <si>
    <t>I</t>
  </si>
  <si>
    <t>?</t>
  </si>
  <si>
    <t>1 LOC</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</si>
  <si>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</si>
  <si>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</si>
  <si>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</si>
  <si>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</si>
  <si>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</si>
  <si>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</si>
  <si>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</si>
  <si>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</si>
  <si>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</si>
  <si>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</si>
  <si>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</si>
  <si>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</si>
  <si>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</si>
  <si>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</si>
  <si>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</si>
  <si>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</si>
  <si>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</si>
  <si>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</si>
  <si>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</si>
  <si>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Operations in 10 Locations</t>
  </si>
  <si>
    <t>Customer care employee- Phone, email</t>
  </si>
  <si>
    <t>Maintenance 20% of development - Yearly</t>
  </si>
  <si>
    <t>1 month target 10 FL3 per location</t>
  </si>
  <si>
    <t>100 FL3 over 10 location</t>
  </si>
  <si>
    <t>Booze Share Revenue (7%)</t>
  </si>
  <si>
    <t>Earning per month at the end of first month</t>
  </si>
  <si>
    <t>Phase 1 Target - First month</t>
  </si>
  <si>
    <t>10 FL3 Per Location 
i.e. 12500 FL4 Customers at end of phase</t>
  </si>
  <si>
    <r>
      <t xml:space="preserve">Earning per month at the end of 6 months i.e. </t>
    </r>
    <r>
      <rPr>
        <b/>
        <sz val="11"/>
        <color theme="1"/>
        <rFont val="Calibri"/>
        <family val="2"/>
        <scheme val="minor"/>
      </rPr>
      <t>Phase 1</t>
    </r>
  </si>
  <si>
    <r>
      <t xml:space="preserve">Earning per month at the end of 3 years i.e. </t>
    </r>
    <r>
      <rPr>
        <b/>
        <sz val="11"/>
        <color theme="1"/>
        <rFont val="Calibri"/>
        <family val="2"/>
        <scheme val="minor"/>
      </rPr>
      <t>Phase 6</t>
    </r>
  </si>
  <si>
    <t>Phase 1 Target - 1st month</t>
  </si>
  <si>
    <t>Phase 1 Target - 2nd month</t>
  </si>
  <si>
    <t>Phase 1 Target - 3rd month</t>
  </si>
  <si>
    <t>Phase 1 Target - 4th month</t>
  </si>
  <si>
    <t>Phase 1 Target - 5th month</t>
  </si>
  <si>
    <t>N/A</t>
  </si>
  <si>
    <t>Operations total</t>
  </si>
  <si>
    <r>
      <t xml:space="preserve">Earning per month at the end of 1 year i.e. </t>
    </r>
    <r>
      <rPr>
        <b/>
        <sz val="11"/>
        <color theme="1"/>
        <rFont val="Calibri"/>
        <family val="2"/>
        <scheme val="minor"/>
      </rPr>
      <t>Phase 2</t>
    </r>
  </si>
  <si>
    <r>
      <t xml:space="preserve">Earning per month at the end of 2 years i.e. </t>
    </r>
    <r>
      <rPr>
        <b/>
        <sz val="11"/>
        <color theme="1"/>
        <rFont val="Calibri"/>
        <family val="2"/>
        <scheme val="minor"/>
      </rPr>
      <t>Phase 4</t>
    </r>
  </si>
  <si>
    <t>1 FL3 Only</t>
  </si>
  <si>
    <t>Earning per month at the end of 5th month</t>
  </si>
  <si>
    <t>Earning per month at the end of 4th month</t>
  </si>
  <si>
    <t>Earning per month at the end of 3rd month</t>
  </si>
  <si>
    <t>Earning per month at the end of 2nd month</t>
  </si>
  <si>
    <t>Earning per month at the end of 1st month</t>
  </si>
  <si>
    <t>After 2nd Phase</t>
  </si>
  <si>
    <t>After 4th Phase</t>
  </si>
  <si>
    <t>After 6th Phase</t>
  </si>
  <si>
    <t>Offer FL4 = 7%</t>
  </si>
  <si>
    <t>Module</t>
  </si>
  <si>
    <t>Points Value</t>
  </si>
  <si>
    <t>Transfer cost</t>
  </si>
  <si>
    <t>Purchase</t>
  </si>
  <si>
    <t>Validity (days)</t>
  </si>
  <si>
    <t>10000+</t>
  </si>
  <si>
    <t>Depiction</t>
  </si>
  <si>
    <t>Pint/Glass of wine</t>
  </si>
  <si>
    <t>Drinks for a couple</t>
  </si>
  <si>
    <t>3 wine glasses</t>
  </si>
  <si>
    <t>Wine/Champagne bottle</t>
  </si>
  <si>
    <t>Whiskey bottle</t>
  </si>
  <si>
    <t>Family</t>
  </si>
  <si>
    <t>Transfer</t>
  </si>
  <si>
    <t>Gifting</t>
  </si>
  <si>
    <t>New validity</t>
  </si>
  <si>
    <t>Updated points</t>
  </si>
  <si>
    <t>9000+</t>
  </si>
  <si>
    <t>Expired points to be devalued 10% every 14 days</t>
  </si>
  <si>
    <t>8100+</t>
  </si>
  <si>
    <t>Alok
1-Jul</t>
  </si>
  <si>
    <t>Rajesh
7-Jul</t>
  </si>
  <si>
    <t>Aditya
15-Jul</t>
  </si>
  <si>
    <t>`</t>
  </si>
  <si>
    <t>Cannot transfer less than 300 Rs
Transfer values to remain same as purchase value, to maintain validity standard.
In case of mixed validity points, use maximum available validity while transfering.</t>
  </si>
  <si>
    <t>Offer</t>
  </si>
  <si>
    <t>Offer - Share</t>
  </si>
  <si>
    <t>8000+</t>
  </si>
  <si>
    <t>Further transfers to follow purchase cycle
Offer for FL3 needs to be tracked.</t>
  </si>
  <si>
    <t>Cosmos:
Wallet: 1000 
Bill 1000
Paid 900
Cashback Points 20
Other:
Wallet: 1000 
Bill 1000
Paid 900</t>
  </si>
  <si>
    <t xml:space="preserve"> </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</si>
  <si>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</si>
  <si>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</si>
  <si>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</si>
  <si>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</si>
  <si>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</si>
  <si>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</si>
  <si>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</si>
  <si>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</si>
  <si>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</si>
  <si>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</si>
  <si>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</si>
  <si>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</si>
  <si>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</si>
  <si>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</si>
  <si>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</si>
  <si>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</si>
  <si>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</si>
  <si>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</si>
  <si>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</si>
  <si>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</si>
  <si>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</si>
  <si>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10 FL3 Per Location; 100 FL3 All Location 
10,000 FL4 Per City; 1,00,000 FL4 All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</si>
  <si>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</si>
  <si>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</si>
  <si>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</si>
  <si>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</si>
  <si>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60 FL3 Per Location; 600 FL3 All Location 
60,000 FL4 Per City; 6,00,000 FL4 All Cities</t>
  </si>
  <si>
    <t>120 FL3 Per Location; 1200 FL3 All Location 
1,20,000 FL4 Per City; 12,00,000 FL4 All Cities</t>
  </si>
  <si>
    <t>240 FL3 Per Location; 2400 FL3 All Location 
2,40,000 FL4 Per City; 24,00,000 FL4 All Cities</t>
  </si>
  <si>
    <t>360 FL3 Per Location; 3600 FL3 All Location 
3,60,000 FL4 Per City; 36,00,000 FL4 All Cities</t>
  </si>
  <si>
    <t>Earning per month at the end of 3 years i.e. Phase 6</t>
  </si>
  <si>
    <t>FreeSpirit Target</t>
  </si>
  <si>
    <t>Conservative Figures</t>
  </si>
  <si>
    <t>Received points to be redeemed at ANY FL3 location.</t>
  </si>
  <si>
    <t>Average Earning - ₹150 per transaction</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</si>
  <si>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 Cosmos</t>
    </r>
    <r>
      <rPr>
        <sz val="11"/>
        <color theme="1"/>
        <rFont val="Calibri"/>
        <family val="2"/>
        <scheme val="minor"/>
      </rPr>
      <t xml:space="preserve">
6% - BS
12% - FL4: (10% for non-Cosmos)
</t>
    </r>
    <r>
      <rPr>
        <b/>
        <sz val="11"/>
        <color theme="1"/>
        <rFont val="Calibri"/>
        <family val="2"/>
        <scheme val="minor"/>
      </rPr>
      <t>Redemption(Self/Share): non-Cosmos</t>
    </r>
    <r>
      <rPr>
        <sz val="11"/>
        <color theme="1"/>
        <rFont val="Calibri"/>
        <family val="2"/>
        <scheme val="minor"/>
      </rPr>
      <t xml:space="preserve">
8% - BS
10% - FL4: Cashback points Cosmos
</t>
    </r>
    <r>
      <rPr>
        <b/>
        <sz val="11"/>
        <color theme="1"/>
        <rFont val="Calibri"/>
        <family val="2"/>
        <scheme val="minor"/>
      </rPr>
      <t>Offer (200% cost):</t>
    </r>
    <r>
      <rPr>
        <sz val="11"/>
        <color theme="1"/>
        <rFont val="Calibri"/>
        <family val="2"/>
        <scheme val="minor"/>
      </rPr>
      <t xml:space="preserve">
1st 100% : Same as above, but no cashback to FL4 so BS gets extra 10%
2nd 100%: 67% - BS, 33% - FL3
Total: BS: 74%, FL3: 55% of original value 250
i.e. 37% of Total sale value of 500
</t>
    </r>
    <r>
      <rPr>
        <b/>
        <u/>
        <sz val="11"/>
        <color theme="1"/>
        <rFont val="Calibri"/>
        <family val="2"/>
        <scheme val="minor"/>
      </rPr>
      <t xml:space="preserve">Delivery FL3 needs to accept BS as well 
</t>
    </r>
    <r>
      <rPr>
        <sz val="11"/>
        <color theme="1"/>
        <rFont val="Calibri"/>
        <family val="2"/>
        <scheme val="minor"/>
      </rPr>
      <t>6%  to BS
FL4: 5% (6%for Cosmos)</t>
    </r>
  </si>
  <si>
    <t>5000+</t>
  </si>
  <si>
    <t>No 10% charge</t>
  </si>
  <si>
    <t>After expiry automatically change reduce point balance by 10%</t>
  </si>
  <si>
    <t>Receiver points</t>
  </si>
  <si>
    <t>Receiver validity</t>
  </si>
  <si>
    <r>
      <t xml:space="preserve">Cannot transfer less than 300 Rs
Transfer values to remain same as purchase value, to maintain validity standard.
</t>
    </r>
    <r>
      <rPr>
        <strike/>
        <sz val="11"/>
        <color rgb="FFFF0000"/>
        <rFont val="Calibri"/>
        <family val="2"/>
        <scheme val="minor"/>
      </rPr>
      <t>In case of mixed validity points, use maximum available validity while transfering.</t>
    </r>
  </si>
  <si>
    <t>Customer</t>
  </si>
  <si>
    <t>Purchase value</t>
  </si>
  <si>
    <t>Sale vlue</t>
  </si>
  <si>
    <t>Delivey</t>
  </si>
  <si>
    <t>Share</t>
  </si>
  <si>
    <t>Self</t>
  </si>
  <si>
    <t>EMI - no FL4 dicount
6% share with cosmos. 12% for BS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</si>
</sst>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p&quot;* #,##0_-;\-&quot;Rp&quot;* #,##0_-;_-&quot;Rp&quot;* &quot;-&quot;_-;_-@_-"/>
    <numFmt numFmtId="164" formatCode="[$₹-439]#,##0"/>
    <numFmt numFmtId="165" formatCode="[&gt;=10000000]&quot;₹ &quot;##\,##\,##\,##0;[&gt;=100000]&quot;₹ &quot;\ ##\,##\,##0;&quot;₹ &quot;##,##0"/>
    <numFmt numFmtId="166" formatCode="[&gt;=10000000]&quot;₹ &quot;##\,##\,##\,##0;[&gt;=100000]&quot;₹ &quot;\ ##\,##\,##0;&quot;  &quot;##,##0"/>
  </numFmts>
  <fonts count="21" x14ac:knownFonts="1">
    <font>
      <sz val="11"/>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strike/>
      <sz val="11"/>
      <color rgb="FFFF0000"/>
      <name val="Calibri"/>
      <family val="2"/>
      <scheme val="minor"/>
    </font>
    <font>
      <u/>
      <sz val="11"/>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9" fontId="15" fillId="0" borderId="0" applyFont="0" applyFill="0" applyBorder="0" applyAlignment="0" applyProtection="0"/>
  </cellStyleXfs>
  <cellXfs count="20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1" fillId="2" borderId="1" xfId="0" applyFont="1" applyFill="1" applyBorder="1"/>
    <xf numFmtId="0" fontId="1" fillId="2" borderId="1" xfId="0" applyFont="1" applyFill="1" applyBorder="1" applyAlignment="1">
      <alignment horizontal="left"/>
    </xf>
    <xf numFmtId="0" fontId="1"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6"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1" fillId="4" borderId="1" xfId="0" applyFont="1" applyFill="1" applyBorder="1"/>
    <xf numFmtId="0" fontId="1" fillId="4" borderId="1" xfId="0" applyFont="1" applyFill="1" applyBorder="1" applyAlignment="1">
      <alignment wrapText="1"/>
    </xf>
    <xf numFmtId="42" fontId="0" fillId="0" borderId="0" xfId="0" applyNumberFormat="1"/>
    <xf numFmtId="42"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5" fontId="0" fillId="0" borderId="0" xfId="0" applyNumberForma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42" fontId="0" fillId="0" borderId="0" xfId="0" applyNumberFormat="1" applyAlignment="1">
      <alignment horizontal="left" vertical="top" wrapText="1"/>
    </xf>
    <xf numFmtId="164" fontId="0" fillId="0" borderId="0" xfId="0" applyNumberFormat="1" applyAlignment="1">
      <alignment horizontal="left" vertical="top" wrapText="1"/>
    </xf>
    <xf numFmtId="0" fontId="0" fillId="4" borderId="0" xfId="0" applyFill="1" applyAlignment="1">
      <alignment vertical="top" wrapText="1"/>
    </xf>
    <xf numFmtId="42" fontId="0" fillId="0" borderId="0" xfId="0" applyNumberFormat="1" applyAlignment="1">
      <alignment horizontal="left" vertical="top"/>
    </xf>
    <xf numFmtId="165" fontId="0" fillId="5" borderId="0" xfId="0" applyNumberFormat="1" applyFill="1" applyAlignment="1">
      <alignment horizontal="left" vertical="top" wrapText="1"/>
    </xf>
    <xf numFmtId="0" fontId="1" fillId="5" borderId="0" xfId="0" applyFont="1" applyFill="1" applyAlignment="1">
      <alignment horizontal="left" vertical="top" wrapText="1"/>
    </xf>
    <xf numFmtId="165" fontId="0" fillId="4" borderId="0" xfId="0" applyNumberFormat="1" applyFill="1" applyAlignment="1">
      <alignment horizontal="left" vertical="top"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166" fontId="0" fillId="0" borderId="1" xfId="0" applyNumberFormat="1" applyBorder="1" applyAlignment="1">
      <alignment horizontal="center" vertical="center" wrapText="1"/>
    </xf>
    <xf numFmtId="166" fontId="10" fillId="7" borderId="1" xfId="0" applyNumberFormat="1" applyFont="1" applyFill="1" applyBorder="1" applyAlignment="1">
      <alignment horizontal="center" vertical="center" wrapText="1"/>
    </xf>
    <xf numFmtId="165" fontId="0" fillId="0" borderId="1" xfId="0" applyNumberFormat="1" applyBorder="1" applyAlignment="1">
      <alignment horizontal="center" vertical="center" wrapText="1"/>
    </xf>
    <xf numFmtId="0" fontId="0" fillId="8" borderId="1" xfId="0" applyFill="1" applyBorder="1" applyAlignment="1">
      <alignment horizontal="left" vertical="center"/>
    </xf>
    <xf numFmtId="165" fontId="0" fillId="8" borderId="1" xfId="0" applyNumberFormat="1" applyFill="1" applyBorder="1" applyAlignment="1">
      <alignment horizontal="center" vertical="center" wrapText="1"/>
    </xf>
    <xf numFmtId="0" fontId="0" fillId="4" borderId="1" xfId="0" applyFill="1" applyBorder="1" applyAlignment="1">
      <alignment horizontal="left" vertical="center"/>
    </xf>
    <xf numFmtId="165" fontId="0" fillId="4" borderId="1" xfId="0" applyNumberFormat="1" applyFill="1" applyBorder="1" applyAlignment="1">
      <alignment horizontal="center" vertical="center" wrapText="1"/>
    </xf>
    <xf numFmtId="165" fontId="0" fillId="4" borderId="1" xfId="0" applyNumberFormat="1" applyFill="1" applyBorder="1" applyAlignment="1">
      <alignment horizontal="center" vertical="center"/>
    </xf>
    <xf numFmtId="0" fontId="1" fillId="0" borderId="1" xfId="0" applyFont="1" applyBorder="1" applyAlignment="1">
      <alignment horizontal="left" vertical="center"/>
    </xf>
    <xf numFmtId="0" fontId="0" fillId="4" borderId="1" xfId="0" applyFill="1" applyBorder="1" applyAlignment="1">
      <alignment horizontal="left" vertical="center" wrapText="1"/>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165" fontId="1" fillId="5" borderId="1" xfId="0" applyNumberFormat="1" applyFont="1" applyFill="1" applyBorder="1" applyAlignment="1">
      <alignment horizontal="center" vertical="center"/>
    </xf>
    <xf numFmtId="0" fontId="1" fillId="5" borderId="1" xfId="0" applyFont="1" applyFill="1" applyBorder="1" applyAlignment="1">
      <alignment horizontal="left" vertical="center" wrapText="1"/>
    </xf>
    <xf numFmtId="0" fontId="0" fillId="0" borderId="0" xfId="0" applyAlignment="1">
      <alignment horizontal="left" vertical="center"/>
    </xf>
    <xf numFmtId="165"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11" fillId="0" borderId="0" xfId="0" applyFont="1"/>
    <xf numFmtId="0" fontId="0" fillId="0" borderId="1" xfId="0" applyBorder="1" applyAlignment="1">
      <alignment horizontal="center"/>
    </xf>
    <xf numFmtId="165" fontId="0" fillId="0" borderId="1" xfId="0" applyNumberFormat="1" applyBorder="1" applyAlignment="1">
      <alignment horizontal="left" vertical="top" wrapText="1"/>
    </xf>
    <xf numFmtId="0" fontId="11"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5" fontId="0" fillId="0" borderId="1" xfId="0" applyNumberFormat="1" applyBorder="1" applyAlignment="1">
      <alignment horizontal="center" vertical="top" wrapText="1"/>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165" fontId="0" fillId="0" borderId="0" xfId="0" applyNumberFormat="1" applyAlignment="1">
      <alignment horizontal="left" vertical="top"/>
    </xf>
    <xf numFmtId="0" fontId="0" fillId="0" borderId="1" xfId="0" applyFill="1" applyBorder="1" applyAlignment="1">
      <alignment horizontal="left" vertical="top" wrapText="1"/>
    </xf>
    <xf numFmtId="165" fontId="0" fillId="0" borderId="1" xfId="0" applyNumberFormat="1" applyFill="1" applyBorder="1" applyAlignment="1">
      <alignment horizontal="left" vertical="top" wrapText="1"/>
    </xf>
    <xf numFmtId="0" fontId="6" fillId="0" borderId="1" xfId="0" applyFont="1" applyBorder="1"/>
    <xf numFmtId="165" fontId="0" fillId="10" borderId="0" xfId="0" applyNumberFormat="1" applyFill="1" applyAlignment="1">
      <alignment horizontal="left" vertical="top" wrapText="1"/>
    </xf>
    <xf numFmtId="165" fontId="0" fillId="10" borderId="1" xfId="0" applyNumberFormat="1" applyFill="1" applyBorder="1" applyAlignment="1">
      <alignment horizontal="left" vertical="top" wrapText="1"/>
    </xf>
    <xf numFmtId="0" fontId="0" fillId="0" borderId="9" xfId="0" applyBorder="1" applyAlignment="1">
      <alignment horizontal="center"/>
    </xf>
    <xf numFmtId="0" fontId="0" fillId="0" borderId="2" xfId="0" applyBorder="1" applyAlignment="1">
      <alignment horizontal="center"/>
    </xf>
    <xf numFmtId="165" fontId="0" fillId="0" borderId="2" xfId="0" applyNumberFormat="1" applyBorder="1" applyAlignment="1">
      <alignment horizontal="left" vertical="top" wrapText="1"/>
    </xf>
    <xf numFmtId="165" fontId="0" fillId="0" borderId="8" xfId="0" applyNumberFormat="1" applyBorder="1" applyAlignment="1">
      <alignment horizontal="left" vertical="top" wrapText="1"/>
    </xf>
    <xf numFmtId="0" fontId="0" fillId="0" borderId="2" xfId="0" applyFill="1" applyBorder="1" applyAlignment="1">
      <alignment horizontal="center"/>
    </xf>
    <xf numFmtId="0" fontId="13" fillId="0" borderId="2" xfId="0" applyFont="1" applyBorder="1"/>
    <xf numFmtId="0" fontId="9" fillId="0" borderId="1" xfId="0" applyFont="1" applyBorder="1" applyAlignment="1">
      <alignment horizontal="left" vertical="top" wrapText="1"/>
    </xf>
    <xf numFmtId="165" fontId="14" fillId="0" borderId="1" xfId="0" applyNumberFormat="1" applyFont="1" applyBorder="1" applyAlignment="1">
      <alignment horizontal="left" vertical="top" wrapText="1"/>
    </xf>
    <xf numFmtId="165" fontId="0" fillId="0" borderId="0" xfId="0" applyNumberFormat="1"/>
    <xf numFmtId="0" fontId="1" fillId="5" borderId="1" xfId="0" applyFont="1" applyFill="1" applyBorder="1" applyAlignment="1">
      <alignment horizontal="center"/>
    </xf>
    <xf numFmtId="9" fontId="0" fillId="8" borderId="1" xfId="1" applyFont="1" applyFill="1" applyBorder="1" applyAlignment="1">
      <alignment horizontal="center" vertical="center" wrapText="1"/>
    </xf>
    <xf numFmtId="0" fontId="1" fillId="5" borderId="1" xfId="0" applyFont="1" applyFill="1" applyBorder="1"/>
    <xf numFmtId="0" fontId="0" fillId="9" borderId="1" xfId="0" applyFill="1" applyBorder="1" applyAlignment="1">
      <alignment horizontal="center"/>
    </xf>
    <xf numFmtId="0" fontId="0" fillId="9" borderId="1" xfId="0" applyFill="1" applyBorder="1"/>
    <xf numFmtId="9" fontId="0" fillId="0" borderId="1" xfId="0" applyNumberFormat="1" applyBorder="1" applyAlignment="1">
      <alignment horizontal="center"/>
    </xf>
    <xf numFmtId="0" fontId="0" fillId="11" borderId="1" xfId="0" applyFill="1" applyBorder="1" applyAlignment="1">
      <alignment horizontal="center"/>
    </xf>
    <xf numFmtId="9" fontId="0" fillId="11" borderId="1" xfId="0" applyNumberFormat="1" applyFill="1" applyBorder="1" applyAlignment="1">
      <alignment horizontal="center"/>
    </xf>
    <xf numFmtId="0" fontId="0" fillId="11" borderId="1" xfId="0" applyFill="1" applyBorder="1"/>
    <xf numFmtId="0" fontId="16" fillId="0" borderId="1" xfId="0" applyFont="1" applyBorder="1" applyAlignment="1">
      <alignment horizontal="center"/>
    </xf>
    <xf numFmtId="0" fontId="16" fillId="11" borderId="1" xfId="0" applyFont="1" applyFill="1" applyBorder="1" applyAlignment="1">
      <alignment horizontal="center"/>
    </xf>
    <xf numFmtId="0" fontId="0" fillId="12" borderId="1" xfId="0" applyFill="1" applyBorder="1" applyAlignment="1">
      <alignment horizontal="center"/>
    </xf>
    <xf numFmtId="9" fontId="0" fillId="12" borderId="1" xfId="0" applyNumberFormat="1" applyFill="1" applyBorder="1" applyAlignment="1">
      <alignment horizontal="center"/>
    </xf>
    <xf numFmtId="0" fontId="16" fillId="12" borderId="1" xfId="0" applyFont="1" applyFill="1" applyBorder="1" applyAlignment="1">
      <alignment horizontal="center"/>
    </xf>
    <xf numFmtId="0" fontId="0" fillId="12" borderId="1" xfId="0" applyFill="1" applyBorder="1"/>
    <xf numFmtId="9" fontId="0" fillId="9" borderId="1" xfId="0" applyNumberFormat="1" applyFill="1" applyBorder="1" applyAlignment="1">
      <alignment horizontal="center"/>
    </xf>
    <xf numFmtId="0" fontId="16" fillId="9" borderId="1" xfId="0" applyFont="1" applyFill="1" applyBorder="1" applyAlignment="1">
      <alignment horizontal="center"/>
    </xf>
    <xf numFmtId="0" fontId="1" fillId="5" borderId="1" xfId="0" applyFont="1" applyFill="1" applyBorder="1" applyAlignment="1">
      <alignment horizontal="center"/>
    </xf>
    <xf numFmtId="0" fontId="0" fillId="13" borderId="1" xfId="0" applyFill="1" applyBorder="1" applyAlignment="1">
      <alignment horizontal="left" vertical="center"/>
    </xf>
    <xf numFmtId="166" fontId="1" fillId="13" borderId="15" xfId="0" applyNumberFormat="1" applyFont="1" applyFill="1" applyBorder="1" applyAlignment="1">
      <alignment horizontal="center" vertical="center" wrapText="1"/>
    </xf>
    <xf numFmtId="0" fontId="0" fillId="13" borderId="15" xfId="0" applyFill="1" applyBorder="1" applyAlignment="1">
      <alignment horizontal="left" vertical="center"/>
    </xf>
    <xf numFmtId="0" fontId="0" fillId="13" borderId="10" xfId="0" applyFill="1" applyBorder="1" applyAlignment="1">
      <alignment horizontal="left" vertical="center"/>
    </xf>
    <xf numFmtId="165" fontId="0" fillId="13" borderId="1" xfId="0" applyNumberFormat="1" applyFill="1" applyBorder="1" applyAlignment="1">
      <alignment horizontal="center" vertical="center" wrapText="1"/>
    </xf>
    <xf numFmtId="0" fontId="0" fillId="13" borderId="11" xfId="0" applyFill="1" applyBorder="1" applyAlignment="1">
      <alignment horizontal="left" vertical="center"/>
    </xf>
    <xf numFmtId="0" fontId="0" fillId="13" borderId="11" xfId="0" applyFont="1" applyFill="1" applyBorder="1" applyAlignment="1">
      <alignment horizontal="left" vertical="center" wrapText="1"/>
    </xf>
    <xf numFmtId="0" fontId="0" fillId="14" borderId="15" xfId="0" applyFill="1" applyBorder="1" applyAlignment="1">
      <alignment horizontal="left" vertical="center"/>
    </xf>
    <xf numFmtId="0" fontId="0" fillId="14" borderId="10" xfId="0" applyFill="1" applyBorder="1" applyAlignment="1">
      <alignment horizontal="left" vertical="center"/>
    </xf>
    <xf numFmtId="165" fontId="0" fillId="14" borderId="1" xfId="0" applyNumberFormat="1" applyFill="1" applyBorder="1" applyAlignment="1">
      <alignment horizontal="center" vertical="center" wrapText="1"/>
    </xf>
    <xf numFmtId="0" fontId="0" fillId="14" borderId="1" xfId="0" applyFill="1" applyBorder="1" applyAlignment="1">
      <alignment horizontal="left" vertical="center"/>
    </xf>
    <xf numFmtId="0" fontId="0" fillId="14" borderId="11" xfId="0" applyFill="1" applyBorder="1" applyAlignment="1">
      <alignment horizontal="left" vertical="center"/>
    </xf>
    <xf numFmtId="0" fontId="0" fillId="14" borderId="18" xfId="0" applyFill="1" applyBorder="1" applyAlignment="1">
      <alignment horizontal="left" vertical="center"/>
    </xf>
    <xf numFmtId="0" fontId="0" fillId="12" borderId="1" xfId="0" applyFill="1" applyBorder="1" applyAlignment="1">
      <alignment horizontal="left" vertical="center"/>
    </xf>
    <xf numFmtId="0" fontId="0" fillId="14" borderId="3" xfId="0" applyFill="1" applyBorder="1" applyAlignment="1">
      <alignment horizontal="left" vertical="center"/>
    </xf>
    <xf numFmtId="0" fontId="0" fillId="13" borderId="3" xfId="0" applyFill="1" applyBorder="1" applyAlignment="1">
      <alignment horizontal="left" vertical="center"/>
    </xf>
    <xf numFmtId="166" fontId="0" fillId="14" borderId="15" xfId="0" applyNumberFormat="1" applyFill="1" applyBorder="1" applyAlignment="1">
      <alignment horizontal="center" vertical="center" wrapText="1"/>
    </xf>
    <xf numFmtId="165" fontId="18" fillId="14" borderId="18" xfId="0" applyNumberFormat="1" applyFont="1" applyFill="1" applyBorder="1" applyAlignment="1">
      <alignment horizontal="center" vertical="center" wrapText="1"/>
    </xf>
    <xf numFmtId="166" fontId="0" fillId="13" borderId="1" xfId="0" applyNumberFormat="1" applyFill="1" applyBorder="1" applyAlignment="1">
      <alignment horizontal="center" vertical="center" wrapText="1"/>
    </xf>
    <xf numFmtId="0" fontId="0" fillId="13" borderId="14" xfId="0" applyFill="1" applyBorder="1" applyAlignment="1">
      <alignment horizontal="left" vertical="center"/>
    </xf>
    <xf numFmtId="166" fontId="0" fillId="13" borderId="15" xfId="0" applyNumberFormat="1" applyFill="1" applyBorder="1" applyAlignment="1">
      <alignment horizontal="center" vertical="center" wrapText="1"/>
    </xf>
    <xf numFmtId="166" fontId="0" fillId="13" borderId="10" xfId="0" applyNumberFormat="1" applyFill="1" applyBorder="1" applyAlignment="1">
      <alignment horizontal="center" vertical="center" wrapText="1"/>
    </xf>
    <xf numFmtId="0" fontId="0" fillId="13" borderId="16" xfId="0" applyFill="1" applyBorder="1" applyAlignment="1">
      <alignment horizontal="left" vertical="center"/>
    </xf>
    <xf numFmtId="166" fontId="0" fillId="13" borderId="11" xfId="0" applyNumberFormat="1" applyFill="1" applyBorder="1" applyAlignment="1">
      <alignment horizontal="center" vertical="center" wrapText="1"/>
    </xf>
    <xf numFmtId="166" fontId="0" fillId="13" borderId="3" xfId="0" applyNumberFormat="1" applyFill="1" applyBorder="1" applyAlignment="1">
      <alignment horizontal="center" vertical="center" wrapText="1"/>
    </xf>
    <xf numFmtId="166" fontId="0" fillId="13" borderId="13" xfId="0" applyNumberFormat="1" applyFill="1" applyBorder="1" applyAlignment="1">
      <alignment horizontal="center" vertical="center" wrapText="1"/>
    </xf>
    <xf numFmtId="9" fontId="0" fillId="14" borderId="1" xfId="0" applyNumberFormat="1" applyFill="1" applyBorder="1" applyAlignment="1">
      <alignment horizontal="left" vertical="center"/>
    </xf>
    <xf numFmtId="166" fontId="10" fillId="14" borderId="15" xfId="0" applyNumberFormat="1" applyFont="1" applyFill="1" applyBorder="1" applyAlignment="1">
      <alignment horizontal="center" vertical="center" wrapText="1"/>
    </xf>
    <xf numFmtId="0" fontId="0" fillId="14" borderId="16" xfId="0" applyFill="1" applyBorder="1" applyAlignment="1">
      <alignment vertical="center"/>
    </xf>
    <xf numFmtId="0" fontId="0" fillId="14" borderId="17" xfId="0" applyFill="1" applyBorder="1" applyAlignment="1">
      <alignment vertical="center"/>
    </xf>
    <xf numFmtId="9" fontId="0" fillId="14" borderId="18" xfId="0" applyNumberFormat="1" applyFill="1" applyBorder="1" applyAlignment="1">
      <alignment horizontal="left" vertical="center"/>
    </xf>
    <xf numFmtId="0" fontId="0" fillId="14" borderId="21" xfId="0" applyFill="1" applyBorder="1" applyAlignment="1">
      <alignment vertical="center"/>
    </xf>
    <xf numFmtId="9" fontId="0" fillId="14" borderId="3" xfId="0" applyNumberFormat="1" applyFill="1" applyBorder="1" applyAlignment="1">
      <alignment horizontal="left" vertical="center"/>
    </xf>
    <xf numFmtId="165" fontId="16" fillId="14" borderId="3" xfId="0" applyNumberFormat="1" applyFont="1" applyFill="1" applyBorder="1" applyAlignment="1">
      <alignment horizontal="center" vertical="center" wrapText="1"/>
    </xf>
    <xf numFmtId="9" fontId="0" fillId="13" borderId="1" xfId="0" applyNumberFormat="1" applyFill="1" applyBorder="1" applyAlignment="1">
      <alignment horizontal="left" vertical="center"/>
    </xf>
    <xf numFmtId="0" fontId="0" fillId="13" borderId="16" xfId="0" applyFill="1" applyBorder="1" applyAlignment="1">
      <alignment vertical="center"/>
    </xf>
    <xf numFmtId="0" fontId="0" fillId="13" borderId="21" xfId="0" applyFill="1" applyBorder="1" applyAlignment="1">
      <alignment vertical="center"/>
    </xf>
    <xf numFmtId="9" fontId="0" fillId="13" borderId="3" xfId="0" applyNumberFormat="1" applyFill="1" applyBorder="1" applyAlignment="1">
      <alignment horizontal="left" vertical="center"/>
    </xf>
    <xf numFmtId="165" fontId="16" fillId="13" borderId="3" xfId="0" applyNumberFormat="1" applyFont="1" applyFill="1" applyBorder="1" applyAlignment="1">
      <alignment horizontal="center" vertical="center" wrapText="1"/>
    </xf>
    <xf numFmtId="0" fontId="0" fillId="13" borderId="13" xfId="0" applyFill="1" applyBorder="1" applyAlignment="1">
      <alignment horizontal="left" vertical="center"/>
    </xf>
    <xf numFmtId="165" fontId="0" fillId="4" borderId="23" xfId="0" applyNumberFormat="1" applyFill="1" applyBorder="1" applyAlignment="1">
      <alignment horizontal="center" vertical="center"/>
    </xf>
    <xf numFmtId="0" fontId="1" fillId="4" borderId="20" xfId="0" applyFont="1" applyFill="1" applyBorder="1" applyAlignment="1">
      <alignment horizontal="left" vertical="center"/>
    </xf>
    <xf numFmtId="0" fontId="0" fillId="12" borderId="4" xfId="0" applyFill="1" applyBorder="1" applyAlignment="1">
      <alignment horizontal="left" vertical="center"/>
    </xf>
    <xf numFmtId="0" fontId="0" fillId="12" borderId="4" xfId="0" applyFill="1" applyBorder="1" applyAlignment="1">
      <alignment horizontal="left" vertical="center" wrapText="1"/>
    </xf>
    <xf numFmtId="165" fontId="0" fillId="12" borderId="4" xfId="0" applyNumberFormat="1" applyFill="1" applyBorder="1" applyAlignment="1">
      <alignment horizontal="center" vertical="center"/>
    </xf>
    <xf numFmtId="0" fontId="0" fillId="12" borderId="1" xfId="0" applyFill="1" applyBorder="1" applyAlignment="1">
      <alignment horizontal="left" vertical="center" wrapText="1"/>
    </xf>
    <xf numFmtId="165" fontId="0" fillId="12" borderId="1" xfId="0" applyNumberFormat="1" applyFill="1" applyBorder="1" applyAlignment="1">
      <alignment horizontal="center" vertical="center"/>
    </xf>
    <xf numFmtId="0" fontId="1" fillId="4" borderId="1" xfId="0" applyFont="1" applyFill="1" applyBorder="1" applyAlignment="1">
      <alignment horizontal="left" vertical="center" wrapText="1"/>
    </xf>
    <xf numFmtId="165" fontId="1" fillId="4" borderId="1" xfId="0" applyNumberFormat="1" applyFont="1" applyFill="1" applyBorder="1" applyAlignment="1">
      <alignment horizontal="center" vertical="center"/>
    </xf>
    <xf numFmtId="0" fontId="1" fillId="4" borderId="4" xfId="0" applyFont="1" applyFill="1" applyBorder="1" applyAlignment="1">
      <alignment horizontal="left" vertical="center" wrapText="1"/>
    </xf>
    <xf numFmtId="0" fontId="9" fillId="4" borderId="5"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xf>
    <xf numFmtId="0" fontId="1" fillId="5" borderId="1" xfId="0" applyFont="1" applyFill="1" applyBorder="1" applyAlignment="1">
      <alignment horizontal="center" wrapText="1"/>
    </xf>
    <xf numFmtId="0" fontId="0" fillId="14" borderId="11" xfId="0" applyFont="1" applyFill="1" applyBorder="1" applyAlignment="1">
      <alignment horizontal="left" vertical="center" wrapText="1"/>
    </xf>
    <xf numFmtId="0" fontId="0" fillId="14" borderId="13" xfId="0" applyFont="1" applyFill="1" applyBorder="1" applyAlignment="1">
      <alignment horizontal="left" vertical="center"/>
    </xf>
    <xf numFmtId="0" fontId="1" fillId="14" borderId="14" xfId="0" applyFont="1" applyFill="1" applyBorder="1" applyAlignment="1">
      <alignment horizontal="center" vertical="center" wrapText="1"/>
    </xf>
    <xf numFmtId="0" fontId="1" fillId="14" borderId="16" xfId="0" applyFont="1" applyFill="1" applyBorder="1" applyAlignment="1">
      <alignment horizontal="center" vertical="center" wrapText="1"/>
    </xf>
    <xf numFmtId="0" fontId="1" fillId="14" borderId="11" xfId="0" applyFont="1" applyFill="1" applyBorder="1" applyAlignment="1">
      <alignment horizontal="left" vertical="center" wrapText="1"/>
    </xf>
    <xf numFmtId="0" fontId="1" fillId="14" borderId="12" xfId="0" applyFont="1" applyFill="1" applyBorder="1" applyAlignment="1">
      <alignment horizontal="left" vertical="center"/>
    </xf>
    <xf numFmtId="0" fontId="1" fillId="13" borderId="14" xfId="0" applyFont="1" applyFill="1" applyBorder="1" applyAlignment="1">
      <alignment horizontal="center" vertical="center" wrapText="1"/>
    </xf>
    <xf numFmtId="0" fontId="1" fillId="13" borderId="16" xfId="0" applyFont="1" applyFill="1" applyBorder="1" applyAlignment="1">
      <alignment horizontal="center" vertical="center" wrapText="1"/>
    </xf>
    <xf numFmtId="0" fontId="0" fillId="13" borderId="21" xfId="0" applyFill="1" applyBorder="1" applyAlignment="1">
      <alignment horizontal="left" vertical="center"/>
    </xf>
    <xf numFmtId="0" fontId="0" fillId="13" borderId="19" xfId="0" applyFill="1" applyBorder="1" applyAlignment="1">
      <alignment horizontal="left"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1" fillId="5" borderId="1" xfId="0" applyFont="1" applyFill="1" applyBorder="1" applyAlignment="1">
      <alignment horizontal="center"/>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6" fillId="9" borderId="3"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3" xfId="0" applyFill="1" applyBorder="1" applyAlignment="1">
      <alignment horizontal="center"/>
    </xf>
    <xf numFmtId="0" fontId="0" fillId="11" borderId="2" xfId="0" applyFill="1" applyBorder="1" applyAlignment="1">
      <alignment horizontal="center"/>
    </xf>
    <xf numFmtId="0" fontId="0" fillId="11" borderId="4" xfId="0" applyFill="1" applyBorder="1" applyAlignment="1">
      <alignment horizontal="center"/>
    </xf>
    <xf numFmtId="0" fontId="0" fillId="12" borderId="3" xfId="0" applyFill="1" applyBorder="1" applyAlignment="1">
      <alignment horizontal="center"/>
    </xf>
    <xf numFmtId="0" fontId="0" fillId="12" borderId="2" xfId="0" applyFill="1" applyBorder="1" applyAlignment="1">
      <alignment horizontal="center"/>
    </xf>
    <xf numFmtId="0" fontId="0" fillId="12" borderId="4" xfId="0" applyFill="1" applyBorder="1" applyAlignment="1">
      <alignment horizontal="center"/>
    </xf>
    <xf numFmtId="0" fontId="1" fillId="9" borderId="1" xfId="0" applyFont="1"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4" borderId="1" xfId="0" applyFill="1" applyBorder="1" applyAlignment="1">
      <alignment horizontal="center" vertical="center"/>
    </xf>
    <xf numFmtId="0" fontId="20" fillId="0" borderId="0" xfId="0" applyFont="1" applyAlignment="1">
      <alignment horizontal="left" vertical="top"/>
    </xf>
    <xf numFmtId="0" fontId="0" fillId="15" borderId="0" xfId="0" applyFill="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8.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1" topLeftCell="A26" activePane="bottomLeft" state="frozen"/>
      <selection activeCell="B1" sqref="B1"/>
      <selection pane="bottomLeft" activeCell="E33" sqref="E33"/>
    </sheetView>
  </sheetViews>
  <sheetFormatPr defaultRowHeight="15" x14ac:dyDescent="0.25"/>
  <cols>
    <col min="1" max="1" width="31.85546875" style="3" bestFit="1" customWidth="1"/>
    <col min="2" max="2" width="41.5703125" bestFit="1" customWidth="1"/>
    <col min="3" max="3" width="11.140625" style="59" bestFit="1" customWidth="1"/>
    <col min="4" max="4" width="12.28515625" style="59" bestFit="1" customWidth="1"/>
    <col min="5" max="5" width="13.42578125" style="59" bestFit="1" customWidth="1"/>
    <col min="6" max="6" width="49.28515625" customWidth="1"/>
  </cols>
  <sheetData>
    <row r="1" spans="1:6" ht="15.75" thickBot="1" x14ac:dyDescent="0.3">
      <c r="A1" s="155" t="s">
        <v>241</v>
      </c>
      <c r="B1" s="156" t="s">
        <v>242</v>
      </c>
      <c r="C1" s="157" t="s">
        <v>379</v>
      </c>
      <c r="D1" s="157" t="s">
        <v>439</v>
      </c>
      <c r="E1" s="157" t="s">
        <v>440</v>
      </c>
      <c r="F1" s="158" t="s">
        <v>104</v>
      </c>
    </row>
    <row r="2" spans="1:6" x14ac:dyDescent="0.25">
      <c r="A2" s="124" t="s">
        <v>244</v>
      </c>
      <c r="B2" s="107" t="s">
        <v>245</v>
      </c>
      <c r="C2" s="125">
        <v>8000</v>
      </c>
      <c r="D2" s="125"/>
      <c r="E2" s="125"/>
      <c r="F2" s="126" t="s">
        <v>246</v>
      </c>
    </row>
    <row r="3" spans="1:6" x14ac:dyDescent="0.25">
      <c r="A3" s="127" t="s">
        <v>420</v>
      </c>
      <c r="B3" s="105" t="s">
        <v>233</v>
      </c>
      <c r="C3" s="123">
        <f>C2*0.15</f>
        <v>1200</v>
      </c>
      <c r="D3" s="123"/>
      <c r="E3" s="123"/>
      <c r="F3" s="128" t="s">
        <v>246</v>
      </c>
    </row>
    <row r="4" spans="1:6" x14ac:dyDescent="0.25">
      <c r="A4" s="168" t="s">
        <v>451</v>
      </c>
      <c r="B4" s="105" t="s">
        <v>421</v>
      </c>
      <c r="C4" s="123">
        <f>C3/4</f>
        <v>300</v>
      </c>
      <c r="D4" s="123"/>
      <c r="E4" s="123"/>
      <c r="F4" s="128"/>
    </row>
    <row r="5" spans="1:6" ht="15.75" thickBot="1" x14ac:dyDescent="0.3">
      <c r="A5" s="169"/>
      <c r="B5" s="120" t="s">
        <v>422</v>
      </c>
      <c r="C5" s="129">
        <f>ROUNDDOWN((C2-C3)*0.103, 0)</f>
        <v>700</v>
      </c>
      <c r="D5" s="129"/>
      <c r="E5" s="129"/>
      <c r="F5" s="130"/>
    </row>
    <row r="6" spans="1:6" ht="15.75" customHeight="1" x14ac:dyDescent="0.25">
      <c r="A6" s="162" t="s">
        <v>426</v>
      </c>
      <c r="B6" s="112" t="s">
        <v>236</v>
      </c>
      <c r="C6" s="132">
        <f>C5+C4</f>
        <v>1000</v>
      </c>
      <c r="D6" s="112"/>
      <c r="E6" s="112"/>
      <c r="F6" s="113" t="s">
        <v>250</v>
      </c>
    </row>
    <row r="7" spans="1:6" x14ac:dyDescent="0.25">
      <c r="A7" s="163"/>
      <c r="B7" s="115" t="s">
        <v>237</v>
      </c>
      <c r="C7" s="114">
        <v>2500</v>
      </c>
      <c r="D7" s="115"/>
      <c r="E7" s="115"/>
      <c r="F7" s="116" t="s">
        <v>452</v>
      </c>
    </row>
    <row r="8" spans="1:6" x14ac:dyDescent="0.25">
      <c r="A8" s="163"/>
      <c r="B8" s="115" t="s">
        <v>238</v>
      </c>
      <c r="C8" s="114">
        <f>C7*C6</f>
        <v>2500000</v>
      </c>
      <c r="D8" s="115"/>
      <c r="E8" s="115"/>
      <c r="F8" s="116"/>
    </row>
    <row r="9" spans="1:6" x14ac:dyDescent="0.25">
      <c r="A9" s="133" t="s">
        <v>427</v>
      </c>
      <c r="B9" s="131">
        <v>0.18</v>
      </c>
      <c r="C9" s="114">
        <f>C8*B9</f>
        <v>450000</v>
      </c>
      <c r="D9" s="115"/>
      <c r="E9" s="115"/>
      <c r="F9" s="116"/>
    </row>
    <row r="10" spans="1:6" x14ac:dyDescent="0.25">
      <c r="A10" s="133" t="s">
        <v>424</v>
      </c>
      <c r="B10" s="131">
        <v>0.12</v>
      </c>
      <c r="C10" s="114">
        <f>C9*B10/B9</f>
        <v>300000</v>
      </c>
      <c r="D10" s="115"/>
      <c r="E10" s="115"/>
      <c r="F10" s="160" t="s">
        <v>425</v>
      </c>
    </row>
    <row r="11" spans="1:6" ht="15.75" thickBot="1" x14ac:dyDescent="0.3">
      <c r="A11" s="136" t="s">
        <v>423</v>
      </c>
      <c r="B11" s="137">
        <v>0.06</v>
      </c>
      <c r="C11" s="138">
        <f>C9-C10</f>
        <v>150000</v>
      </c>
      <c r="D11" s="119"/>
      <c r="E11" s="119"/>
      <c r="F11" s="161"/>
    </row>
    <row r="12" spans="1:6" ht="15" customHeight="1" x14ac:dyDescent="0.25">
      <c r="A12" s="166" t="s">
        <v>428</v>
      </c>
      <c r="B12" s="107" t="s">
        <v>429</v>
      </c>
      <c r="C12" s="106">
        <f>C6*0.05</f>
        <v>50</v>
      </c>
      <c r="D12" s="107"/>
      <c r="E12" s="107"/>
      <c r="F12" s="108"/>
    </row>
    <row r="13" spans="1:6" x14ac:dyDescent="0.25">
      <c r="A13" s="167"/>
      <c r="B13" s="105" t="s">
        <v>430</v>
      </c>
      <c r="C13" s="109">
        <v>500</v>
      </c>
      <c r="D13" s="105"/>
      <c r="E13" s="105"/>
      <c r="F13" s="110"/>
    </row>
    <row r="14" spans="1:6" x14ac:dyDescent="0.25">
      <c r="A14" s="167"/>
      <c r="B14" s="105" t="s">
        <v>432</v>
      </c>
      <c r="C14" s="109">
        <f>C13*C12</f>
        <v>25000</v>
      </c>
      <c r="D14" s="105"/>
      <c r="E14" s="105"/>
      <c r="F14" s="111" t="s">
        <v>453</v>
      </c>
    </row>
    <row r="15" spans="1:6" x14ac:dyDescent="0.25">
      <c r="A15" s="140" t="s">
        <v>431</v>
      </c>
      <c r="B15" s="139">
        <v>1</v>
      </c>
      <c r="C15" s="109">
        <v>25000</v>
      </c>
      <c r="D15" s="105"/>
      <c r="E15" s="105"/>
      <c r="F15" s="110" t="s">
        <v>435</v>
      </c>
    </row>
    <row r="16" spans="1:6" x14ac:dyDescent="0.25">
      <c r="A16" s="140" t="s">
        <v>433</v>
      </c>
      <c r="B16" s="139">
        <v>0.33</v>
      </c>
      <c r="C16" s="109">
        <f>C15*B16</f>
        <v>8250</v>
      </c>
      <c r="D16" s="105"/>
      <c r="E16" s="105"/>
      <c r="F16" s="110" t="s">
        <v>434</v>
      </c>
    </row>
    <row r="17" spans="1:6" ht="15.75" thickBot="1" x14ac:dyDescent="0.3">
      <c r="A17" s="141" t="s">
        <v>423</v>
      </c>
      <c r="B17" s="142">
        <v>0.67</v>
      </c>
      <c r="C17" s="143">
        <f>C15-C16</f>
        <v>16750</v>
      </c>
      <c r="D17" s="120"/>
      <c r="E17" s="120"/>
      <c r="F17" s="144"/>
    </row>
    <row r="18" spans="1:6" ht="15" customHeight="1" x14ac:dyDescent="0.25">
      <c r="A18" s="162" t="s">
        <v>438</v>
      </c>
      <c r="B18" s="112" t="s">
        <v>436</v>
      </c>
      <c r="C18" s="121">
        <f>C6*0.1</f>
        <v>100</v>
      </c>
      <c r="D18" s="112"/>
      <c r="E18" s="112"/>
      <c r="F18" s="113"/>
    </row>
    <row r="19" spans="1:6" x14ac:dyDescent="0.25">
      <c r="A19" s="163"/>
      <c r="B19" s="115" t="s">
        <v>430</v>
      </c>
      <c r="C19" s="114">
        <v>600</v>
      </c>
      <c r="D19" s="115"/>
      <c r="E19" s="115"/>
      <c r="F19" s="116"/>
    </row>
    <row r="20" spans="1:6" ht="15" customHeight="1" x14ac:dyDescent="0.25">
      <c r="A20" s="163"/>
      <c r="B20" s="115" t="s">
        <v>238</v>
      </c>
      <c r="C20" s="114">
        <f>C19*C18</f>
        <v>60000</v>
      </c>
      <c r="D20" s="115"/>
      <c r="E20" s="115"/>
      <c r="F20" s="116"/>
    </row>
    <row r="21" spans="1:6" x14ac:dyDescent="0.25">
      <c r="A21" s="133" t="s">
        <v>427</v>
      </c>
      <c r="B21" s="131">
        <v>0.12</v>
      </c>
      <c r="C21" s="114">
        <f>C20*B21</f>
        <v>7200</v>
      </c>
      <c r="D21" s="115"/>
      <c r="E21" s="115"/>
      <c r="F21" s="116"/>
    </row>
    <row r="22" spans="1:6" x14ac:dyDescent="0.25">
      <c r="A22" s="133" t="s">
        <v>424</v>
      </c>
      <c r="B22" s="131">
        <v>0.06</v>
      </c>
      <c r="C22" s="114">
        <f>C21*B22/B21</f>
        <v>3600</v>
      </c>
      <c r="D22" s="115"/>
      <c r="E22" s="115"/>
      <c r="F22" s="164" t="s">
        <v>437</v>
      </c>
    </row>
    <row r="23" spans="1:6" ht="15.75" thickBot="1" x14ac:dyDescent="0.3">
      <c r="A23" s="134" t="s">
        <v>423</v>
      </c>
      <c r="B23" s="135">
        <v>0.06</v>
      </c>
      <c r="C23" s="122">
        <f>C21-C22</f>
        <v>3600</v>
      </c>
      <c r="D23" s="117"/>
      <c r="E23" s="117"/>
      <c r="F23" s="165"/>
    </row>
    <row r="24" spans="1:6" s="28" customFormat="1" ht="15.75" thickBot="1" x14ac:dyDescent="0.3">
      <c r="A24" s="170" t="s">
        <v>258</v>
      </c>
      <c r="B24" s="171"/>
      <c r="C24" s="145">
        <f>C23+C17+C11</f>
        <v>170350</v>
      </c>
      <c r="D24" s="145"/>
      <c r="E24" s="145"/>
      <c r="F24" s="146" t="s">
        <v>454</v>
      </c>
    </row>
    <row r="25" spans="1:6" ht="30" x14ac:dyDescent="0.25">
      <c r="A25" s="147" t="s">
        <v>370</v>
      </c>
      <c r="B25" s="148" t="s">
        <v>384</v>
      </c>
      <c r="C25" s="149">
        <f>C23+C17+C11</f>
        <v>170350</v>
      </c>
      <c r="D25" s="149">
        <f>C25*10</f>
        <v>1703500</v>
      </c>
      <c r="E25" s="149">
        <f>D25*10</f>
        <v>17035000</v>
      </c>
      <c r="F25" s="148" t="s">
        <v>441</v>
      </c>
    </row>
    <row r="26" spans="1:6" ht="30" x14ac:dyDescent="0.25">
      <c r="A26" s="118" t="s">
        <v>371</v>
      </c>
      <c r="B26" s="150" t="s">
        <v>383</v>
      </c>
      <c r="C26" s="151">
        <f>C23+C17+C11</f>
        <v>170350</v>
      </c>
      <c r="D26" s="151">
        <f>C26*20</f>
        <v>3407000</v>
      </c>
      <c r="E26" s="151">
        <f>D26*10</f>
        <v>34070000</v>
      </c>
      <c r="F26" s="148" t="s">
        <v>442</v>
      </c>
    </row>
    <row r="27" spans="1:6" ht="30" x14ac:dyDescent="0.25">
      <c r="A27" s="118" t="s">
        <v>372</v>
      </c>
      <c r="B27" s="150" t="s">
        <v>382</v>
      </c>
      <c r="C27" s="151">
        <f>C23+C17+C11</f>
        <v>170350</v>
      </c>
      <c r="D27" s="151">
        <f>C27*30</f>
        <v>5110500</v>
      </c>
      <c r="E27" s="151">
        <f>D27*10</f>
        <v>51105000</v>
      </c>
      <c r="F27" s="148" t="s">
        <v>443</v>
      </c>
    </row>
    <row r="28" spans="1:6" ht="30" x14ac:dyDescent="0.25">
      <c r="A28" s="118" t="s">
        <v>373</v>
      </c>
      <c r="B28" s="150" t="s">
        <v>381</v>
      </c>
      <c r="C28" s="151">
        <f>C23+C17+C11</f>
        <v>170350</v>
      </c>
      <c r="D28" s="151">
        <f>C28*40</f>
        <v>6814000</v>
      </c>
      <c r="E28" s="151">
        <f>D28*10</f>
        <v>68140000</v>
      </c>
      <c r="F28" s="148" t="s">
        <v>444</v>
      </c>
    </row>
    <row r="29" spans="1:6" ht="30" x14ac:dyDescent="0.25">
      <c r="A29" s="118" t="s">
        <v>374</v>
      </c>
      <c r="B29" s="150" t="s">
        <v>380</v>
      </c>
      <c r="C29" s="151">
        <f>C23+C17+C11</f>
        <v>170350</v>
      </c>
      <c r="D29" s="151">
        <f>C29*50</f>
        <v>8517500</v>
      </c>
      <c r="E29" s="151">
        <f>D29*10</f>
        <v>85175000</v>
      </c>
      <c r="F29" s="148" t="s">
        <v>445</v>
      </c>
    </row>
    <row r="30" spans="1:6" ht="30" x14ac:dyDescent="0.25">
      <c r="A30" s="118" t="s">
        <v>260</v>
      </c>
      <c r="B30" s="150" t="s">
        <v>368</v>
      </c>
      <c r="C30" s="151">
        <f>C23+C17+C11</f>
        <v>170350</v>
      </c>
      <c r="D30" s="151">
        <f>C29*60</f>
        <v>10221000</v>
      </c>
      <c r="E30" s="151">
        <f>D30*10</f>
        <v>102210000</v>
      </c>
      <c r="F30" s="148" t="s">
        <v>446</v>
      </c>
    </row>
    <row r="31" spans="1:6" ht="35.25" customHeight="1" x14ac:dyDescent="0.25">
      <c r="A31" s="150" t="s">
        <v>385</v>
      </c>
      <c r="B31" s="150" t="s">
        <v>377</v>
      </c>
      <c r="C31" s="151">
        <f>C23+C17+C11</f>
        <v>170350</v>
      </c>
      <c r="D31" s="151">
        <f>D30*2</f>
        <v>20442000</v>
      </c>
      <c r="E31" s="151">
        <f>E30*2</f>
        <v>204420000</v>
      </c>
      <c r="F31" s="148" t="s">
        <v>447</v>
      </c>
    </row>
    <row r="32" spans="1:6" ht="35.25" customHeight="1" x14ac:dyDescent="0.25">
      <c r="A32" s="150" t="s">
        <v>386</v>
      </c>
      <c r="B32" s="150" t="s">
        <v>378</v>
      </c>
      <c r="C32" s="151">
        <f>C23+C17+C11</f>
        <v>170350</v>
      </c>
      <c r="D32" s="151">
        <f>D31*2</f>
        <v>40884000</v>
      </c>
      <c r="E32" s="151">
        <f>E31*2</f>
        <v>408840000</v>
      </c>
      <c r="F32" s="148" t="s">
        <v>448</v>
      </c>
    </row>
    <row r="33" spans="1:6" ht="35.25" customHeight="1" x14ac:dyDescent="0.25">
      <c r="A33" s="152" t="s">
        <v>387</v>
      </c>
      <c r="B33" s="152" t="s">
        <v>450</v>
      </c>
      <c r="C33" s="153">
        <f>C23+C17+C11</f>
        <v>170350</v>
      </c>
      <c r="D33" s="153">
        <f>D30*6</f>
        <v>61326000</v>
      </c>
      <c r="E33" s="153">
        <v>3</v>
      </c>
      <c r="F33" s="154" t="s">
        <v>449</v>
      </c>
    </row>
    <row r="34" spans="1:6" x14ac:dyDescent="0.25">
      <c r="A34" s="57"/>
      <c r="B34" s="57"/>
      <c r="C34" s="58"/>
      <c r="D34" s="58"/>
      <c r="E34" s="58"/>
      <c r="F34" s="57"/>
    </row>
    <row r="35" spans="1:6" x14ac:dyDescent="0.25">
      <c r="A35" s="57"/>
      <c r="B35" s="57"/>
      <c r="C35" s="58"/>
      <c r="D35" s="58"/>
      <c r="E35" s="58"/>
      <c r="F35" s="57"/>
    </row>
    <row r="36" spans="1:6" x14ac:dyDescent="0.25">
      <c r="A36" s="57"/>
      <c r="B36" s="57"/>
      <c r="C36" s="58"/>
      <c r="D36" s="58"/>
      <c r="E36" s="58"/>
      <c r="F36" s="57"/>
    </row>
  </sheetData>
  <mergeCells count="7">
    <mergeCell ref="A4:A5"/>
    <mergeCell ref="A24:B24"/>
    <mergeCell ref="F10:F11"/>
    <mergeCell ref="A6:A8"/>
    <mergeCell ref="F22:F23"/>
    <mergeCell ref="A12:A14"/>
    <mergeCell ref="A18:A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RowHeight="15" x14ac:dyDescent="0.25"/>
  <cols>
    <col min="1" max="1" width="124.7109375" bestFit="1" customWidth="1"/>
    <col min="2" max="2" width="20.28515625" customWidth="1"/>
    <col min="3" max="3" width="19.140625" customWidth="1"/>
  </cols>
  <sheetData>
    <row r="1" spans="1:1" x14ac:dyDescent="0.25">
      <c r="A1" s="62" t="s">
        <v>285</v>
      </c>
    </row>
    <row r="2" spans="1:1" x14ac:dyDescent="0.25">
      <c r="A2" s="62" t="s">
        <v>268</v>
      </c>
    </row>
    <row r="3" spans="1:1" x14ac:dyDescent="0.25">
      <c r="A3" s="62" t="s">
        <v>269</v>
      </c>
    </row>
    <row r="4" spans="1:1" x14ac:dyDescent="0.25">
      <c r="A4" s="62" t="s">
        <v>270</v>
      </c>
    </row>
    <row r="5" spans="1:1" x14ac:dyDescent="0.25">
      <c r="A5" s="62" t="s">
        <v>271</v>
      </c>
    </row>
    <row r="6" spans="1:1" x14ac:dyDescent="0.25">
      <c r="A6" s="62" t="s">
        <v>286</v>
      </c>
    </row>
    <row r="7" spans="1:1" x14ac:dyDescent="0.25">
      <c r="A7" s="62" t="s">
        <v>272</v>
      </c>
    </row>
    <row r="8" spans="1:1" x14ac:dyDescent="0.25">
      <c r="A8" s="62" t="s">
        <v>273</v>
      </c>
    </row>
    <row r="9" spans="1:1" x14ac:dyDescent="0.25">
      <c r="A9" s="62" t="s">
        <v>288</v>
      </c>
    </row>
    <row r="10" spans="1:1" x14ac:dyDescent="0.25">
      <c r="A10" s="62" t="s">
        <v>274</v>
      </c>
    </row>
    <row r="11" spans="1:1" x14ac:dyDescent="0.25">
      <c r="A11" s="62" t="s">
        <v>275</v>
      </c>
    </row>
    <row r="12" spans="1:1" x14ac:dyDescent="0.25">
      <c r="A12" s="62" t="s">
        <v>276</v>
      </c>
    </row>
    <row r="13" spans="1:1" x14ac:dyDescent="0.25">
      <c r="A13" s="62" t="s">
        <v>277</v>
      </c>
    </row>
    <row r="14" spans="1:1" x14ac:dyDescent="0.25">
      <c r="A14" s="62" t="s">
        <v>278</v>
      </c>
    </row>
    <row r="15" spans="1:1" x14ac:dyDescent="0.25">
      <c r="A15" s="62" t="s">
        <v>279</v>
      </c>
    </row>
    <row r="16" spans="1:1" x14ac:dyDescent="0.25">
      <c r="A16" s="62" t="s">
        <v>280</v>
      </c>
    </row>
    <row r="17" spans="1:2" x14ac:dyDescent="0.25">
      <c r="A17" s="62" t="s">
        <v>281</v>
      </c>
    </row>
    <row r="18" spans="1:2" x14ac:dyDescent="0.25">
      <c r="A18" s="62" t="s">
        <v>287</v>
      </c>
    </row>
    <row r="19" spans="1:2" x14ac:dyDescent="0.25">
      <c r="A19" s="62" t="s">
        <v>282</v>
      </c>
    </row>
    <row r="20" spans="1:2" x14ac:dyDescent="0.25">
      <c r="A20" s="62" t="s">
        <v>283</v>
      </c>
    </row>
    <row r="21" spans="1:2" x14ac:dyDescent="0.25">
      <c r="A21" s="62" t="s">
        <v>284</v>
      </c>
    </row>
    <row r="22" spans="1:2" x14ac:dyDescent="0.25">
      <c r="A22" s="62" t="s">
        <v>289</v>
      </c>
      <c r="B22">
        <v>500</v>
      </c>
    </row>
    <row r="23" spans="1:2" x14ac:dyDescent="0.25">
      <c r="A23" s="62" t="s">
        <v>290</v>
      </c>
      <c r="B23">
        <v>1000</v>
      </c>
    </row>
    <row r="24" spans="1:2" x14ac:dyDescent="0.25">
      <c r="A24" s="62" t="s">
        <v>291</v>
      </c>
      <c r="B24">
        <v>12000</v>
      </c>
    </row>
    <row r="25" spans="1:2" x14ac:dyDescent="0.25">
      <c r="A25" s="62" t="s">
        <v>292</v>
      </c>
      <c r="B25">
        <v>3000</v>
      </c>
    </row>
    <row r="26" spans="1:2" x14ac:dyDescent="0.25">
      <c r="A26" s="62" t="s">
        <v>293</v>
      </c>
      <c r="B26">
        <v>3000</v>
      </c>
    </row>
    <row r="27" spans="1:2" x14ac:dyDescent="0.25">
      <c r="A27" s="62" t="s">
        <v>294</v>
      </c>
      <c r="B27">
        <v>3000</v>
      </c>
    </row>
    <row r="28" spans="1:2" x14ac:dyDescent="0.25">
      <c r="A28" s="62" t="s">
        <v>295</v>
      </c>
      <c r="B28">
        <v>3000</v>
      </c>
    </row>
    <row r="29" spans="1:2" x14ac:dyDescent="0.25">
      <c r="A29" s="62" t="s">
        <v>296</v>
      </c>
      <c r="B29">
        <v>12000</v>
      </c>
    </row>
    <row r="30" spans="1:2" x14ac:dyDescent="0.25">
      <c r="A30" s="62" t="s">
        <v>297</v>
      </c>
      <c r="B30">
        <v>1200</v>
      </c>
    </row>
    <row r="31" spans="1:2" x14ac:dyDescent="0.25">
      <c r="A31" s="62" t="s">
        <v>298</v>
      </c>
      <c r="B31">
        <v>1200</v>
      </c>
    </row>
    <row r="32" spans="1:2" x14ac:dyDescent="0.25">
      <c r="A32" s="62" t="s">
        <v>299</v>
      </c>
      <c r="B32">
        <v>5000</v>
      </c>
    </row>
    <row r="33" spans="1:4" x14ac:dyDescent="0.25">
      <c r="A33" s="62" t="s">
        <v>300</v>
      </c>
    </row>
    <row r="34" spans="1:4" x14ac:dyDescent="0.25">
      <c r="A34" s="62" t="s">
        <v>301</v>
      </c>
    </row>
    <row r="35" spans="1:4" x14ac:dyDescent="0.25">
      <c r="A35" s="62" t="s">
        <v>194</v>
      </c>
    </row>
    <row r="36" spans="1:4" x14ac:dyDescent="0.25">
      <c r="A36" s="62" t="s">
        <v>302</v>
      </c>
    </row>
    <row r="37" spans="1:4" x14ac:dyDescent="0.25">
      <c r="A37" s="62" t="s">
        <v>303</v>
      </c>
    </row>
    <row r="39" spans="1:4" x14ac:dyDescent="0.25">
      <c r="A39" s="29" t="s">
        <v>190</v>
      </c>
      <c r="B39" s="30">
        <v>4000000</v>
      </c>
      <c r="C39" s="29"/>
      <c r="D39" s="29"/>
    </row>
    <row r="40" spans="1:4" x14ac:dyDescent="0.25">
      <c r="A40" s="29" t="s">
        <v>192</v>
      </c>
      <c r="B40" s="30">
        <v>100000</v>
      </c>
      <c r="C40" s="29" t="s">
        <v>307</v>
      </c>
      <c r="D40" s="29"/>
    </row>
    <row r="41" spans="1:4" x14ac:dyDescent="0.25">
      <c r="A41" s="29" t="s">
        <v>193</v>
      </c>
      <c r="B41" s="30">
        <f>1400*50*10*20/6</f>
        <v>2333333.3333333335</v>
      </c>
      <c r="C41" s="29" t="s">
        <v>220</v>
      </c>
      <c r="D41" s="29"/>
    </row>
    <row r="42" spans="1:4" x14ac:dyDescent="0.25">
      <c r="A42" s="29" t="s">
        <v>201</v>
      </c>
      <c r="B42" s="34" t="s">
        <v>304</v>
      </c>
      <c r="C42" s="29"/>
      <c r="D42" s="29"/>
    </row>
    <row r="43" spans="1:4" x14ac:dyDescent="0.25">
      <c r="A43" s="29" t="s">
        <v>305</v>
      </c>
      <c r="B43" s="29">
        <v>3</v>
      </c>
      <c r="C43" s="30">
        <v>18000</v>
      </c>
      <c r="D43" s="30">
        <f>C43*B43</f>
        <v>54000</v>
      </c>
    </row>
    <row r="44" spans="1:4" x14ac:dyDescent="0.25">
      <c r="A44" s="29" t="s">
        <v>195</v>
      </c>
      <c r="B44" s="29">
        <v>2</v>
      </c>
      <c r="C44" s="30">
        <v>33000</v>
      </c>
      <c r="D44" s="30">
        <f t="shared" ref="D44:D49" si="0">C44*B44</f>
        <v>66000</v>
      </c>
    </row>
    <row r="45" spans="1:4" x14ac:dyDescent="0.25">
      <c r="A45" s="29" t="s">
        <v>197</v>
      </c>
      <c r="B45" s="29">
        <v>1</v>
      </c>
      <c r="C45" s="30">
        <v>18000</v>
      </c>
      <c r="D45" s="30">
        <f t="shared" si="0"/>
        <v>18000</v>
      </c>
    </row>
    <row r="46" spans="1:4" x14ac:dyDescent="0.25">
      <c r="A46" s="29" t="s">
        <v>198</v>
      </c>
      <c r="B46" s="29">
        <v>1</v>
      </c>
      <c r="C46" s="30">
        <v>33000</v>
      </c>
      <c r="D46" s="30">
        <f t="shared" si="0"/>
        <v>33000</v>
      </c>
    </row>
    <row r="47" spans="1:4" x14ac:dyDescent="0.25">
      <c r="A47" s="29" t="s">
        <v>199</v>
      </c>
      <c r="B47" s="29">
        <v>2</v>
      </c>
      <c r="C47" s="30">
        <v>38000</v>
      </c>
      <c r="D47" s="30">
        <f t="shared" si="0"/>
        <v>76000</v>
      </c>
    </row>
    <row r="48" spans="1:4" x14ac:dyDescent="0.25">
      <c r="A48" s="29" t="s">
        <v>200</v>
      </c>
      <c r="B48" s="29">
        <v>3</v>
      </c>
      <c r="C48" s="30">
        <v>28000</v>
      </c>
      <c r="D48" s="30">
        <f t="shared" si="0"/>
        <v>84000</v>
      </c>
    </row>
    <row r="49" spans="1:4" x14ac:dyDescent="0.25">
      <c r="A49" s="29" t="s">
        <v>306</v>
      </c>
      <c r="B49" s="29">
        <v>1</v>
      </c>
      <c r="C49" s="30">
        <v>50000</v>
      </c>
      <c r="D49" s="30">
        <f t="shared" si="0"/>
        <v>50000</v>
      </c>
    </row>
    <row r="50" spans="1:4" x14ac:dyDescent="0.25">
      <c r="D50" s="29"/>
    </row>
  </sheetData>
  <hyperlinks>
    <hyperlink ref="A2" r:id="rId1" tooltip="Advertising" display="https://en.wikipedia.org/wiki/Advertising"/>
    <hyperlink ref="A13" r:id="rId2" tooltip="Internet" display="https://en.wikipedia.org/wiki/Internet"/>
    <hyperlink ref="A16" r:id="rId3" tooltip="Insurance premium" display="https://en.wikipedia.org/wiki/Insurance_premium"/>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heetViews>
  <sheetFormatPr defaultRowHeight="15" x14ac:dyDescent="0.25"/>
  <cols>
    <col min="1" max="1" width="22.85546875" style="32" customWidth="1"/>
    <col min="2" max="2" width="42.5703125" style="32" customWidth="1"/>
    <col min="3" max="3" width="20.140625" style="32" bestFit="1" customWidth="1"/>
    <col min="4" max="4" width="24.85546875" style="32" bestFit="1" customWidth="1"/>
    <col min="5" max="5" width="28.42578125" style="32" customWidth="1"/>
    <col min="6" max="16384" width="9.140625" style="32"/>
  </cols>
  <sheetData>
    <row r="1" spans="1:8" ht="240" x14ac:dyDescent="0.25">
      <c r="A1" s="29" t="s">
        <v>151</v>
      </c>
      <c r="B1" s="29" t="s">
        <v>217</v>
      </c>
      <c r="C1" s="33" t="s">
        <v>204</v>
      </c>
      <c r="E1" s="29"/>
      <c r="F1" s="32">
        <f>150+10+25</f>
        <v>185</v>
      </c>
      <c r="G1" s="32">
        <v>500</v>
      </c>
      <c r="H1" s="32">
        <f>F1/G1</f>
        <v>0.37</v>
      </c>
    </row>
    <row r="2" spans="1:8" x14ac:dyDescent="0.25">
      <c r="A2" s="36" t="s">
        <v>205</v>
      </c>
      <c r="B2" s="36"/>
      <c r="C2" s="36"/>
      <c r="D2" s="36"/>
      <c r="E2" s="36"/>
    </row>
    <row r="3" spans="1:8" ht="210" customHeight="1" x14ac:dyDescent="0.25">
      <c r="A3" s="29" t="s">
        <v>206</v>
      </c>
      <c r="B3" s="34" t="s">
        <v>207</v>
      </c>
      <c r="D3" s="33"/>
      <c r="E3" s="29"/>
    </row>
    <row r="4" spans="1:8" x14ac:dyDescent="0.25">
      <c r="A4" s="29"/>
      <c r="B4" s="29"/>
      <c r="C4" s="34"/>
      <c r="D4" s="29"/>
      <c r="E4" s="29"/>
    </row>
    <row r="5" spans="1:8" x14ac:dyDescent="0.25">
      <c r="A5" s="29"/>
      <c r="B5" s="29" t="s">
        <v>159</v>
      </c>
      <c r="C5" s="34"/>
      <c r="D5" s="29"/>
      <c r="E5" s="29"/>
    </row>
    <row r="6" spans="1:8" x14ac:dyDescent="0.25">
      <c r="A6" s="29" t="s">
        <v>209</v>
      </c>
      <c r="B6" s="29" t="s">
        <v>210</v>
      </c>
      <c r="C6" s="39">
        <v>1225</v>
      </c>
      <c r="D6" s="29"/>
      <c r="E6" s="29"/>
    </row>
    <row r="7" spans="1:8" x14ac:dyDescent="0.25">
      <c r="A7" s="29"/>
      <c r="B7" s="29" t="s">
        <v>211</v>
      </c>
      <c r="C7" s="30">
        <v>2500</v>
      </c>
      <c r="D7" s="29"/>
      <c r="E7" s="35"/>
    </row>
    <row r="8" spans="1:8" x14ac:dyDescent="0.25">
      <c r="A8" s="29"/>
      <c r="B8" s="29" t="s">
        <v>212</v>
      </c>
      <c r="C8" s="30">
        <f>C7*C6</f>
        <v>3062500</v>
      </c>
      <c r="D8" s="29" t="s">
        <v>155</v>
      </c>
      <c r="E8" s="29"/>
    </row>
    <row r="9" spans="1:8" x14ac:dyDescent="0.25">
      <c r="A9" s="29"/>
      <c r="B9" s="29" t="s">
        <v>213</v>
      </c>
      <c r="C9" s="30">
        <f>C8*0.15</f>
        <v>459375</v>
      </c>
      <c r="D9" s="33"/>
      <c r="E9" s="29"/>
    </row>
    <row r="10" spans="1:8" x14ac:dyDescent="0.25">
      <c r="A10" s="29"/>
      <c r="B10" s="29" t="s">
        <v>214</v>
      </c>
      <c r="C10" s="30">
        <f>C8*0.1</f>
        <v>306250</v>
      </c>
      <c r="D10" s="33"/>
      <c r="E10" s="29"/>
    </row>
    <row r="11" spans="1:8" x14ac:dyDescent="0.25">
      <c r="A11" s="29"/>
      <c r="B11" s="29" t="s">
        <v>215</v>
      </c>
      <c r="C11" s="30">
        <f>C8*0.04</f>
        <v>122500</v>
      </c>
      <c r="D11" s="29"/>
      <c r="E11" s="29"/>
    </row>
    <row r="12" spans="1:8" x14ac:dyDescent="0.25">
      <c r="A12" s="29"/>
      <c r="B12" s="29"/>
      <c r="C12" s="30"/>
      <c r="D12" s="29"/>
      <c r="E12" s="29"/>
    </row>
    <row r="13" spans="1:8" x14ac:dyDescent="0.25">
      <c r="A13" s="29" t="s">
        <v>208</v>
      </c>
      <c r="B13" s="29"/>
      <c r="C13" s="39">
        <f>C6*0.05</f>
        <v>61.25</v>
      </c>
      <c r="D13" s="29"/>
      <c r="E13" s="29"/>
    </row>
    <row r="14" spans="1:8" x14ac:dyDescent="0.25">
      <c r="A14" s="29"/>
      <c r="B14" s="29"/>
      <c r="C14" s="30">
        <v>500</v>
      </c>
      <c r="D14" s="29" t="s">
        <v>156</v>
      </c>
      <c r="E14" s="29"/>
    </row>
    <row r="15" spans="1:8" x14ac:dyDescent="0.25">
      <c r="A15" s="29"/>
      <c r="B15" s="29"/>
      <c r="C15" s="30">
        <f>C14*C13</f>
        <v>30625</v>
      </c>
      <c r="D15" s="29" t="s">
        <v>160</v>
      </c>
      <c r="E15" s="29"/>
    </row>
    <row r="16" spans="1:8" x14ac:dyDescent="0.25">
      <c r="A16" s="29"/>
      <c r="B16" s="29"/>
      <c r="C16" s="30">
        <f>C15*0.37</f>
        <v>11331.25</v>
      </c>
      <c r="D16" s="29" t="s">
        <v>216</v>
      </c>
      <c r="E16" s="29"/>
    </row>
    <row r="17" spans="1:5" x14ac:dyDescent="0.25">
      <c r="A17" s="29"/>
      <c r="B17" s="29"/>
      <c r="C17" s="30"/>
      <c r="D17" s="29"/>
      <c r="E17" s="29"/>
    </row>
    <row r="18" spans="1:5" x14ac:dyDescent="0.25">
      <c r="A18" s="29" t="s">
        <v>219</v>
      </c>
      <c r="B18" s="29"/>
      <c r="C18" s="39">
        <v>122</v>
      </c>
      <c r="D18" s="29" t="s">
        <v>165</v>
      </c>
      <c r="E18" s="29" t="s">
        <v>218</v>
      </c>
    </row>
    <row r="19" spans="1:5" x14ac:dyDescent="0.25">
      <c r="A19" s="29"/>
      <c r="B19" s="29"/>
      <c r="C19" s="30">
        <v>500</v>
      </c>
      <c r="D19" s="29" t="s">
        <v>165</v>
      </c>
      <c r="E19" s="29" t="s">
        <v>218</v>
      </c>
    </row>
    <row r="20" spans="1:5" x14ac:dyDescent="0.25">
      <c r="A20" s="29"/>
      <c r="B20" s="29"/>
      <c r="C20" s="30">
        <f>C19*C18</f>
        <v>61000</v>
      </c>
      <c r="D20" s="29" t="s">
        <v>166</v>
      </c>
      <c r="E20" s="29"/>
    </row>
    <row r="21" spans="1:5" x14ac:dyDescent="0.25">
      <c r="A21" s="29"/>
      <c r="B21" s="29"/>
      <c r="C21" s="30">
        <f>C20*0.05</f>
        <v>3050</v>
      </c>
      <c r="D21" s="29" t="s">
        <v>167</v>
      </c>
      <c r="E21" s="29"/>
    </row>
    <row r="22" spans="1:5" ht="45" x14ac:dyDescent="0.25">
      <c r="A22" s="29" t="s">
        <v>168</v>
      </c>
      <c r="B22" s="29" t="s">
        <v>340</v>
      </c>
      <c r="C22" s="30">
        <f>C21+C16+C11</f>
        <v>136881.25</v>
      </c>
      <c r="D22" s="31" t="s">
        <v>222</v>
      </c>
      <c r="E22" s="29" t="s">
        <v>224</v>
      </c>
    </row>
    <row r="23" spans="1:5" x14ac:dyDescent="0.25">
      <c r="A23" s="29"/>
      <c r="B23" s="29"/>
      <c r="C23" s="30"/>
      <c r="D23" s="31"/>
      <c r="E23" s="29"/>
    </row>
    <row r="24" spans="1:5" ht="45" x14ac:dyDescent="0.25">
      <c r="A24" s="29" t="s">
        <v>221</v>
      </c>
      <c r="B24" s="29" t="s">
        <v>239</v>
      </c>
      <c r="C24" s="38">
        <f>C22*50</f>
        <v>6844062.5</v>
      </c>
      <c r="D24" s="32" t="s">
        <v>223</v>
      </c>
      <c r="E24" s="29"/>
    </row>
    <row r="25" spans="1:5" x14ac:dyDescent="0.25">
      <c r="A25" s="29" t="s">
        <v>181</v>
      </c>
      <c r="B25" s="29" t="s">
        <v>176</v>
      </c>
      <c r="C25" s="40">
        <f>C24*10</f>
        <v>68440625</v>
      </c>
      <c r="D25" s="32" t="s">
        <v>225</v>
      </c>
      <c r="E25" s="29"/>
    </row>
    <row r="26" spans="1:5" ht="45" customHeight="1" x14ac:dyDescent="0.25">
      <c r="A26" s="29" t="s">
        <v>177</v>
      </c>
      <c r="B26" s="29" t="s">
        <v>226</v>
      </c>
      <c r="C26" s="30"/>
      <c r="D26" s="29"/>
      <c r="E26" s="29"/>
    </row>
    <row r="27" spans="1:5" x14ac:dyDescent="0.25">
      <c r="A27" s="29"/>
      <c r="B27" s="29" t="s">
        <v>227</v>
      </c>
      <c r="C27" s="30"/>
      <c r="D27" s="29"/>
      <c r="E27" s="29"/>
    </row>
    <row r="28" spans="1:5" x14ac:dyDescent="0.25">
      <c r="A28" s="29"/>
      <c r="B28" s="29" t="s">
        <v>228</v>
      </c>
      <c r="C28" s="38">
        <f>4*C24</f>
        <v>27376250</v>
      </c>
      <c r="D28" s="37" t="s">
        <v>229</v>
      </c>
      <c r="E28" s="29"/>
    </row>
    <row r="29" spans="1:5" ht="30" x14ac:dyDescent="0.25">
      <c r="A29" s="29"/>
      <c r="B29" s="29" t="s">
        <v>240</v>
      </c>
      <c r="C29" s="30"/>
      <c r="D29" s="29"/>
      <c r="E29" s="29"/>
    </row>
    <row r="30" spans="1:5" x14ac:dyDescent="0.25">
      <c r="A30" s="29"/>
      <c r="B30" s="29" t="s">
        <v>230</v>
      </c>
      <c r="C30" s="40">
        <f>C28*10</f>
        <v>273762500</v>
      </c>
      <c r="D30" s="29" t="s">
        <v>188</v>
      </c>
      <c r="E30" s="32" t="s">
        <v>232</v>
      </c>
    </row>
    <row r="31" spans="1:5" x14ac:dyDescent="0.25">
      <c r="A31" s="29"/>
      <c r="B31" s="29"/>
      <c r="C31" s="30"/>
      <c r="D31" s="29"/>
      <c r="E31" s="29"/>
    </row>
    <row r="32" spans="1:5" x14ac:dyDescent="0.25">
      <c r="A32" s="29" t="s">
        <v>189</v>
      </c>
      <c r="B32" s="29" t="s">
        <v>190</v>
      </c>
      <c r="C32" s="30">
        <v>1500000</v>
      </c>
      <c r="D32" s="29"/>
      <c r="E32" s="29"/>
    </row>
    <row r="33" spans="1:5" x14ac:dyDescent="0.25">
      <c r="A33" s="29" t="s">
        <v>231</v>
      </c>
      <c r="B33" s="29" t="s">
        <v>192</v>
      </c>
      <c r="C33" s="30">
        <v>50000</v>
      </c>
      <c r="D33" s="29"/>
      <c r="E33" s="29"/>
    </row>
    <row r="34" spans="1:5" x14ac:dyDescent="0.25">
      <c r="A34" s="29"/>
      <c r="B34" s="29" t="s">
        <v>193</v>
      </c>
      <c r="C34" s="30">
        <f>1400*50*10*20/6</f>
        <v>2333333.3333333335</v>
      </c>
      <c r="D34" s="29" t="s">
        <v>220</v>
      </c>
      <c r="E34" s="32" t="s">
        <v>232</v>
      </c>
    </row>
    <row r="35" spans="1:5" x14ac:dyDescent="0.25">
      <c r="A35" s="29"/>
      <c r="B35" s="29" t="s">
        <v>201</v>
      </c>
      <c r="C35" s="34"/>
      <c r="D35" s="29"/>
      <c r="E35" s="29"/>
    </row>
    <row r="36" spans="1:5" x14ac:dyDescent="0.25">
      <c r="A36" s="29"/>
      <c r="B36" s="29" t="s">
        <v>194</v>
      </c>
      <c r="C36" s="34" t="s">
        <v>196</v>
      </c>
      <c r="D36" s="29"/>
      <c r="E36" s="29"/>
    </row>
    <row r="37" spans="1:5" x14ac:dyDescent="0.25">
      <c r="A37" s="29"/>
      <c r="B37" s="29" t="s">
        <v>195</v>
      </c>
      <c r="C37" s="34" t="s">
        <v>196</v>
      </c>
      <c r="D37" s="29"/>
      <c r="E37" s="29"/>
    </row>
    <row r="38" spans="1:5" x14ac:dyDescent="0.25">
      <c r="A38" s="29"/>
      <c r="B38" s="29" t="s">
        <v>192</v>
      </c>
      <c r="C38" s="34" t="s">
        <v>196</v>
      </c>
      <c r="D38" s="29"/>
      <c r="E38" s="29"/>
    </row>
    <row r="39" spans="1:5" x14ac:dyDescent="0.25">
      <c r="A39" s="29"/>
      <c r="B39" s="29" t="s">
        <v>197</v>
      </c>
      <c r="C39" s="34" t="s">
        <v>196</v>
      </c>
      <c r="D39" s="29"/>
      <c r="E39" s="29"/>
    </row>
    <row r="40" spans="1:5" x14ac:dyDescent="0.25">
      <c r="A40" s="29"/>
      <c r="B40" s="29" t="s">
        <v>198</v>
      </c>
      <c r="C40" s="29">
        <v>1</v>
      </c>
      <c r="D40" s="29"/>
      <c r="E40" s="29"/>
    </row>
    <row r="41" spans="1:5" x14ac:dyDescent="0.25">
      <c r="A41" s="29"/>
      <c r="B41" s="29" t="s">
        <v>199</v>
      </c>
      <c r="C41" s="29">
        <v>1</v>
      </c>
      <c r="D41" s="29"/>
      <c r="E41" s="29"/>
    </row>
    <row r="42" spans="1:5" x14ac:dyDescent="0.25">
      <c r="A42" s="29"/>
      <c r="B42" s="29" t="s">
        <v>200</v>
      </c>
      <c r="C42" s="29">
        <v>1</v>
      </c>
      <c r="D42" s="29"/>
      <c r="E42" s="29"/>
    </row>
    <row r="43" spans="1:5" x14ac:dyDescent="0.25">
      <c r="A43" s="29"/>
      <c r="B43" s="29" t="s">
        <v>149</v>
      </c>
      <c r="C43" s="33">
        <v>0.18</v>
      </c>
      <c r="D43" s="29" t="s">
        <v>129</v>
      </c>
      <c r="E43" s="29"/>
    </row>
    <row r="44" spans="1:5" x14ac:dyDescent="0.25">
      <c r="B44" s="32" t="s">
        <v>324</v>
      </c>
      <c r="C44" s="72">
        <f>(C20+C15+C8)</f>
        <v>3154125</v>
      </c>
      <c r="D44" s="32">
        <f>C44*3/100</f>
        <v>94623.75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sqref="A1:F1"/>
    </sheetView>
  </sheetViews>
  <sheetFormatPr defaultRowHeight="15" x14ac:dyDescent="0.25"/>
  <cols>
    <col min="2" max="2" width="90.28515625" bestFit="1" customWidth="1"/>
    <col min="3" max="3" width="11.140625" style="59" bestFit="1" customWidth="1"/>
    <col min="4" max="4" width="12.28515625" bestFit="1" customWidth="1"/>
    <col min="5" max="5" width="13.42578125" bestFit="1" customWidth="1"/>
    <col min="6" max="6" width="12.28515625" bestFit="1" customWidth="1"/>
    <col min="7" max="7" width="13.42578125" bestFit="1" customWidth="1"/>
  </cols>
  <sheetData>
    <row r="1" spans="1:6" ht="15.75" thickBot="1" x14ac:dyDescent="0.3">
      <c r="A1" s="172" t="s">
        <v>348</v>
      </c>
      <c r="B1" s="172"/>
      <c r="C1" s="172"/>
      <c r="D1" s="172"/>
      <c r="E1" s="172"/>
      <c r="F1" s="172"/>
    </row>
    <row r="2" spans="1:6" ht="15.75" thickBot="1" x14ac:dyDescent="0.3">
      <c r="A2" s="69" t="s">
        <v>318</v>
      </c>
      <c r="B2" s="70" t="s">
        <v>309</v>
      </c>
      <c r="C2" s="70" t="s">
        <v>310</v>
      </c>
      <c r="D2" s="70" t="s">
        <v>311</v>
      </c>
      <c r="E2" s="70" t="s">
        <v>307</v>
      </c>
      <c r="F2" s="71" t="s">
        <v>312</v>
      </c>
    </row>
    <row r="3" spans="1:6" x14ac:dyDescent="0.25">
      <c r="A3" s="63" t="s">
        <v>319</v>
      </c>
      <c r="B3" s="66" t="s">
        <v>321</v>
      </c>
      <c r="C3" s="67">
        <v>1</v>
      </c>
      <c r="D3" s="64">
        <v>15000000</v>
      </c>
      <c r="E3" s="64"/>
      <c r="F3" s="64">
        <f>C3*D3</f>
        <v>15000000</v>
      </c>
    </row>
    <row r="4" spans="1:6" x14ac:dyDescent="0.25">
      <c r="A4" s="63" t="s">
        <v>320</v>
      </c>
      <c r="B4" s="66" t="s">
        <v>331</v>
      </c>
      <c r="C4" s="63">
        <v>1</v>
      </c>
      <c r="D4" s="64">
        <v>40000000</v>
      </c>
      <c r="E4" s="4"/>
      <c r="F4" s="64">
        <f>C4*D4</f>
        <v>40000000</v>
      </c>
    </row>
    <row r="5" spans="1:6" x14ac:dyDescent="0.25">
      <c r="A5" s="63" t="s">
        <v>330</v>
      </c>
      <c r="B5" s="66" t="s">
        <v>349</v>
      </c>
      <c r="C5" s="63">
        <v>1</v>
      </c>
      <c r="D5" s="64">
        <v>20000000</v>
      </c>
      <c r="E5" s="64"/>
      <c r="F5" s="64"/>
    </row>
    <row r="6" spans="1:6" x14ac:dyDescent="0.25">
      <c r="A6" s="63" t="s">
        <v>334</v>
      </c>
      <c r="B6" s="65" t="s">
        <v>327</v>
      </c>
      <c r="C6" s="63" t="s">
        <v>338</v>
      </c>
      <c r="D6" s="4"/>
      <c r="E6" s="4"/>
      <c r="F6" s="4"/>
    </row>
    <row r="7" spans="1:6" x14ac:dyDescent="0.25">
      <c r="A7" s="63" t="s">
        <v>335</v>
      </c>
      <c r="B7" s="65" t="s">
        <v>358</v>
      </c>
      <c r="C7" s="63" t="s">
        <v>338</v>
      </c>
      <c r="D7" s="4"/>
      <c r="E7" s="4"/>
      <c r="F7" s="4"/>
    </row>
    <row r="8" spans="1:6" x14ac:dyDescent="0.25">
      <c r="A8" s="63" t="s">
        <v>336</v>
      </c>
      <c r="B8" s="65" t="s">
        <v>322</v>
      </c>
      <c r="C8" s="63">
        <v>1</v>
      </c>
      <c r="D8" s="64">
        <v>175000</v>
      </c>
      <c r="E8" s="64"/>
      <c r="F8" s="64">
        <f>C8*D8</f>
        <v>175000</v>
      </c>
    </row>
    <row r="9" spans="1:6" x14ac:dyDescent="0.25">
      <c r="A9" s="63" t="s">
        <v>337</v>
      </c>
      <c r="B9" s="65" t="s">
        <v>350</v>
      </c>
      <c r="C9" s="63">
        <v>1</v>
      </c>
      <c r="D9" s="64">
        <f>1200000*10</f>
        <v>12000000</v>
      </c>
      <c r="E9" s="64"/>
      <c r="F9" s="64">
        <f>C9*D9</f>
        <v>12000000</v>
      </c>
    </row>
    <row r="10" spans="1:6" x14ac:dyDescent="0.25">
      <c r="A10" s="63">
        <v>14</v>
      </c>
      <c r="B10" s="65" t="s">
        <v>308</v>
      </c>
      <c r="C10" s="63">
        <v>150</v>
      </c>
      <c r="D10" s="64">
        <v>50000</v>
      </c>
      <c r="E10" s="64"/>
      <c r="F10" s="64">
        <f>C10*D10</f>
        <v>7500000</v>
      </c>
    </row>
    <row r="11" spans="1:6" x14ac:dyDescent="0.25">
      <c r="A11" s="78"/>
      <c r="B11" s="83" t="s">
        <v>359</v>
      </c>
      <c r="C11" s="79"/>
      <c r="D11" s="80"/>
      <c r="E11" s="80"/>
      <c r="F11" s="81">
        <f>SUM(F3:F10)</f>
        <v>74675000</v>
      </c>
    </row>
    <row r="12" spans="1:6" ht="15.75" thickBot="1" x14ac:dyDescent="0.3">
      <c r="A12" s="172" t="s">
        <v>351</v>
      </c>
      <c r="B12" s="172"/>
      <c r="C12" s="172"/>
      <c r="D12" s="172"/>
      <c r="E12" s="172"/>
      <c r="F12" s="172"/>
    </row>
    <row r="13" spans="1:6" ht="15.75" thickBot="1" x14ac:dyDescent="0.3">
      <c r="A13" s="69" t="s">
        <v>318</v>
      </c>
      <c r="B13" s="70" t="s">
        <v>309</v>
      </c>
      <c r="C13" s="70" t="s">
        <v>310</v>
      </c>
      <c r="D13" s="70" t="s">
        <v>311</v>
      </c>
      <c r="E13" s="70" t="s">
        <v>307</v>
      </c>
      <c r="F13" s="71" t="s">
        <v>312</v>
      </c>
    </row>
    <row r="14" spans="1:6" x14ac:dyDescent="0.25">
      <c r="A14" s="63">
        <v>2</v>
      </c>
      <c r="B14" s="65" t="s">
        <v>323</v>
      </c>
      <c r="C14" s="63">
        <v>1</v>
      </c>
      <c r="D14" s="64">
        <v>100000</v>
      </c>
      <c r="E14" s="64">
        <f>D14*C14</f>
        <v>100000</v>
      </c>
      <c r="F14" s="4"/>
    </row>
    <row r="15" spans="1:6" x14ac:dyDescent="0.25">
      <c r="A15" s="63">
        <v>7</v>
      </c>
      <c r="B15" s="65" t="s">
        <v>326</v>
      </c>
      <c r="C15" s="63">
        <v>1</v>
      </c>
      <c r="D15" s="64">
        <v>15000</v>
      </c>
      <c r="E15" s="64">
        <f t="shared" ref="E15:E21" si="0">D15*C15</f>
        <v>15000</v>
      </c>
      <c r="F15" s="4"/>
    </row>
    <row r="16" spans="1:6" x14ac:dyDescent="0.25">
      <c r="A16" s="63">
        <v>8</v>
      </c>
      <c r="B16" s="4" t="s">
        <v>315</v>
      </c>
      <c r="C16" s="63">
        <v>1</v>
      </c>
      <c r="D16" s="64">
        <v>10000</v>
      </c>
      <c r="E16" s="64">
        <f t="shared" si="0"/>
        <v>10000</v>
      </c>
      <c r="F16" s="4"/>
    </row>
    <row r="17" spans="1:6" x14ac:dyDescent="0.25">
      <c r="A17" s="63">
        <v>9</v>
      </c>
      <c r="B17" s="65" t="s">
        <v>313</v>
      </c>
      <c r="C17" s="63">
        <v>1</v>
      </c>
      <c r="D17" s="64">
        <v>20000</v>
      </c>
      <c r="E17" s="64">
        <f t="shared" si="0"/>
        <v>20000</v>
      </c>
      <c r="F17" s="4"/>
    </row>
    <row r="18" spans="1:6" x14ac:dyDescent="0.25">
      <c r="A18" s="63">
        <v>15</v>
      </c>
      <c r="B18" s="65" t="s">
        <v>314</v>
      </c>
      <c r="C18" s="63">
        <v>15</v>
      </c>
      <c r="D18" s="64">
        <v>3000</v>
      </c>
      <c r="E18" s="64">
        <f t="shared" si="0"/>
        <v>45000</v>
      </c>
      <c r="F18" s="4"/>
    </row>
    <row r="19" spans="1:6" x14ac:dyDescent="0.25">
      <c r="A19" s="63">
        <v>16</v>
      </c>
      <c r="B19" s="65" t="s">
        <v>316</v>
      </c>
      <c r="C19" s="63">
        <v>5</v>
      </c>
      <c r="D19" s="64">
        <v>10000</v>
      </c>
      <c r="E19" s="64">
        <f t="shared" si="0"/>
        <v>50000</v>
      </c>
      <c r="F19" s="4"/>
    </row>
    <row r="20" spans="1:6" x14ac:dyDescent="0.25">
      <c r="A20" s="63">
        <v>17</v>
      </c>
      <c r="B20" s="65" t="s">
        <v>328</v>
      </c>
      <c r="C20" s="63">
        <v>1</v>
      </c>
      <c r="D20" s="64">
        <v>20000</v>
      </c>
      <c r="E20" s="64">
        <f t="shared" si="0"/>
        <v>20000</v>
      </c>
      <c r="F20" s="64"/>
    </row>
    <row r="21" spans="1:6" x14ac:dyDescent="0.25">
      <c r="A21" s="63">
        <v>18</v>
      </c>
      <c r="B21" s="65" t="s">
        <v>329</v>
      </c>
      <c r="C21" s="63">
        <v>1</v>
      </c>
      <c r="D21" s="64">
        <v>100000</v>
      </c>
      <c r="E21" s="64">
        <f t="shared" si="0"/>
        <v>100000</v>
      </c>
      <c r="F21" s="4"/>
    </row>
    <row r="22" spans="1:6" x14ac:dyDescent="0.25">
      <c r="A22" s="63">
        <v>19</v>
      </c>
      <c r="B22" s="84" t="s">
        <v>360</v>
      </c>
      <c r="C22" s="67">
        <v>3</v>
      </c>
      <c r="D22" s="64">
        <v>20000</v>
      </c>
      <c r="E22" s="64">
        <f>D22*C22</f>
        <v>60000</v>
      </c>
      <c r="F22" s="4"/>
    </row>
    <row r="23" spans="1:6" x14ac:dyDescent="0.25">
      <c r="A23" s="63">
        <v>20</v>
      </c>
      <c r="B23" s="84" t="s">
        <v>195</v>
      </c>
      <c r="C23" s="67">
        <v>3</v>
      </c>
      <c r="D23" s="64">
        <v>35000</v>
      </c>
      <c r="E23" s="64">
        <f t="shared" ref="E23:E28" si="1">D23*C23</f>
        <v>105000</v>
      </c>
      <c r="F23" s="4"/>
    </row>
    <row r="24" spans="1:6" x14ac:dyDescent="0.25">
      <c r="A24" s="63">
        <v>21</v>
      </c>
      <c r="B24" s="84" t="s">
        <v>197</v>
      </c>
      <c r="C24" s="67">
        <v>2</v>
      </c>
      <c r="D24" s="64">
        <v>20000</v>
      </c>
      <c r="E24" s="64">
        <f t="shared" si="1"/>
        <v>40000</v>
      </c>
      <c r="F24" s="4"/>
    </row>
    <row r="25" spans="1:6" x14ac:dyDescent="0.25">
      <c r="A25" s="63">
        <v>22</v>
      </c>
      <c r="B25" s="84" t="s">
        <v>198</v>
      </c>
      <c r="C25" s="67">
        <v>1</v>
      </c>
      <c r="D25" s="64">
        <v>35000</v>
      </c>
      <c r="E25" s="64">
        <f t="shared" si="1"/>
        <v>35000</v>
      </c>
      <c r="F25" s="4"/>
    </row>
    <row r="26" spans="1:6" x14ac:dyDescent="0.25">
      <c r="A26" s="63">
        <v>24</v>
      </c>
      <c r="B26" s="84" t="s">
        <v>333</v>
      </c>
      <c r="C26" s="67">
        <v>1</v>
      </c>
      <c r="D26" s="64">
        <v>60000</v>
      </c>
      <c r="E26" s="64">
        <f t="shared" si="1"/>
        <v>60000</v>
      </c>
      <c r="F26" s="4"/>
    </row>
    <row r="27" spans="1:6" x14ac:dyDescent="0.25">
      <c r="A27" s="63">
        <v>25</v>
      </c>
      <c r="B27" s="84" t="s">
        <v>200</v>
      </c>
      <c r="C27" s="67">
        <v>3</v>
      </c>
      <c r="D27" s="64">
        <v>30000</v>
      </c>
      <c r="E27" s="64">
        <f t="shared" si="1"/>
        <v>90000</v>
      </c>
      <c r="F27" s="4"/>
    </row>
    <row r="28" spans="1:6" x14ac:dyDescent="0.25">
      <c r="A28" s="63">
        <v>26</v>
      </c>
      <c r="B28" s="84" t="s">
        <v>317</v>
      </c>
      <c r="C28" s="67">
        <v>1</v>
      </c>
      <c r="D28" s="64">
        <v>50000</v>
      </c>
      <c r="E28" s="64">
        <f t="shared" si="1"/>
        <v>50000</v>
      </c>
      <c r="F28" s="4"/>
    </row>
    <row r="29" spans="1:6" x14ac:dyDescent="0.25">
      <c r="A29" s="63">
        <v>31</v>
      </c>
      <c r="B29" s="4" t="s">
        <v>352</v>
      </c>
      <c r="C29" s="63"/>
      <c r="D29" s="4"/>
      <c r="E29" s="64">
        <f>SUM(E8:E28)</f>
        <v>800000</v>
      </c>
      <c r="F29" s="64">
        <f>SUM(F14:F28)</f>
        <v>0</v>
      </c>
    </row>
    <row r="30" spans="1:6" x14ac:dyDescent="0.25">
      <c r="A30" s="82">
        <v>32</v>
      </c>
      <c r="B30" s="4" t="s">
        <v>353</v>
      </c>
      <c r="C30" s="63"/>
      <c r="D30" s="4"/>
      <c r="E30" s="77">
        <f>E29*10</f>
        <v>8000000</v>
      </c>
      <c r="F30" s="64">
        <f>E30*12</f>
        <v>96000000</v>
      </c>
    </row>
    <row r="31" spans="1:6" ht="15.75" thickBot="1" x14ac:dyDescent="0.3">
      <c r="A31" s="172" t="s">
        <v>354</v>
      </c>
      <c r="B31" s="172"/>
      <c r="C31" s="172"/>
      <c r="D31" s="172"/>
      <c r="E31" s="172"/>
      <c r="F31" s="172"/>
    </row>
    <row r="32" spans="1:6" ht="15.75" thickBot="1" x14ac:dyDescent="0.3">
      <c r="A32" s="69" t="s">
        <v>318</v>
      </c>
      <c r="B32" s="70" t="s">
        <v>309</v>
      </c>
      <c r="C32" s="70" t="s">
        <v>310</v>
      </c>
      <c r="D32" s="70" t="s">
        <v>311</v>
      </c>
      <c r="E32" s="70" t="s">
        <v>307</v>
      </c>
      <c r="F32" s="71" t="s">
        <v>312</v>
      </c>
    </row>
    <row r="33" spans="1:8" x14ac:dyDescent="0.25">
      <c r="A33" s="63">
        <v>1</v>
      </c>
      <c r="B33" s="66" t="s">
        <v>361</v>
      </c>
      <c r="C33" s="67">
        <v>1</v>
      </c>
      <c r="D33" s="68">
        <v>3000000</v>
      </c>
      <c r="E33" s="64">
        <f>D33*C33</f>
        <v>3000000</v>
      </c>
      <c r="F33" s="4"/>
    </row>
    <row r="34" spans="1:8" x14ac:dyDescent="0.25">
      <c r="A34" s="63">
        <v>2</v>
      </c>
      <c r="B34" s="66" t="s">
        <v>193</v>
      </c>
      <c r="C34" s="67">
        <v>1</v>
      </c>
      <c r="D34" s="68">
        <v>2500000</v>
      </c>
      <c r="E34" s="64">
        <f>D34*C34*12</f>
        <v>30000000</v>
      </c>
      <c r="F34" s="4"/>
    </row>
    <row r="35" spans="1:8" x14ac:dyDescent="0.25">
      <c r="A35" s="63">
        <v>3</v>
      </c>
      <c r="B35" s="73" t="s">
        <v>324</v>
      </c>
      <c r="C35" s="63">
        <v>800</v>
      </c>
      <c r="D35" s="74">
        <v>100000</v>
      </c>
      <c r="E35" s="64">
        <f>D35*C35</f>
        <v>80000000</v>
      </c>
      <c r="F35" s="4"/>
    </row>
    <row r="36" spans="1:8" x14ac:dyDescent="0.25">
      <c r="A36" s="63">
        <v>4</v>
      </c>
      <c r="B36" s="4" t="s">
        <v>356</v>
      </c>
      <c r="C36" s="63">
        <v>1</v>
      </c>
      <c r="D36" s="85">
        <v>1000000</v>
      </c>
      <c r="E36" s="85">
        <f>D36</f>
        <v>1000000</v>
      </c>
      <c r="F36" s="64"/>
      <c r="G36" s="86">
        <f>F37+F30</f>
        <v>153000000</v>
      </c>
      <c r="H36" t="s">
        <v>376</v>
      </c>
    </row>
    <row r="37" spans="1:8" x14ac:dyDescent="0.25">
      <c r="A37" s="63">
        <v>4</v>
      </c>
      <c r="B37" s="4" t="s">
        <v>166</v>
      </c>
      <c r="C37" s="63"/>
      <c r="D37" s="64"/>
      <c r="E37" s="64">
        <f>SUM(E33:E36)</f>
        <v>114000000</v>
      </c>
      <c r="F37" s="64">
        <f>E37/2</f>
        <v>57000000</v>
      </c>
      <c r="G37" s="86">
        <f>(F37+F30+F11)</f>
        <v>227675000</v>
      </c>
      <c r="H37" t="s">
        <v>166</v>
      </c>
    </row>
    <row r="38" spans="1:8" x14ac:dyDescent="0.25">
      <c r="A38" s="172" t="s">
        <v>357</v>
      </c>
      <c r="B38" s="172"/>
      <c r="C38" s="172"/>
      <c r="D38" s="172"/>
      <c r="E38" s="172"/>
      <c r="F38" s="172"/>
    </row>
    <row r="39" spans="1:8" x14ac:dyDescent="0.25">
      <c r="A39" s="63">
        <v>1</v>
      </c>
      <c r="B39" s="73" t="s">
        <v>325</v>
      </c>
      <c r="C39" s="63">
        <v>50</v>
      </c>
      <c r="D39" s="64">
        <f>2/100*Budgeting!C29</f>
        <v>3660100.0000000005</v>
      </c>
      <c r="E39" s="64">
        <f>D39</f>
        <v>3660100.0000000005</v>
      </c>
      <c r="F39" s="4" t="s">
        <v>339</v>
      </c>
    </row>
    <row r="40" spans="1:8" x14ac:dyDescent="0.25">
      <c r="A40" s="63">
        <v>2</v>
      </c>
      <c r="B40" s="75" t="s">
        <v>332</v>
      </c>
      <c r="C40" s="63">
        <v>50</v>
      </c>
      <c r="D40" s="64">
        <v>0</v>
      </c>
      <c r="E40" s="64">
        <f>D40/12</f>
        <v>0</v>
      </c>
      <c r="F40" s="4" t="s">
        <v>339</v>
      </c>
    </row>
  </sheetData>
  <mergeCells count="4">
    <mergeCell ref="A1:F1"/>
    <mergeCell ref="A12:F12"/>
    <mergeCell ref="A31:F31"/>
    <mergeCell ref="A38:F3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ySplit="1" topLeftCell="A2" activePane="bottomLeft" state="frozen"/>
      <selection pane="bottomLeft" activeCell="C12" sqref="C12"/>
    </sheetView>
  </sheetViews>
  <sheetFormatPr defaultRowHeight="15" x14ac:dyDescent="0.25"/>
  <cols>
    <col min="2" max="2" width="12.28515625" style="59" bestFit="1" customWidth="1"/>
    <col min="3" max="3" width="12.140625" style="59" bestFit="1" customWidth="1"/>
    <col min="4" max="4" width="12.28515625" style="59" bestFit="1" customWidth="1"/>
    <col min="5" max="5" width="17" style="59" bestFit="1" customWidth="1"/>
    <col min="6" max="6" width="20.7109375" style="59" customWidth="1"/>
    <col min="7" max="7" width="23.28515625" bestFit="1" customWidth="1"/>
    <col min="8" max="8" width="40.28515625" customWidth="1"/>
  </cols>
  <sheetData>
    <row r="1" spans="1:11" x14ac:dyDescent="0.25">
      <c r="A1" s="89" t="s">
        <v>0</v>
      </c>
      <c r="B1" s="104" t="s">
        <v>389</v>
      </c>
      <c r="C1" s="104" t="s">
        <v>390</v>
      </c>
      <c r="D1" s="104" t="s">
        <v>391</v>
      </c>
      <c r="E1" s="104" t="s">
        <v>460</v>
      </c>
      <c r="F1" s="159" t="s">
        <v>459</v>
      </c>
      <c r="G1" s="89" t="s">
        <v>395</v>
      </c>
      <c r="H1" s="89" t="s">
        <v>395</v>
      </c>
      <c r="I1" s="20"/>
      <c r="J1" s="20"/>
      <c r="K1" s="20"/>
    </row>
    <row r="2" spans="1:11" x14ac:dyDescent="0.25">
      <c r="A2" s="178" t="s">
        <v>409</v>
      </c>
      <c r="B2" s="90" t="s">
        <v>392</v>
      </c>
      <c r="C2" s="90">
        <v>300</v>
      </c>
      <c r="D2" s="90">
        <v>0</v>
      </c>
      <c r="E2" s="90" t="s">
        <v>375</v>
      </c>
      <c r="F2" s="90"/>
      <c r="G2" s="91" t="s">
        <v>396</v>
      </c>
      <c r="H2" s="183" t="s">
        <v>458</v>
      </c>
    </row>
    <row r="3" spans="1:11" x14ac:dyDescent="0.25">
      <c r="A3" s="179"/>
      <c r="B3" s="90" t="s">
        <v>392</v>
      </c>
      <c r="C3" s="90">
        <v>750</v>
      </c>
      <c r="D3" s="90">
        <v>0</v>
      </c>
      <c r="E3" s="90" t="s">
        <v>375</v>
      </c>
      <c r="F3" s="90"/>
      <c r="G3" s="91" t="s">
        <v>397</v>
      </c>
      <c r="H3" s="183"/>
    </row>
    <row r="4" spans="1:11" x14ac:dyDescent="0.25">
      <c r="A4" s="179"/>
      <c r="B4" s="90" t="s">
        <v>392</v>
      </c>
      <c r="C4" s="90">
        <v>1000</v>
      </c>
      <c r="D4" s="90">
        <v>0</v>
      </c>
      <c r="E4" s="90" t="s">
        <v>375</v>
      </c>
      <c r="F4" s="90"/>
      <c r="G4" s="91" t="s">
        <v>398</v>
      </c>
      <c r="H4" s="183"/>
    </row>
    <row r="5" spans="1:11" x14ac:dyDescent="0.25">
      <c r="A5" s="179"/>
      <c r="B5" s="90" t="s">
        <v>392</v>
      </c>
      <c r="C5" s="90">
        <v>2500</v>
      </c>
      <c r="D5" s="90">
        <v>0</v>
      </c>
      <c r="E5" s="90" t="s">
        <v>375</v>
      </c>
      <c r="F5" s="90"/>
      <c r="G5" s="91" t="s">
        <v>399</v>
      </c>
      <c r="H5" s="183"/>
    </row>
    <row r="6" spans="1:11" x14ac:dyDescent="0.25">
      <c r="A6" s="179"/>
      <c r="B6" s="90" t="s">
        <v>392</v>
      </c>
      <c r="C6" s="90">
        <v>5000</v>
      </c>
      <c r="D6" s="90">
        <v>0</v>
      </c>
      <c r="E6" s="90" t="s">
        <v>375</v>
      </c>
      <c r="F6" s="90"/>
      <c r="G6" s="91" t="s">
        <v>400</v>
      </c>
      <c r="H6" s="183"/>
    </row>
    <row r="7" spans="1:11" x14ac:dyDescent="0.25">
      <c r="A7" s="179"/>
      <c r="B7" s="90" t="s">
        <v>392</v>
      </c>
      <c r="C7" s="90" t="s">
        <v>394</v>
      </c>
      <c r="D7" s="90">
        <v>0</v>
      </c>
      <c r="E7" s="90" t="s">
        <v>375</v>
      </c>
      <c r="F7" s="90"/>
      <c r="G7" s="91" t="s">
        <v>401</v>
      </c>
      <c r="H7" s="183"/>
    </row>
    <row r="8" spans="1:11" x14ac:dyDescent="0.25">
      <c r="A8" s="184"/>
      <c r="B8" s="63" t="s">
        <v>403</v>
      </c>
      <c r="C8" s="63">
        <v>300</v>
      </c>
      <c r="D8" s="92">
        <v>0.1</v>
      </c>
      <c r="E8" s="63">
        <v>60</v>
      </c>
      <c r="F8" s="63">
        <v>270</v>
      </c>
      <c r="G8" s="4" t="s">
        <v>396</v>
      </c>
      <c r="H8" s="186" t="s">
        <v>461</v>
      </c>
    </row>
    <row r="9" spans="1:11" x14ac:dyDescent="0.25">
      <c r="A9" s="185"/>
      <c r="B9" s="63" t="s">
        <v>403</v>
      </c>
      <c r="C9" s="63">
        <v>750</v>
      </c>
      <c r="D9" s="92">
        <v>0.1</v>
      </c>
      <c r="E9" s="63">
        <v>60</v>
      </c>
      <c r="F9" s="63">
        <v>675</v>
      </c>
      <c r="G9" s="4" t="s">
        <v>397</v>
      </c>
      <c r="H9" s="187"/>
    </row>
    <row r="10" spans="1:11" x14ac:dyDescent="0.25">
      <c r="A10" s="185"/>
      <c r="B10" s="63" t="s">
        <v>403</v>
      </c>
      <c r="C10" s="63">
        <v>1000</v>
      </c>
      <c r="D10" s="92">
        <v>0.1</v>
      </c>
      <c r="E10" s="63">
        <v>60</v>
      </c>
      <c r="F10" s="63">
        <v>900</v>
      </c>
      <c r="G10" s="4" t="s">
        <v>398</v>
      </c>
      <c r="H10" s="187"/>
    </row>
    <row r="11" spans="1:11" x14ac:dyDescent="0.25">
      <c r="A11" s="185"/>
      <c r="B11" s="63" t="s">
        <v>403</v>
      </c>
      <c r="C11" s="63">
        <v>2500</v>
      </c>
      <c r="D11" s="92">
        <v>0.1</v>
      </c>
      <c r="E11" s="63">
        <v>60</v>
      </c>
      <c r="F11" s="63">
        <v>2250</v>
      </c>
      <c r="G11" s="4" t="s">
        <v>399</v>
      </c>
      <c r="H11" s="187"/>
    </row>
    <row r="12" spans="1:11" x14ac:dyDescent="0.25">
      <c r="A12" s="185"/>
      <c r="B12" s="63" t="s">
        <v>403</v>
      </c>
      <c r="C12" s="63">
        <v>5000</v>
      </c>
      <c r="D12" s="92">
        <v>0.1</v>
      </c>
      <c r="E12" s="63">
        <v>60</v>
      </c>
      <c r="F12" s="63">
        <v>4000</v>
      </c>
      <c r="G12" s="4" t="s">
        <v>400</v>
      </c>
      <c r="H12" s="187"/>
    </row>
    <row r="13" spans="1:11" x14ac:dyDescent="0.25">
      <c r="A13" s="185"/>
      <c r="B13" s="63" t="s">
        <v>403</v>
      </c>
      <c r="C13" s="63" t="s">
        <v>394</v>
      </c>
      <c r="D13" s="92">
        <v>0.1</v>
      </c>
      <c r="E13" s="63">
        <v>60</v>
      </c>
      <c r="F13" s="63" t="s">
        <v>406</v>
      </c>
      <c r="G13" s="4" t="s">
        <v>401</v>
      </c>
      <c r="H13" s="187"/>
    </row>
    <row r="14" spans="1:11" x14ac:dyDescent="0.25">
      <c r="A14" s="188"/>
      <c r="B14" s="93" t="s">
        <v>402</v>
      </c>
      <c r="C14" s="93">
        <v>270</v>
      </c>
      <c r="D14" s="94">
        <v>0.1</v>
      </c>
      <c r="E14" s="97">
        <v>60</v>
      </c>
      <c r="F14" s="97">
        <f>C14*0.9</f>
        <v>243</v>
      </c>
      <c r="G14" s="95" t="s">
        <v>396</v>
      </c>
      <c r="H14" s="190"/>
    </row>
    <row r="15" spans="1:11" x14ac:dyDescent="0.25">
      <c r="A15" s="189"/>
      <c r="B15" s="93" t="s">
        <v>402</v>
      </c>
      <c r="C15" s="93">
        <v>675</v>
      </c>
      <c r="D15" s="94">
        <v>0.1</v>
      </c>
      <c r="E15" s="97">
        <v>60</v>
      </c>
      <c r="F15" s="97">
        <f>C15*0.9</f>
        <v>607.5</v>
      </c>
      <c r="G15" s="95" t="s">
        <v>397</v>
      </c>
      <c r="H15" s="191"/>
    </row>
    <row r="16" spans="1:11" x14ac:dyDescent="0.25">
      <c r="A16" s="189"/>
      <c r="B16" s="93" t="s">
        <v>402</v>
      </c>
      <c r="C16" s="93">
        <v>900</v>
      </c>
      <c r="D16" s="94">
        <v>0.1</v>
      </c>
      <c r="E16" s="97">
        <v>60</v>
      </c>
      <c r="F16" s="97">
        <f>C16*0.9</f>
        <v>810</v>
      </c>
      <c r="G16" s="95" t="s">
        <v>398</v>
      </c>
      <c r="H16" s="191"/>
    </row>
    <row r="17" spans="1:10" x14ac:dyDescent="0.25">
      <c r="A17" s="189"/>
      <c r="B17" s="93" t="s">
        <v>402</v>
      </c>
      <c r="C17" s="93">
        <v>2250</v>
      </c>
      <c r="D17" s="94">
        <v>0.1</v>
      </c>
      <c r="E17" s="97">
        <v>60</v>
      </c>
      <c r="F17" s="97">
        <f>C17*0.9</f>
        <v>2025</v>
      </c>
      <c r="G17" s="95" t="s">
        <v>399</v>
      </c>
      <c r="H17" s="191"/>
    </row>
    <row r="18" spans="1:10" x14ac:dyDescent="0.25">
      <c r="A18" s="189"/>
      <c r="B18" s="93" t="s">
        <v>402</v>
      </c>
      <c r="C18" s="93">
        <v>4500</v>
      </c>
      <c r="D18" s="94">
        <v>0.1</v>
      </c>
      <c r="E18" s="97">
        <v>60</v>
      </c>
      <c r="F18" s="97">
        <f>C18*0.9</f>
        <v>4050</v>
      </c>
      <c r="G18" s="95" t="s">
        <v>400</v>
      </c>
      <c r="H18" s="191"/>
    </row>
    <row r="19" spans="1:10" x14ac:dyDescent="0.25">
      <c r="A19" s="189"/>
      <c r="B19" s="93" t="s">
        <v>402</v>
      </c>
      <c r="C19" s="93" t="s">
        <v>406</v>
      </c>
      <c r="D19" s="94">
        <v>0.1</v>
      </c>
      <c r="E19" s="97">
        <v>60</v>
      </c>
      <c r="F19" s="97" t="s">
        <v>408</v>
      </c>
      <c r="G19" s="95" t="s">
        <v>401</v>
      </c>
      <c r="H19" s="192"/>
    </row>
    <row r="20" spans="1:10" x14ac:dyDescent="0.25">
      <c r="A20" s="173"/>
      <c r="B20" s="98" t="s">
        <v>414</v>
      </c>
      <c r="C20" s="98">
        <v>500</v>
      </c>
      <c r="D20" s="99">
        <v>0</v>
      </c>
      <c r="E20" s="100">
        <v>60</v>
      </c>
      <c r="F20" s="100">
        <v>250</v>
      </c>
      <c r="G20" s="101" t="s">
        <v>396</v>
      </c>
      <c r="H20" s="175" t="s">
        <v>457</v>
      </c>
      <c r="J20" t="s">
        <v>412</v>
      </c>
    </row>
    <row r="21" spans="1:10" x14ac:dyDescent="0.25">
      <c r="A21" s="174"/>
      <c r="B21" s="98" t="s">
        <v>414</v>
      </c>
      <c r="C21" s="98">
        <v>1000</v>
      </c>
      <c r="D21" s="99">
        <v>0</v>
      </c>
      <c r="E21" s="100">
        <v>60</v>
      </c>
      <c r="F21" s="100">
        <v>500</v>
      </c>
      <c r="G21" s="101" t="s">
        <v>397</v>
      </c>
      <c r="H21" s="176"/>
    </row>
    <row r="22" spans="1:10" x14ac:dyDescent="0.25">
      <c r="A22" s="174"/>
      <c r="B22" s="98" t="s">
        <v>414</v>
      </c>
      <c r="C22" s="98">
        <v>1500</v>
      </c>
      <c r="D22" s="99">
        <v>0</v>
      </c>
      <c r="E22" s="100">
        <v>60</v>
      </c>
      <c r="F22" s="100">
        <v>750</v>
      </c>
      <c r="G22" s="101" t="s">
        <v>398</v>
      </c>
      <c r="H22" s="176"/>
    </row>
    <row r="23" spans="1:10" x14ac:dyDescent="0.25">
      <c r="A23" s="174"/>
      <c r="B23" s="98" t="s">
        <v>414</v>
      </c>
      <c r="C23" s="98">
        <v>2000</v>
      </c>
      <c r="D23" s="99">
        <v>0</v>
      </c>
      <c r="E23" s="100">
        <v>60</v>
      </c>
      <c r="F23" s="100">
        <v>1000</v>
      </c>
      <c r="G23" s="101" t="s">
        <v>399</v>
      </c>
      <c r="H23" s="176"/>
    </row>
    <row r="24" spans="1:10" x14ac:dyDescent="0.25">
      <c r="A24" s="174"/>
      <c r="B24" s="98" t="s">
        <v>414</v>
      </c>
      <c r="C24" s="98">
        <v>5000</v>
      </c>
      <c r="D24" s="99">
        <v>0</v>
      </c>
      <c r="E24" s="100">
        <v>60</v>
      </c>
      <c r="F24" s="100">
        <v>2500</v>
      </c>
      <c r="G24" s="101" t="s">
        <v>400</v>
      </c>
      <c r="H24" s="176"/>
    </row>
    <row r="25" spans="1:10" x14ac:dyDescent="0.25">
      <c r="A25" s="174"/>
      <c r="B25" s="98" t="s">
        <v>414</v>
      </c>
      <c r="C25" s="98" t="s">
        <v>394</v>
      </c>
      <c r="D25" s="99">
        <v>0</v>
      </c>
      <c r="E25" s="100">
        <v>60</v>
      </c>
      <c r="F25" s="100" t="s">
        <v>456</v>
      </c>
      <c r="G25" s="101" t="s">
        <v>401</v>
      </c>
      <c r="H25" s="177"/>
    </row>
    <row r="26" spans="1:10" x14ac:dyDescent="0.25">
      <c r="A26" s="178"/>
      <c r="B26" s="90" t="s">
        <v>415</v>
      </c>
      <c r="C26" s="90">
        <v>250</v>
      </c>
      <c r="D26" s="102">
        <v>0.1</v>
      </c>
      <c r="E26" s="103">
        <v>60</v>
      </c>
      <c r="F26" s="103">
        <v>250</v>
      </c>
      <c r="G26" s="91" t="s">
        <v>396</v>
      </c>
      <c r="H26" s="180" t="s">
        <v>417</v>
      </c>
    </row>
    <row r="27" spans="1:10" x14ac:dyDescent="0.25">
      <c r="A27" s="179"/>
      <c r="B27" s="90" t="s">
        <v>415</v>
      </c>
      <c r="C27" s="90">
        <v>500</v>
      </c>
      <c r="D27" s="102">
        <v>0.1</v>
      </c>
      <c r="E27" s="103">
        <v>60</v>
      </c>
      <c r="F27" s="103">
        <v>450</v>
      </c>
      <c r="G27" s="91" t="s">
        <v>397</v>
      </c>
      <c r="H27" s="181"/>
    </row>
    <row r="28" spans="1:10" x14ac:dyDescent="0.25">
      <c r="A28" s="179"/>
      <c r="B28" s="90" t="s">
        <v>415</v>
      </c>
      <c r="C28" s="90">
        <v>750</v>
      </c>
      <c r="D28" s="102">
        <v>0.1</v>
      </c>
      <c r="E28" s="103">
        <v>60</v>
      </c>
      <c r="F28" s="103">
        <v>675</v>
      </c>
      <c r="G28" s="91" t="s">
        <v>398</v>
      </c>
      <c r="H28" s="181"/>
    </row>
    <row r="29" spans="1:10" x14ac:dyDescent="0.25">
      <c r="A29" s="179"/>
      <c r="B29" s="90" t="s">
        <v>415</v>
      </c>
      <c r="C29" s="90">
        <v>1000</v>
      </c>
      <c r="D29" s="102">
        <v>0.1</v>
      </c>
      <c r="E29" s="103">
        <v>60</v>
      </c>
      <c r="F29" s="103">
        <v>900</v>
      </c>
      <c r="G29" s="91" t="s">
        <v>399</v>
      </c>
      <c r="H29" s="181"/>
    </row>
    <row r="30" spans="1:10" x14ac:dyDescent="0.25">
      <c r="A30" s="179"/>
      <c r="B30" s="90" t="s">
        <v>415</v>
      </c>
      <c r="C30" s="90">
        <v>2500</v>
      </c>
      <c r="D30" s="102">
        <v>0.1</v>
      </c>
      <c r="E30" s="103">
        <v>60</v>
      </c>
      <c r="F30" s="103">
        <v>2250</v>
      </c>
      <c r="G30" s="91" t="s">
        <v>400</v>
      </c>
      <c r="H30" s="181"/>
    </row>
    <row r="31" spans="1:10" x14ac:dyDescent="0.25">
      <c r="A31" s="179"/>
      <c r="B31" s="90" t="s">
        <v>415</v>
      </c>
      <c r="C31" s="90" t="s">
        <v>456</v>
      </c>
      <c r="D31" s="102">
        <v>0.1</v>
      </c>
      <c r="E31" s="103">
        <v>60</v>
      </c>
      <c r="F31" s="103" t="s">
        <v>406</v>
      </c>
      <c r="G31" s="91" t="s">
        <v>401</v>
      </c>
      <c r="H31" s="182"/>
    </row>
  </sheetData>
  <mergeCells count="10">
    <mergeCell ref="A20:A25"/>
    <mergeCell ref="H20:H25"/>
    <mergeCell ref="A26:A31"/>
    <mergeCell ref="H26:H31"/>
    <mergeCell ref="A2:A7"/>
    <mergeCell ref="H2:H7"/>
    <mergeCell ref="A8:A13"/>
    <mergeCell ref="H8:H13"/>
    <mergeCell ref="A14:A19"/>
    <mergeCell ref="H14:H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8" activePane="bottomLeft" state="frozen"/>
      <selection pane="bottomLeft" activeCell="D8" sqref="D8"/>
    </sheetView>
  </sheetViews>
  <sheetFormatPr defaultRowHeight="15" x14ac:dyDescent="0.25"/>
  <cols>
    <col min="2" max="2" width="12.28515625" style="59" bestFit="1" customWidth="1"/>
    <col min="3" max="3" width="12.140625" style="59" bestFit="1" customWidth="1"/>
    <col min="4" max="4" width="13.85546875" style="59" bestFit="1" customWidth="1"/>
    <col min="5" max="5" width="12.28515625" style="59" bestFit="1" customWidth="1"/>
    <col min="6" max="6" width="17" style="59" bestFit="1" customWidth="1"/>
    <col min="7" max="7" width="17" style="59" customWidth="1"/>
    <col min="8" max="8" width="23.28515625" bestFit="1" customWidth="1"/>
    <col min="9" max="9" width="48.140625" customWidth="1"/>
  </cols>
  <sheetData>
    <row r="1" spans="1:12" x14ac:dyDescent="0.25">
      <c r="A1" s="89" t="s">
        <v>0</v>
      </c>
      <c r="B1" s="87" t="s">
        <v>389</v>
      </c>
      <c r="C1" s="87" t="s">
        <v>390</v>
      </c>
      <c r="D1" s="87" t="s">
        <v>393</v>
      </c>
      <c r="E1" s="87" t="s">
        <v>391</v>
      </c>
      <c r="F1" s="87" t="s">
        <v>404</v>
      </c>
      <c r="G1" s="87" t="s">
        <v>405</v>
      </c>
      <c r="H1" s="89" t="s">
        <v>395</v>
      </c>
      <c r="I1" s="89" t="s">
        <v>395</v>
      </c>
      <c r="J1" s="20"/>
      <c r="K1" s="20"/>
      <c r="L1" s="20"/>
    </row>
    <row r="2" spans="1:12" x14ac:dyDescent="0.25">
      <c r="A2" s="178" t="s">
        <v>409</v>
      </c>
      <c r="B2" s="90" t="s">
        <v>392</v>
      </c>
      <c r="C2" s="90">
        <v>300</v>
      </c>
      <c r="D2" s="90">
        <v>14</v>
      </c>
      <c r="E2" s="90">
        <v>0</v>
      </c>
      <c r="F2" s="90" t="s">
        <v>375</v>
      </c>
      <c r="G2" s="90"/>
      <c r="H2" s="91" t="s">
        <v>396</v>
      </c>
      <c r="I2" s="183" t="s">
        <v>407</v>
      </c>
    </row>
    <row r="3" spans="1:12" x14ac:dyDescent="0.25">
      <c r="A3" s="179"/>
      <c r="B3" s="90" t="s">
        <v>392</v>
      </c>
      <c r="C3" s="90">
        <v>750</v>
      </c>
      <c r="D3" s="90">
        <v>21</v>
      </c>
      <c r="E3" s="90">
        <v>0</v>
      </c>
      <c r="F3" s="90" t="s">
        <v>375</v>
      </c>
      <c r="G3" s="90"/>
      <c r="H3" s="91" t="s">
        <v>397</v>
      </c>
      <c r="I3" s="183"/>
    </row>
    <row r="4" spans="1:12" x14ac:dyDescent="0.25">
      <c r="A4" s="179"/>
      <c r="B4" s="90" t="s">
        <v>392</v>
      </c>
      <c r="C4" s="90">
        <v>1000</v>
      </c>
      <c r="D4" s="90">
        <v>30</v>
      </c>
      <c r="E4" s="90">
        <v>0</v>
      </c>
      <c r="F4" s="90" t="s">
        <v>375</v>
      </c>
      <c r="G4" s="90"/>
      <c r="H4" s="91" t="s">
        <v>398</v>
      </c>
      <c r="I4" s="183"/>
    </row>
    <row r="5" spans="1:12" x14ac:dyDescent="0.25">
      <c r="A5" s="179"/>
      <c r="B5" s="90" t="s">
        <v>392</v>
      </c>
      <c r="C5" s="90">
        <v>2500</v>
      </c>
      <c r="D5" s="90">
        <v>45</v>
      </c>
      <c r="E5" s="90">
        <v>0</v>
      </c>
      <c r="F5" s="90" t="s">
        <v>375</v>
      </c>
      <c r="G5" s="90"/>
      <c r="H5" s="91" t="s">
        <v>399</v>
      </c>
      <c r="I5" s="183"/>
    </row>
    <row r="6" spans="1:12" x14ac:dyDescent="0.25">
      <c r="A6" s="179"/>
      <c r="B6" s="90" t="s">
        <v>392</v>
      </c>
      <c r="C6" s="90">
        <v>5000</v>
      </c>
      <c r="D6" s="90">
        <v>60</v>
      </c>
      <c r="E6" s="90">
        <v>0</v>
      </c>
      <c r="F6" s="90" t="s">
        <v>375</v>
      </c>
      <c r="G6" s="90"/>
      <c r="H6" s="91" t="s">
        <v>400</v>
      </c>
      <c r="I6" s="183"/>
    </row>
    <row r="7" spans="1:12" x14ac:dyDescent="0.25">
      <c r="A7" s="179"/>
      <c r="B7" s="90" t="s">
        <v>392</v>
      </c>
      <c r="C7" s="90" t="s">
        <v>394</v>
      </c>
      <c r="D7" s="90">
        <v>75</v>
      </c>
      <c r="E7" s="90">
        <v>0</v>
      </c>
      <c r="F7" s="90" t="s">
        <v>375</v>
      </c>
      <c r="G7" s="90"/>
      <c r="H7" s="91" t="s">
        <v>401</v>
      </c>
      <c r="I7" s="183"/>
    </row>
    <row r="8" spans="1:12" x14ac:dyDescent="0.25">
      <c r="A8" s="184" t="s">
        <v>410</v>
      </c>
      <c r="B8" s="63" t="s">
        <v>403</v>
      </c>
      <c r="C8" s="63">
        <v>300</v>
      </c>
      <c r="D8" s="63">
        <v>14</v>
      </c>
      <c r="E8" s="92">
        <v>0.1</v>
      </c>
      <c r="F8" s="63">
        <v>14</v>
      </c>
      <c r="G8" s="96">
        <v>270</v>
      </c>
      <c r="H8" s="4" t="s">
        <v>396</v>
      </c>
      <c r="I8" s="186" t="s">
        <v>413</v>
      </c>
    </row>
    <row r="9" spans="1:12" x14ac:dyDescent="0.25">
      <c r="A9" s="185"/>
      <c r="B9" s="63" t="s">
        <v>403</v>
      </c>
      <c r="C9" s="63">
        <v>750</v>
      </c>
      <c r="D9" s="63">
        <v>21</v>
      </c>
      <c r="E9" s="92">
        <v>0.1</v>
      </c>
      <c r="F9" s="63">
        <v>21</v>
      </c>
      <c r="G9" s="96">
        <v>675</v>
      </c>
      <c r="H9" s="4" t="s">
        <v>397</v>
      </c>
      <c r="I9" s="187"/>
    </row>
    <row r="10" spans="1:12" x14ac:dyDescent="0.25">
      <c r="A10" s="185"/>
      <c r="B10" s="63" t="s">
        <v>403</v>
      </c>
      <c r="C10" s="63">
        <v>1000</v>
      </c>
      <c r="D10" s="63">
        <v>30</v>
      </c>
      <c r="E10" s="92">
        <v>0.1</v>
      </c>
      <c r="F10" s="63">
        <v>30</v>
      </c>
      <c r="G10" s="96">
        <v>900</v>
      </c>
      <c r="H10" s="4" t="s">
        <v>398</v>
      </c>
      <c r="I10" s="187"/>
    </row>
    <row r="11" spans="1:12" x14ac:dyDescent="0.25">
      <c r="A11" s="185"/>
      <c r="B11" s="63" t="s">
        <v>403</v>
      </c>
      <c r="C11" s="63">
        <v>2500</v>
      </c>
      <c r="D11" s="63">
        <v>45</v>
      </c>
      <c r="E11" s="92">
        <v>0.1</v>
      </c>
      <c r="F11" s="63">
        <v>45</v>
      </c>
      <c r="G11" s="96">
        <v>2250</v>
      </c>
      <c r="H11" s="4" t="s">
        <v>399</v>
      </c>
      <c r="I11" s="187"/>
    </row>
    <row r="12" spans="1:12" x14ac:dyDescent="0.25">
      <c r="A12" s="185"/>
      <c r="B12" s="63" t="s">
        <v>403</v>
      </c>
      <c r="C12" s="63">
        <v>5000</v>
      </c>
      <c r="D12" s="63">
        <v>60</v>
      </c>
      <c r="E12" s="92">
        <v>0.1</v>
      </c>
      <c r="F12" s="63">
        <v>60</v>
      </c>
      <c r="G12" s="96">
        <v>4500</v>
      </c>
      <c r="H12" s="4" t="s">
        <v>400</v>
      </c>
      <c r="I12" s="187"/>
    </row>
    <row r="13" spans="1:12" x14ac:dyDescent="0.25">
      <c r="A13" s="185"/>
      <c r="B13" s="63" t="s">
        <v>403</v>
      </c>
      <c r="C13" s="63" t="s">
        <v>394</v>
      </c>
      <c r="D13" s="63">
        <v>75</v>
      </c>
      <c r="E13" s="92">
        <v>0.1</v>
      </c>
      <c r="F13" s="63">
        <v>75</v>
      </c>
      <c r="G13" s="96" t="s">
        <v>406</v>
      </c>
      <c r="H13" s="4" t="s">
        <v>401</v>
      </c>
      <c r="I13" s="187"/>
    </row>
    <row r="14" spans="1:12" x14ac:dyDescent="0.25">
      <c r="A14" s="188" t="s">
        <v>411</v>
      </c>
      <c r="B14" s="93" t="s">
        <v>402</v>
      </c>
      <c r="C14" s="93">
        <v>270</v>
      </c>
      <c r="D14" s="93">
        <v>14</v>
      </c>
      <c r="E14" s="94">
        <v>0.1</v>
      </c>
      <c r="F14" s="93">
        <v>14</v>
      </c>
      <c r="G14" s="97">
        <f>C14*0.9</f>
        <v>243</v>
      </c>
      <c r="H14" s="95" t="s">
        <v>396</v>
      </c>
      <c r="I14" s="190"/>
    </row>
    <row r="15" spans="1:12" x14ac:dyDescent="0.25">
      <c r="A15" s="189"/>
      <c r="B15" s="93" t="s">
        <v>402</v>
      </c>
      <c r="C15" s="93">
        <v>675</v>
      </c>
      <c r="D15" s="93">
        <v>21</v>
      </c>
      <c r="E15" s="94">
        <v>0.1</v>
      </c>
      <c r="F15" s="93">
        <v>21</v>
      </c>
      <c r="G15" s="97">
        <f>C15*0.9</f>
        <v>607.5</v>
      </c>
      <c r="H15" s="95" t="s">
        <v>397</v>
      </c>
      <c r="I15" s="191"/>
    </row>
    <row r="16" spans="1:12" x14ac:dyDescent="0.25">
      <c r="A16" s="189"/>
      <c r="B16" s="93" t="s">
        <v>402</v>
      </c>
      <c r="C16" s="93">
        <v>900</v>
      </c>
      <c r="D16" s="93">
        <v>30</v>
      </c>
      <c r="E16" s="94">
        <v>0.1</v>
      </c>
      <c r="F16" s="93">
        <v>30</v>
      </c>
      <c r="G16" s="97">
        <f>C16*0.9</f>
        <v>810</v>
      </c>
      <c r="H16" s="95" t="s">
        <v>398</v>
      </c>
      <c r="I16" s="191"/>
    </row>
    <row r="17" spans="1:11" x14ac:dyDescent="0.25">
      <c r="A17" s="189"/>
      <c r="B17" s="93" t="s">
        <v>402</v>
      </c>
      <c r="C17" s="93">
        <v>2250</v>
      </c>
      <c r="D17" s="93">
        <v>45</v>
      </c>
      <c r="E17" s="94">
        <v>0.1</v>
      </c>
      <c r="F17" s="93">
        <v>45</v>
      </c>
      <c r="G17" s="97">
        <f>C17*0.9</f>
        <v>2025</v>
      </c>
      <c r="H17" s="95" t="s">
        <v>399</v>
      </c>
      <c r="I17" s="191"/>
    </row>
    <row r="18" spans="1:11" x14ac:dyDescent="0.25">
      <c r="A18" s="189"/>
      <c r="B18" s="93" t="s">
        <v>402</v>
      </c>
      <c r="C18" s="93">
        <v>4500</v>
      </c>
      <c r="D18" s="93">
        <v>60</v>
      </c>
      <c r="E18" s="94">
        <v>0.1</v>
      </c>
      <c r="F18" s="93">
        <v>60</v>
      </c>
      <c r="G18" s="97">
        <f>C18*0.9</f>
        <v>4050</v>
      </c>
      <c r="H18" s="95" t="s">
        <v>400</v>
      </c>
      <c r="I18" s="191"/>
    </row>
    <row r="19" spans="1:11" x14ac:dyDescent="0.25">
      <c r="A19" s="189"/>
      <c r="B19" s="93" t="s">
        <v>402</v>
      </c>
      <c r="C19" s="93" t="s">
        <v>406</v>
      </c>
      <c r="D19" s="93">
        <v>75</v>
      </c>
      <c r="E19" s="94">
        <v>0.1</v>
      </c>
      <c r="F19" s="93">
        <v>75</v>
      </c>
      <c r="G19" s="97" t="s">
        <v>408</v>
      </c>
      <c r="H19" s="95" t="s">
        <v>401</v>
      </c>
      <c r="I19" s="192"/>
    </row>
    <row r="20" spans="1:11" x14ac:dyDescent="0.25">
      <c r="A20" s="173" t="s">
        <v>411</v>
      </c>
      <c r="B20" s="98" t="s">
        <v>414</v>
      </c>
      <c r="C20" s="98">
        <v>500</v>
      </c>
      <c r="D20" s="98">
        <v>15</v>
      </c>
      <c r="E20" s="99">
        <v>0</v>
      </c>
      <c r="F20" s="98">
        <v>14</v>
      </c>
      <c r="G20" s="100">
        <f>C20*0.9</f>
        <v>450</v>
      </c>
      <c r="H20" s="101" t="s">
        <v>396</v>
      </c>
      <c r="I20" s="193"/>
      <c r="K20" t="s">
        <v>412</v>
      </c>
    </row>
    <row r="21" spans="1:11" x14ac:dyDescent="0.25">
      <c r="A21" s="174"/>
      <c r="B21" s="98" t="s">
        <v>414</v>
      </c>
      <c r="C21" s="98">
        <v>1000</v>
      </c>
      <c r="D21" s="98">
        <v>15</v>
      </c>
      <c r="E21" s="99">
        <v>0</v>
      </c>
      <c r="F21" s="98">
        <v>21</v>
      </c>
      <c r="G21" s="100">
        <f>C21*0.9</f>
        <v>900</v>
      </c>
      <c r="H21" s="101" t="s">
        <v>397</v>
      </c>
      <c r="I21" s="194"/>
    </row>
    <row r="22" spans="1:11" x14ac:dyDescent="0.25">
      <c r="A22" s="174"/>
      <c r="B22" s="98" t="s">
        <v>414</v>
      </c>
      <c r="C22" s="98">
        <v>1500</v>
      </c>
      <c r="D22" s="98">
        <v>30</v>
      </c>
      <c r="E22" s="99">
        <v>0</v>
      </c>
      <c r="F22" s="98">
        <v>30</v>
      </c>
      <c r="G22" s="100">
        <f>C22*0.9</f>
        <v>1350</v>
      </c>
      <c r="H22" s="101" t="s">
        <v>398</v>
      </c>
      <c r="I22" s="194"/>
    </row>
    <row r="23" spans="1:11" x14ac:dyDescent="0.25">
      <c r="A23" s="174"/>
      <c r="B23" s="98" t="s">
        <v>414</v>
      </c>
      <c r="C23" s="98">
        <v>2000</v>
      </c>
      <c r="D23" s="98">
        <v>30</v>
      </c>
      <c r="E23" s="99">
        <v>0</v>
      </c>
      <c r="F23" s="98">
        <v>45</v>
      </c>
      <c r="G23" s="100">
        <f>C23*0.9</f>
        <v>1800</v>
      </c>
      <c r="H23" s="101" t="s">
        <v>399</v>
      </c>
      <c r="I23" s="194"/>
    </row>
    <row r="24" spans="1:11" x14ac:dyDescent="0.25">
      <c r="A24" s="174"/>
      <c r="B24" s="98" t="s">
        <v>414</v>
      </c>
      <c r="C24" s="98">
        <v>5000</v>
      </c>
      <c r="D24" s="98">
        <v>30</v>
      </c>
      <c r="E24" s="99">
        <v>0</v>
      </c>
      <c r="F24" s="98">
        <v>60</v>
      </c>
      <c r="G24" s="100">
        <f>C24*0.9</f>
        <v>4500</v>
      </c>
      <c r="H24" s="101" t="s">
        <v>400</v>
      </c>
      <c r="I24" s="194"/>
    </row>
    <row r="25" spans="1:11" x14ac:dyDescent="0.25">
      <c r="A25" s="174"/>
      <c r="B25" s="98" t="s">
        <v>414</v>
      </c>
      <c r="C25" s="98" t="s">
        <v>394</v>
      </c>
      <c r="D25" s="98">
        <v>30</v>
      </c>
      <c r="E25" s="99">
        <v>0</v>
      </c>
      <c r="F25" s="98">
        <v>75</v>
      </c>
      <c r="G25" s="100" t="s">
        <v>408</v>
      </c>
      <c r="H25" s="101" t="s">
        <v>401</v>
      </c>
      <c r="I25" s="195"/>
    </row>
    <row r="26" spans="1:11" x14ac:dyDescent="0.25">
      <c r="A26" s="178" t="s">
        <v>411</v>
      </c>
      <c r="B26" s="90" t="s">
        <v>415</v>
      </c>
      <c r="C26" s="90">
        <v>500</v>
      </c>
      <c r="D26" s="90">
        <v>15</v>
      </c>
      <c r="E26" s="102">
        <v>0.2</v>
      </c>
      <c r="F26" s="90">
        <v>14</v>
      </c>
      <c r="G26" s="103">
        <f>C26*0.8</f>
        <v>400</v>
      </c>
      <c r="H26" s="91" t="s">
        <v>396</v>
      </c>
      <c r="I26" s="180" t="s">
        <v>417</v>
      </c>
    </row>
    <row r="27" spans="1:11" x14ac:dyDescent="0.25">
      <c r="A27" s="179"/>
      <c r="B27" s="90" t="s">
        <v>415</v>
      </c>
      <c r="C27" s="90">
        <v>1000</v>
      </c>
      <c r="D27" s="90">
        <v>15</v>
      </c>
      <c r="E27" s="102">
        <v>0.2</v>
      </c>
      <c r="F27" s="90">
        <v>21</v>
      </c>
      <c r="G27" s="103">
        <f>C27*0.8</f>
        <v>800</v>
      </c>
      <c r="H27" s="91" t="s">
        <v>397</v>
      </c>
      <c r="I27" s="181"/>
    </row>
    <row r="28" spans="1:11" x14ac:dyDescent="0.25">
      <c r="A28" s="179"/>
      <c r="B28" s="90" t="s">
        <v>415</v>
      </c>
      <c r="C28" s="90">
        <v>1500</v>
      </c>
      <c r="D28" s="90">
        <v>30</v>
      </c>
      <c r="E28" s="102">
        <v>0.2</v>
      </c>
      <c r="F28" s="90">
        <v>30</v>
      </c>
      <c r="G28" s="103">
        <f>C28*0.8</f>
        <v>1200</v>
      </c>
      <c r="H28" s="91" t="s">
        <v>398</v>
      </c>
      <c r="I28" s="181"/>
    </row>
    <row r="29" spans="1:11" x14ac:dyDescent="0.25">
      <c r="A29" s="179"/>
      <c r="B29" s="90" t="s">
        <v>415</v>
      </c>
      <c r="C29" s="90">
        <v>2000</v>
      </c>
      <c r="D29" s="90">
        <v>30</v>
      </c>
      <c r="E29" s="102">
        <v>0.2</v>
      </c>
      <c r="F29" s="90">
        <v>45</v>
      </c>
      <c r="G29" s="103">
        <f>C29*0.8</f>
        <v>1600</v>
      </c>
      <c r="H29" s="91" t="s">
        <v>399</v>
      </c>
      <c r="I29" s="181"/>
    </row>
    <row r="30" spans="1:11" x14ac:dyDescent="0.25">
      <c r="A30" s="179"/>
      <c r="B30" s="90" t="s">
        <v>415</v>
      </c>
      <c r="C30" s="90">
        <v>5000</v>
      </c>
      <c r="D30" s="90">
        <v>30</v>
      </c>
      <c r="E30" s="102">
        <v>0.2</v>
      </c>
      <c r="F30" s="90">
        <v>60</v>
      </c>
      <c r="G30" s="103">
        <f>C30*0.8</f>
        <v>4000</v>
      </c>
      <c r="H30" s="91" t="s">
        <v>400</v>
      </c>
      <c r="I30" s="181"/>
    </row>
    <row r="31" spans="1:11" x14ac:dyDescent="0.25">
      <c r="A31" s="179"/>
      <c r="B31" s="90" t="s">
        <v>415</v>
      </c>
      <c r="C31" s="90" t="s">
        <v>394</v>
      </c>
      <c r="D31" s="90">
        <v>30</v>
      </c>
      <c r="E31" s="102">
        <v>0.2</v>
      </c>
      <c r="F31" s="90">
        <v>75</v>
      </c>
      <c r="G31" s="103" t="s">
        <v>416</v>
      </c>
      <c r="H31" s="91" t="s">
        <v>401</v>
      </c>
      <c r="I31" s="182"/>
    </row>
  </sheetData>
  <mergeCells count="10">
    <mergeCell ref="I2:I7"/>
    <mergeCell ref="A2:A7"/>
    <mergeCell ref="A8:A13"/>
    <mergeCell ref="A14:A19"/>
    <mergeCell ref="A20:A25"/>
    <mergeCell ref="A26:A31"/>
    <mergeCell ref="I26:I31"/>
    <mergeCell ref="I20:I25"/>
    <mergeCell ref="I14:I19"/>
    <mergeCell ref="I8:I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Normal="100" workbookViewId="0"/>
  </sheetViews>
  <sheetFormatPr defaultRowHeight="15" x14ac:dyDescent="0.25"/>
  <cols>
    <col min="1" max="1" width="22.85546875" style="32" customWidth="1"/>
    <col min="2" max="2" width="42.5703125" style="32" customWidth="1"/>
    <col min="3" max="3" width="20.140625" style="32" bestFit="1" customWidth="1"/>
    <col min="4" max="4" width="24.85546875" style="32" bestFit="1" customWidth="1"/>
    <col min="5" max="5" width="28.42578125" style="32" customWidth="1"/>
    <col min="6" max="6" width="10" style="32" bestFit="1" customWidth="1"/>
    <col min="7" max="16384" width="9.140625" style="32"/>
  </cols>
  <sheetData>
    <row r="1" spans="1:9" ht="300" x14ac:dyDescent="0.25">
      <c r="A1" s="29" t="s">
        <v>419</v>
      </c>
      <c r="B1" s="29" t="s">
        <v>455</v>
      </c>
      <c r="C1" s="33" t="s">
        <v>204</v>
      </c>
      <c r="E1" s="29" t="s">
        <v>418</v>
      </c>
      <c r="F1" s="29"/>
      <c r="G1" s="29"/>
      <c r="H1" s="29"/>
      <c r="I1" s="29"/>
    </row>
    <row r="2" spans="1:9" x14ac:dyDescent="0.25">
      <c r="A2" s="36" t="s">
        <v>205</v>
      </c>
      <c r="B2" s="36"/>
      <c r="C2" s="36"/>
      <c r="D2" s="36"/>
      <c r="E2" s="36"/>
    </row>
    <row r="3" spans="1:9" ht="210" customHeight="1" x14ac:dyDescent="0.25">
      <c r="A3" s="29" t="s">
        <v>206</v>
      </c>
      <c r="B3" s="34" t="s">
        <v>207</v>
      </c>
      <c r="D3" s="33"/>
      <c r="E3" s="29"/>
    </row>
    <row r="4" spans="1:9" x14ac:dyDescent="0.25">
      <c r="A4" s="29"/>
      <c r="B4" s="29"/>
      <c r="C4" s="34"/>
      <c r="D4" s="29"/>
      <c r="E4" s="29"/>
    </row>
    <row r="5" spans="1:9" x14ac:dyDescent="0.25">
      <c r="A5" s="29"/>
      <c r="B5" s="29" t="s">
        <v>159</v>
      </c>
      <c r="C5" s="34"/>
      <c r="D5" s="29"/>
      <c r="E5" s="29"/>
    </row>
    <row r="6" spans="1:9" x14ac:dyDescent="0.25">
      <c r="A6" s="29" t="s">
        <v>209</v>
      </c>
      <c r="B6" s="29" t="s">
        <v>210</v>
      </c>
      <c r="C6" s="39">
        <v>1225</v>
      </c>
      <c r="D6" s="29"/>
      <c r="E6" s="29"/>
    </row>
    <row r="7" spans="1:9" x14ac:dyDescent="0.25">
      <c r="A7" s="29"/>
      <c r="B7" s="29" t="s">
        <v>211</v>
      </c>
      <c r="C7" s="30">
        <v>2500</v>
      </c>
      <c r="D7" s="29"/>
      <c r="E7" s="35"/>
    </row>
    <row r="8" spans="1:9" x14ac:dyDescent="0.25">
      <c r="A8" s="29"/>
      <c r="B8" s="29" t="s">
        <v>212</v>
      </c>
      <c r="C8" s="30">
        <f>C7*C6</f>
        <v>3062500</v>
      </c>
      <c r="D8" s="29" t="s">
        <v>155</v>
      </c>
      <c r="E8" s="29"/>
    </row>
    <row r="9" spans="1:9" x14ac:dyDescent="0.25">
      <c r="A9" s="29"/>
      <c r="B9" s="29" t="s">
        <v>342</v>
      </c>
      <c r="C9" s="30">
        <f>C8*0.14</f>
        <v>428750.00000000006</v>
      </c>
      <c r="D9" s="33"/>
      <c r="E9" s="29"/>
    </row>
    <row r="10" spans="1:9" x14ac:dyDescent="0.25">
      <c r="A10" s="29"/>
      <c r="B10" s="29" t="s">
        <v>341</v>
      </c>
      <c r="C10" s="30">
        <f>C8*0.08</f>
        <v>245000</v>
      </c>
      <c r="D10" s="33"/>
      <c r="E10" s="29"/>
    </row>
    <row r="11" spans="1:9" x14ac:dyDescent="0.25">
      <c r="A11" s="29"/>
      <c r="B11" s="29" t="s">
        <v>343</v>
      </c>
      <c r="C11" s="30">
        <f>C8*0.07</f>
        <v>214375.00000000003</v>
      </c>
      <c r="D11" s="29"/>
      <c r="E11" s="29"/>
    </row>
    <row r="12" spans="1:9" x14ac:dyDescent="0.25">
      <c r="A12" s="29"/>
      <c r="B12" s="29"/>
      <c r="C12" s="30"/>
      <c r="D12" s="29"/>
      <c r="E12" s="29"/>
    </row>
    <row r="13" spans="1:9" x14ac:dyDescent="0.25">
      <c r="A13" s="29" t="s">
        <v>388</v>
      </c>
      <c r="B13" s="29"/>
      <c r="C13" s="39">
        <f>C6*0.05</f>
        <v>61.25</v>
      </c>
      <c r="D13" s="29"/>
      <c r="E13" s="29"/>
    </row>
    <row r="14" spans="1:9" x14ac:dyDescent="0.25">
      <c r="A14" s="29"/>
      <c r="B14" s="29"/>
      <c r="C14" s="30">
        <v>500</v>
      </c>
      <c r="D14" s="29" t="s">
        <v>156</v>
      </c>
      <c r="E14" s="29"/>
    </row>
    <row r="15" spans="1:9" x14ac:dyDescent="0.25">
      <c r="A15" s="29"/>
      <c r="B15" s="29"/>
      <c r="C15" s="30">
        <f>C14*C13</f>
        <v>30625</v>
      </c>
      <c r="D15" s="29" t="s">
        <v>160</v>
      </c>
      <c r="E15" s="29"/>
    </row>
    <row r="16" spans="1:9" x14ac:dyDescent="0.25">
      <c r="A16" s="29"/>
      <c r="B16" s="29"/>
      <c r="C16" s="30">
        <f>C15*0.37</f>
        <v>11331.25</v>
      </c>
      <c r="D16" s="29" t="s">
        <v>216</v>
      </c>
      <c r="E16" s="29"/>
    </row>
    <row r="17" spans="1:6" x14ac:dyDescent="0.25">
      <c r="A17" s="29"/>
      <c r="B17" s="29"/>
      <c r="C17" s="30"/>
      <c r="D17" s="29"/>
      <c r="E17" s="29"/>
    </row>
    <row r="18" spans="1:6" x14ac:dyDescent="0.25">
      <c r="A18" s="29" t="s">
        <v>219</v>
      </c>
      <c r="B18" s="29"/>
      <c r="C18" s="39">
        <v>122</v>
      </c>
      <c r="D18" s="29" t="s">
        <v>165</v>
      </c>
      <c r="E18" s="29" t="s">
        <v>218</v>
      </c>
    </row>
    <row r="19" spans="1:6" x14ac:dyDescent="0.25">
      <c r="A19" s="29"/>
      <c r="B19" s="29"/>
      <c r="C19" s="30">
        <v>500</v>
      </c>
      <c r="D19" s="29" t="s">
        <v>165</v>
      </c>
      <c r="E19" s="29" t="s">
        <v>218</v>
      </c>
    </row>
    <row r="20" spans="1:6" x14ac:dyDescent="0.25">
      <c r="A20" s="29"/>
      <c r="B20" s="29"/>
      <c r="C20" s="30">
        <f>C19*C18</f>
        <v>61000</v>
      </c>
      <c r="D20" s="29" t="s">
        <v>166</v>
      </c>
      <c r="E20" s="29"/>
    </row>
    <row r="21" spans="1:6" x14ac:dyDescent="0.25">
      <c r="A21" s="29"/>
      <c r="B21" s="29"/>
      <c r="C21" s="30">
        <f>C20*0.05</f>
        <v>3050</v>
      </c>
      <c r="D21" s="29" t="s">
        <v>167</v>
      </c>
      <c r="E21" s="29"/>
    </row>
    <row r="22" spans="1:6" ht="45" x14ac:dyDescent="0.25">
      <c r="A22" s="29" t="s">
        <v>168</v>
      </c>
      <c r="B22" s="29" t="s">
        <v>340</v>
      </c>
      <c r="C22" s="30">
        <f>C21+C16+C11</f>
        <v>228756.25000000003</v>
      </c>
      <c r="D22" s="31" t="s">
        <v>222</v>
      </c>
      <c r="E22" s="29" t="s">
        <v>224</v>
      </c>
    </row>
    <row r="23" spans="1:6" x14ac:dyDescent="0.25">
      <c r="A23" s="29" t="s">
        <v>344</v>
      </c>
      <c r="B23" s="29" t="s">
        <v>324</v>
      </c>
      <c r="C23" s="76">
        <v>0</v>
      </c>
      <c r="D23" s="31"/>
      <c r="E23" s="29" t="s">
        <v>363</v>
      </c>
    </row>
    <row r="24" spans="1:6" x14ac:dyDescent="0.25">
      <c r="A24" s="29" t="s">
        <v>345</v>
      </c>
      <c r="B24" s="29" t="s">
        <v>346</v>
      </c>
      <c r="C24" s="30">
        <f>C22-C23</f>
        <v>228756.25000000003</v>
      </c>
      <c r="D24" s="30">
        <f>C24*10</f>
        <v>2287562.5000000005</v>
      </c>
      <c r="E24" s="30">
        <f>D24*10</f>
        <v>22875625.000000004</v>
      </c>
      <c r="F24" s="32" t="s">
        <v>362</v>
      </c>
    </row>
    <row r="25" spans="1:6" x14ac:dyDescent="0.25">
      <c r="A25" s="29" t="s">
        <v>344</v>
      </c>
      <c r="B25" s="29" t="s">
        <v>324</v>
      </c>
      <c r="C25" s="30">
        <f>C24*50</f>
        <v>11437812.500000002</v>
      </c>
      <c r="D25" s="30">
        <f>C25*10</f>
        <v>114378125.00000001</v>
      </c>
      <c r="E25" s="30">
        <f>D25*6</f>
        <v>686268750.00000012</v>
      </c>
      <c r="F25" s="30">
        <f>E24*6</f>
        <v>137253750.00000003</v>
      </c>
    </row>
    <row r="26" spans="1:6" x14ac:dyDescent="0.25">
      <c r="A26" s="29" t="s">
        <v>344</v>
      </c>
      <c r="B26" s="29" t="s">
        <v>324</v>
      </c>
      <c r="C26" s="30"/>
      <c r="D26" s="31"/>
      <c r="E26" s="29"/>
    </row>
    <row r="27" spans="1:6" ht="45" x14ac:dyDescent="0.25">
      <c r="A27" s="29" t="s">
        <v>221</v>
      </c>
      <c r="B27" s="29" t="s">
        <v>239</v>
      </c>
      <c r="C27" s="38">
        <f>C24*50</f>
        <v>11437812.500000002</v>
      </c>
      <c r="D27" s="32" t="s">
        <v>223</v>
      </c>
      <c r="E27" s="29"/>
    </row>
    <row r="28" spans="1:6" x14ac:dyDescent="0.25">
      <c r="A28" s="29" t="s">
        <v>181</v>
      </c>
      <c r="B28" s="29" t="s">
        <v>176</v>
      </c>
      <c r="C28" s="40">
        <f>C27*10</f>
        <v>114378125.00000001</v>
      </c>
      <c r="D28" s="32" t="s">
        <v>225</v>
      </c>
      <c r="E28" s="29"/>
    </row>
    <row r="29" spans="1:6" x14ac:dyDescent="0.25">
      <c r="A29" s="29" t="s">
        <v>355</v>
      </c>
      <c r="B29" s="29" t="s">
        <v>176</v>
      </c>
      <c r="C29" s="40">
        <f>C28*8/5</f>
        <v>183005000.00000003</v>
      </c>
      <c r="E29" s="29"/>
    </row>
    <row r="30" spans="1:6" ht="45" customHeight="1" x14ac:dyDescent="0.25">
      <c r="A30" s="29" t="s">
        <v>177</v>
      </c>
      <c r="B30" s="29" t="s">
        <v>226</v>
      </c>
      <c r="C30" s="30"/>
      <c r="D30" s="29"/>
      <c r="E30" s="29"/>
    </row>
    <row r="31" spans="1:6" x14ac:dyDescent="0.25">
      <c r="A31" s="29"/>
      <c r="B31" s="29" t="s">
        <v>227</v>
      </c>
      <c r="C31" s="30"/>
      <c r="D31" s="29"/>
      <c r="E31" s="29"/>
    </row>
    <row r="32" spans="1:6" x14ac:dyDescent="0.25">
      <c r="A32" s="29"/>
      <c r="B32" s="29" t="s">
        <v>228</v>
      </c>
      <c r="C32" s="38">
        <f>4*C27</f>
        <v>45751250.000000007</v>
      </c>
      <c r="D32" s="37" t="s">
        <v>229</v>
      </c>
      <c r="E32" s="29"/>
    </row>
    <row r="33" spans="1:7" ht="30" x14ac:dyDescent="0.25">
      <c r="A33" s="29"/>
      <c r="B33" s="29" t="s">
        <v>240</v>
      </c>
      <c r="C33" s="30"/>
      <c r="D33" s="29"/>
      <c r="E33" s="29"/>
    </row>
    <row r="34" spans="1:7" x14ac:dyDescent="0.25">
      <c r="A34" s="29" t="s">
        <v>347</v>
      </c>
      <c r="B34" s="29" t="s">
        <v>230</v>
      </c>
      <c r="C34" s="40">
        <f>C32*10</f>
        <v>457512500.00000006</v>
      </c>
      <c r="D34" s="29" t="s">
        <v>188</v>
      </c>
      <c r="E34" s="32" t="s">
        <v>232</v>
      </c>
    </row>
    <row r="35" spans="1:7" x14ac:dyDescent="0.25">
      <c r="A35" s="29"/>
      <c r="B35" s="29"/>
      <c r="C35" s="30"/>
      <c r="D35" s="29"/>
      <c r="E35" s="29"/>
    </row>
    <row r="37" spans="1:7" x14ac:dyDescent="0.25">
      <c r="C37" s="32" t="s">
        <v>462</v>
      </c>
      <c r="D37" s="32" t="s">
        <v>463</v>
      </c>
      <c r="E37" s="32" t="s">
        <v>464</v>
      </c>
      <c r="F37" s="203">
        <f>SUM(F38:F42)</f>
        <v>974925</v>
      </c>
      <c r="G37" s="202"/>
    </row>
    <row r="38" spans="1:7" x14ac:dyDescent="0.25">
      <c r="B38" s="32" t="s">
        <v>467</v>
      </c>
      <c r="C38" s="32">
        <v>4500</v>
      </c>
      <c r="D38" s="32">
        <v>2500</v>
      </c>
      <c r="E38" s="32">
        <f>C38*D38</f>
        <v>11250000</v>
      </c>
      <c r="F38" s="32">
        <f>E38*0.04</f>
        <v>450000</v>
      </c>
    </row>
    <row r="39" spans="1:7" x14ac:dyDescent="0.25">
      <c r="B39" s="32" t="s">
        <v>466</v>
      </c>
      <c r="C39" s="32">
        <v>450</v>
      </c>
      <c r="D39" s="32">
        <v>1000</v>
      </c>
      <c r="E39" s="32">
        <f>C39*D39</f>
        <v>450000</v>
      </c>
      <c r="F39" s="32">
        <f>E39*0.14</f>
        <v>63000.000000000007</v>
      </c>
    </row>
    <row r="40" spans="1:7" x14ac:dyDescent="0.25">
      <c r="B40" s="32" t="s">
        <v>414</v>
      </c>
      <c r="C40" s="32">
        <v>450</v>
      </c>
      <c r="D40" s="32">
        <v>500</v>
      </c>
      <c r="E40" s="32">
        <f>C40*D40</f>
        <v>225000</v>
      </c>
      <c r="F40" s="32">
        <f>450*(250*0.67+250*0.14)</f>
        <v>91125</v>
      </c>
    </row>
    <row r="41" spans="1:7" x14ac:dyDescent="0.25">
      <c r="B41" s="32" t="s">
        <v>465</v>
      </c>
      <c r="C41" s="32">
        <v>450</v>
      </c>
      <c r="D41" s="32">
        <v>600</v>
      </c>
      <c r="E41" s="32">
        <f>C41*D41</f>
        <v>270000</v>
      </c>
      <c r="F41" s="32">
        <f>E41*0.04</f>
        <v>10800</v>
      </c>
    </row>
    <row r="42" spans="1:7" ht="30" x14ac:dyDescent="0.25">
      <c r="B42" s="29" t="s">
        <v>468</v>
      </c>
      <c r="C42" s="32">
        <v>3000</v>
      </c>
      <c r="D42" s="32">
        <v>1000</v>
      </c>
      <c r="E42" s="32">
        <f>C42*D42</f>
        <v>3000000</v>
      </c>
      <c r="F42" s="32">
        <f>E42*0.12</f>
        <v>360000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pane ySplit="1" topLeftCell="A2" activePane="bottomLeft" state="frozen"/>
      <selection pane="bottomLeft" activeCell="A10" sqref="A10:A13"/>
    </sheetView>
  </sheetViews>
  <sheetFormatPr defaultRowHeight="15" x14ac:dyDescent="0.25"/>
  <cols>
    <col min="1" max="1" width="31.85546875" style="3" bestFit="1" customWidth="1"/>
    <col min="2" max="2" width="41.5703125" bestFit="1" customWidth="1"/>
    <col min="3" max="5" width="21.85546875" style="59" customWidth="1"/>
    <col min="6" max="6" width="42" customWidth="1"/>
  </cols>
  <sheetData>
    <row r="1" spans="1:9" x14ac:dyDescent="0.25">
      <c r="A1" s="41" t="s">
        <v>241</v>
      </c>
      <c r="B1" s="41" t="s">
        <v>242</v>
      </c>
      <c r="C1" s="42" t="s">
        <v>243</v>
      </c>
      <c r="D1" s="42"/>
      <c r="E1" s="42"/>
      <c r="F1" s="41" t="s">
        <v>104</v>
      </c>
    </row>
    <row r="2" spans="1:9" x14ac:dyDescent="0.25">
      <c r="A2" s="61" t="s">
        <v>244</v>
      </c>
      <c r="B2" s="61" t="s">
        <v>245</v>
      </c>
      <c r="C2" s="43">
        <v>10000</v>
      </c>
      <c r="D2" s="43">
        <v>8000</v>
      </c>
      <c r="E2" s="43"/>
      <c r="F2" s="61" t="s">
        <v>246</v>
      </c>
    </row>
    <row r="3" spans="1:9" x14ac:dyDescent="0.25">
      <c r="A3" s="61" t="s">
        <v>247</v>
      </c>
      <c r="B3" s="61" t="s">
        <v>233</v>
      </c>
      <c r="C3" s="43">
        <f>C2*0.15</f>
        <v>1500</v>
      </c>
      <c r="D3" s="43">
        <f>D2*0.15</f>
        <v>1200</v>
      </c>
      <c r="E3" s="43"/>
      <c r="F3" s="61" t="s">
        <v>246</v>
      </c>
    </row>
    <row r="4" spans="1:9" x14ac:dyDescent="0.25">
      <c r="A4" s="197" t="s">
        <v>248</v>
      </c>
      <c r="B4" s="61" t="s">
        <v>234</v>
      </c>
      <c r="C4" s="43">
        <f>C3/4</f>
        <v>375</v>
      </c>
      <c r="D4" s="43">
        <f>D3/4</f>
        <v>300</v>
      </c>
      <c r="E4" s="43">
        <f>D4/D2*100</f>
        <v>3.75</v>
      </c>
      <c r="F4" s="61"/>
    </row>
    <row r="5" spans="1:9" x14ac:dyDescent="0.25">
      <c r="A5" s="198"/>
      <c r="B5" s="61" t="s">
        <v>235</v>
      </c>
      <c r="C5" s="43">
        <f>(C2-C3)*0.1</f>
        <v>850</v>
      </c>
      <c r="D5" s="43">
        <f>(D2-D3)*0.1</f>
        <v>680</v>
      </c>
      <c r="E5" s="43">
        <f>D5/D2*100</f>
        <v>8.5</v>
      </c>
      <c r="F5" s="61"/>
    </row>
    <row r="6" spans="1:9" ht="15.75" x14ac:dyDescent="0.25">
      <c r="A6" s="199" t="s">
        <v>249</v>
      </c>
      <c r="B6" s="61" t="s">
        <v>236</v>
      </c>
      <c r="C6" s="44">
        <f>C5+C4</f>
        <v>1225</v>
      </c>
      <c r="D6" s="44">
        <f>D5+D4</f>
        <v>980</v>
      </c>
      <c r="E6" s="43">
        <f>D6/D2*100</f>
        <v>12.25</v>
      </c>
      <c r="F6" s="61" t="s">
        <v>250</v>
      </c>
    </row>
    <row r="7" spans="1:9" x14ac:dyDescent="0.25">
      <c r="A7" s="200"/>
      <c r="B7" s="61" t="s">
        <v>237</v>
      </c>
      <c r="C7" s="45">
        <v>2500</v>
      </c>
      <c r="D7" s="45">
        <v>2500</v>
      </c>
      <c r="E7" s="45"/>
      <c r="F7" s="61"/>
    </row>
    <row r="8" spans="1:9" x14ac:dyDescent="0.25">
      <c r="A8" s="200"/>
      <c r="B8" s="61" t="s">
        <v>238</v>
      </c>
      <c r="C8" s="45">
        <f>C7*C6</f>
        <v>3062500</v>
      </c>
      <c r="D8" s="45">
        <f>D7*D6</f>
        <v>2450000</v>
      </c>
      <c r="E8" s="45"/>
      <c r="F8" s="61"/>
    </row>
    <row r="9" spans="1:9" x14ac:dyDescent="0.25">
      <c r="A9" s="200"/>
      <c r="B9" s="46" t="s">
        <v>364</v>
      </c>
      <c r="C9" s="47">
        <f>C8*0.07</f>
        <v>214375.00000000003</v>
      </c>
      <c r="D9" s="47">
        <f>D8*0.07</f>
        <v>171500.00000000003</v>
      </c>
      <c r="E9" s="88">
        <f>C9/C18</f>
        <v>0.93708165997322623</v>
      </c>
      <c r="F9" s="61" t="s">
        <v>251</v>
      </c>
    </row>
    <row r="10" spans="1:9" x14ac:dyDescent="0.25">
      <c r="A10" s="199" t="s">
        <v>252</v>
      </c>
      <c r="B10" s="61" t="s">
        <v>253</v>
      </c>
      <c r="C10" s="43">
        <f>C6*0.05</f>
        <v>61.25</v>
      </c>
      <c r="D10" s="43">
        <f>D6*0.05</f>
        <v>49</v>
      </c>
      <c r="E10" s="43"/>
      <c r="F10" s="61"/>
      <c r="I10">
        <f>61250*3/5</f>
        <v>36750</v>
      </c>
    </row>
    <row r="11" spans="1:9" x14ac:dyDescent="0.25">
      <c r="A11" s="200"/>
      <c r="B11" s="61" t="s">
        <v>237</v>
      </c>
      <c r="C11" s="45">
        <v>500</v>
      </c>
      <c r="D11" s="45">
        <v>500</v>
      </c>
      <c r="E11" s="45"/>
      <c r="F11" s="61"/>
    </row>
    <row r="12" spans="1:9" hidden="1" x14ac:dyDescent="0.25">
      <c r="A12" s="200"/>
      <c r="B12" s="61" t="s">
        <v>238</v>
      </c>
      <c r="C12" s="45">
        <f>C11*C10</f>
        <v>30625</v>
      </c>
      <c r="D12" s="45"/>
      <c r="E12" s="45"/>
      <c r="F12" s="61"/>
    </row>
    <row r="13" spans="1:9" x14ac:dyDescent="0.25">
      <c r="A13" s="200"/>
      <c r="B13" s="48" t="s">
        <v>254</v>
      </c>
      <c r="C13" s="49">
        <f>C12*0.37</f>
        <v>11331.25</v>
      </c>
      <c r="D13" s="49">
        <f>D12*0.37</f>
        <v>0</v>
      </c>
      <c r="E13" s="88">
        <f>C13/C18</f>
        <v>4.9531459170013378E-2</v>
      </c>
      <c r="F13" s="61" t="s">
        <v>251</v>
      </c>
    </row>
    <row r="14" spans="1:9" x14ac:dyDescent="0.25">
      <c r="A14" s="199" t="s">
        <v>255</v>
      </c>
      <c r="B14" s="61" t="s">
        <v>256</v>
      </c>
      <c r="C14" s="43">
        <f>C6*0.1</f>
        <v>122.5</v>
      </c>
      <c r="D14" s="43"/>
      <c r="E14" s="43"/>
      <c r="F14" s="61"/>
    </row>
    <row r="15" spans="1:9" x14ac:dyDescent="0.25">
      <c r="A15" s="200"/>
      <c r="B15" s="61" t="s">
        <v>237</v>
      </c>
      <c r="C15" s="45">
        <v>500</v>
      </c>
      <c r="D15" s="45"/>
      <c r="E15" s="45"/>
      <c r="F15" s="61"/>
    </row>
    <row r="16" spans="1:9" hidden="1" x14ac:dyDescent="0.25">
      <c r="A16" s="200"/>
      <c r="B16" s="46" t="s">
        <v>238</v>
      </c>
      <c r="C16" s="45">
        <f>C15*C14</f>
        <v>61250</v>
      </c>
      <c r="D16" s="45"/>
      <c r="E16" s="45"/>
      <c r="F16" s="61"/>
    </row>
    <row r="17" spans="1:6" x14ac:dyDescent="0.25">
      <c r="A17" s="200"/>
      <c r="B17" s="48" t="s">
        <v>257</v>
      </c>
      <c r="C17" s="49">
        <f>C16*0.05</f>
        <v>3062.5</v>
      </c>
      <c r="D17" s="49"/>
      <c r="E17" s="49">
        <f>C17/C9</f>
        <v>1.4285714285714284E-2</v>
      </c>
      <c r="F17" s="61" t="s">
        <v>251</v>
      </c>
    </row>
    <row r="18" spans="1:6" s="28" customFormat="1" x14ac:dyDescent="0.25">
      <c r="A18" s="201" t="s">
        <v>258</v>
      </c>
      <c r="B18" s="201"/>
      <c r="C18" s="50">
        <f>C17+C13+C9</f>
        <v>228768.75000000003</v>
      </c>
      <c r="D18" s="50"/>
      <c r="E18" s="50"/>
      <c r="F18" s="51" t="s">
        <v>259</v>
      </c>
    </row>
    <row r="19" spans="1:6" ht="30" x14ac:dyDescent="0.25">
      <c r="A19" s="61" t="s">
        <v>366</v>
      </c>
      <c r="B19" s="52" t="s">
        <v>365</v>
      </c>
      <c r="C19" s="50">
        <f>C18*10</f>
        <v>2287687.5000000005</v>
      </c>
      <c r="D19" s="50"/>
      <c r="E19" s="50"/>
      <c r="F19" s="60" t="s">
        <v>367</v>
      </c>
    </row>
    <row r="20" spans="1:6" ht="30" x14ac:dyDescent="0.25">
      <c r="A20" s="61" t="s">
        <v>260</v>
      </c>
      <c r="B20" s="52" t="s">
        <v>368</v>
      </c>
      <c r="C20" s="50">
        <f>C18*50</f>
        <v>11438437.500000002</v>
      </c>
      <c r="D20" s="50"/>
      <c r="E20" s="50"/>
      <c r="F20" s="60" t="s">
        <v>261</v>
      </c>
    </row>
    <row r="21" spans="1:6" ht="35.25" customHeight="1" x14ac:dyDescent="0.25">
      <c r="A21" s="60" t="s">
        <v>262</v>
      </c>
      <c r="B21" s="52" t="s">
        <v>369</v>
      </c>
      <c r="C21" s="50">
        <f>C20*4</f>
        <v>45753750.000000007</v>
      </c>
      <c r="D21" s="50"/>
      <c r="E21" s="50"/>
      <c r="F21" s="60" t="s">
        <v>263</v>
      </c>
    </row>
    <row r="22" spans="1:6" x14ac:dyDescent="0.25">
      <c r="A22" s="196" t="s">
        <v>264</v>
      </c>
      <c r="B22" s="196"/>
      <c r="C22" s="196"/>
      <c r="D22" s="196"/>
      <c r="E22" s="196"/>
      <c r="F22" s="196"/>
    </row>
    <row r="23" spans="1:6" ht="30" x14ac:dyDescent="0.25">
      <c r="A23" s="53" t="s">
        <v>265</v>
      </c>
      <c r="B23" s="54" t="s">
        <v>266</v>
      </c>
      <c r="C23" s="55">
        <f>C21*10</f>
        <v>457537500.00000006</v>
      </c>
      <c r="D23" s="55"/>
      <c r="E23" s="55"/>
      <c r="F23" s="56" t="s">
        <v>267</v>
      </c>
    </row>
    <row r="24" spans="1:6" x14ac:dyDescent="0.25">
      <c r="A24" s="57"/>
      <c r="B24" s="57"/>
      <c r="C24" s="58"/>
      <c r="D24" s="58"/>
      <c r="E24" s="58"/>
      <c r="F24" s="57"/>
    </row>
    <row r="25" spans="1:6" x14ac:dyDescent="0.25">
      <c r="A25" s="57"/>
      <c r="B25" s="57"/>
      <c r="C25" s="58"/>
      <c r="D25" s="58"/>
      <c r="E25" s="58"/>
      <c r="F25" s="57"/>
    </row>
    <row r="26" spans="1:6" x14ac:dyDescent="0.25">
      <c r="A26" s="57"/>
      <c r="B26" s="57"/>
      <c r="C26" s="58"/>
      <c r="D26" s="58"/>
      <c r="E26" s="58"/>
      <c r="F26" s="57"/>
    </row>
  </sheetData>
  <mergeCells count="6">
    <mergeCell ref="A22:F22"/>
    <mergeCell ref="A4:A5"/>
    <mergeCell ref="A6:A9"/>
    <mergeCell ref="A10:A13"/>
    <mergeCell ref="A14:A17"/>
    <mergeCell ref="A18: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pane ySplit="1" topLeftCell="A2" activePane="bottomLeft" state="frozen"/>
      <selection pane="bottomLeft"/>
    </sheetView>
  </sheetViews>
  <sheetFormatPr defaultRowHeight="15" x14ac:dyDescent="0.25"/>
  <cols>
    <col min="2" max="2" width="19.85546875" bestFit="1" customWidth="1"/>
    <col min="3" max="3" width="48.7109375" customWidth="1"/>
    <col min="5" max="5" width="23.85546875" bestFit="1" customWidth="1"/>
    <col min="6" max="6" width="30.140625" customWidth="1"/>
    <col min="7" max="7" width="43" style="25" customWidth="1"/>
    <col min="8" max="8" width="13.42578125" customWidth="1"/>
  </cols>
  <sheetData>
    <row r="1" spans="1:9" x14ac:dyDescent="0.25">
      <c r="A1" t="s">
        <v>138</v>
      </c>
      <c r="B1" t="s">
        <v>139</v>
      </c>
      <c r="C1" t="s">
        <v>142</v>
      </c>
      <c r="D1" t="s">
        <v>140</v>
      </c>
      <c r="G1" s="25" t="s">
        <v>148</v>
      </c>
      <c r="H1" t="s">
        <v>148</v>
      </c>
    </row>
    <row r="2" spans="1:9" x14ac:dyDescent="0.25">
      <c r="A2">
        <v>1</v>
      </c>
      <c r="B2" t="s">
        <v>137</v>
      </c>
      <c r="E2" t="s">
        <v>147</v>
      </c>
      <c r="H2" s="21"/>
    </row>
    <row r="3" spans="1:9" x14ac:dyDescent="0.25">
      <c r="A3">
        <v>2</v>
      </c>
      <c r="B3" t="s">
        <v>141</v>
      </c>
      <c r="E3" t="s">
        <v>147</v>
      </c>
      <c r="H3" s="21"/>
    </row>
    <row r="4" spans="1:9" ht="315" x14ac:dyDescent="0.25">
      <c r="A4">
        <v>3</v>
      </c>
      <c r="B4" t="s">
        <v>143</v>
      </c>
      <c r="C4" s="1" t="s">
        <v>144</v>
      </c>
      <c r="E4" t="s">
        <v>147</v>
      </c>
      <c r="F4" s="1" t="s">
        <v>151</v>
      </c>
      <c r="G4" s="22" t="s">
        <v>202</v>
      </c>
      <c r="H4" s="27" t="s">
        <v>203</v>
      </c>
      <c r="I4" t="s">
        <v>150</v>
      </c>
    </row>
    <row r="5" spans="1:9" x14ac:dyDescent="0.25">
      <c r="A5">
        <v>4</v>
      </c>
      <c r="B5" t="s">
        <v>145</v>
      </c>
      <c r="E5" t="s">
        <v>147</v>
      </c>
      <c r="H5" s="21"/>
    </row>
    <row r="6" spans="1:9" ht="225" x14ac:dyDescent="0.25">
      <c r="A6">
        <v>5</v>
      </c>
      <c r="B6" t="s">
        <v>146</v>
      </c>
      <c r="E6" t="s">
        <v>147</v>
      </c>
      <c r="F6" s="1" t="s">
        <v>153</v>
      </c>
      <c r="G6" s="26" t="s">
        <v>158</v>
      </c>
      <c r="H6" s="21"/>
    </row>
    <row r="7" spans="1:9" x14ac:dyDescent="0.25">
      <c r="A7">
        <v>6</v>
      </c>
      <c r="B7" t="s">
        <v>152</v>
      </c>
    </row>
    <row r="8" spans="1:9" x14ac:dyDescent="0.25">
      <c r="F8" t="s">
        <v>159</v>
      </c>
    </row>
    <row r="9" spans="1:9" x14ac:dyDescent="0.25">
      <c r="E9" t="s">
        <v>162</v>
      </c>
      <c r="F9">
        <v>1250</v>
      </c>
      <c r="G9" s="25">
        <v>2500</v>
      </c>
      <c r="H9" t="s">
        <v>156</v>
      </c>
    </row>
    <row r="10" spans="1:9" x14ac:dyDescent="0.25">
      <c r="F10" t="s">
        <v>157</v>
      </c>
      <c r="G10" s="25">
        <f>G9*F9</f>
        <v>3125000</v>
      </c>
      <c r="H10" t="s">
        <v>155</v>
      </c>
    </row>
    <row r="11" spans="1:9" x14ac:dyDescent="0.25">
      <c r="G11" s="25">
        <f>G10*0.15</f>
        <v>468750</v>
      </c>
      <c r="H11" s="21">
        <v>0.15</v>
      </c>
    </row>
    <row r="12" spans="1:9" x14ac:dyDescent="0.25">
      <c r="C12" t="s">
        <v>169</v>
      </c>
      <c r="G12" s="25">
        <f>G10*0.1</f>
        <v>312500</v>
      </c>
      <c r="H12" s="21">
        <v>0.1</v>
      </c>
    </row>
    <row r="13" spans="1:9" x14ac:dyDescent="0.25">
      <c r="C13" t="s">
        <v>171</v>
      </c>
      <c r="G13" s="25">
        <f>G10*0.04</f>
        <v>125000</v>
      </c>
      <c r="H13">
        <v>4</v>
      </c>
      <c r="I13">
        <f>G13/10000</f>
        <v>12.5</v>
      </c>
    </row>
    <row r="14" spans="1:9" x14ac:dyDescent="0.25">
      <c r="C14" t="s">
        <v>172</v>
      </c>
    </row>
    <row r="15" spans="1:9" x14ac:dyDescent="0.25">
      <c r="C15" t="s">
        <v>173</v>
      </c>
      <c r="E15" t="s">
        <v>164</v>
      </c>
      <c r="F15">
        <f>F9*0.05</f>
        <v>62.5</v>
      </c>
    </row>
    <row r="16" spans="1:9" x14ac:dyDescent="0.25">
      <c r="C16" t="s">
        <v>172</v>
      </c>
      <c r="F16">
        <v>62.5</v>
      </c>
      <c r="G16" s="25">
        <v>500</v>
      </c>
      <c r="H16" t="s">
        <v>156</v>
      </c>
    </row>
    <row r="17" spans="3:9" x14ac:dyDescent="0.25">
      <c r="C17" t="s">
        <v>14</v>
      </c>
      <c r="G17" s="25">
        <f>G16*F16</f>
        <v>31250</v>
      </c>
      <c r="H17" t="s">
        <v>160</v>
      </c>
    </row>
    <row r="18" spans="3:9" x14ac:dyDescent="0.25">
      <c r="C18" t="s">
        <v>174</v>
      </c>
      <c r="G18" s="25">
        <f>G17*0.74</f>
        <v>23125</v>
      </c>
      <c r="H18" t="s">
        <v>161</v>
      </c>
    </row>
    <row r="19" spans="3:9" x14ac:dyDescent="0.25">
      <c r="C19" t="s">
        <v>175</v>
      </c>
    </row>
    <row r="20" spans="3:9" x14ac:dyDescent="0.25">
      <c r="E20" t="s">
        <v>163</v>
      </c>
      <c r="F20">
        <v>125</v>
      </c>
      <c r="G20" s="25">
        <v>750</v>
      </c>
      <c r="H20" t="s">
        <v>165</v>
      </c>
    </row>
    <row r="21" spans="3:9" x14ac:dyDescent="0.25">
      <c r="G21" s="25">
        <f>G20*F20</f>
        <v>93750</v>
      </c>
      <c r="H21" t="s">
        <v>166</v>
      </c>
    </row>
    <row r="22" spans="3:9" x14ac:dyDescent="0.25">
      <c r="G22" s="25">
        <f>G21*0.05</f>
        <v>4687.5</v>
      </c>
      <c r="H22" t="s">
        <v>167</v>
      </c>
    </row>
    <row r="23" spans="3:9" x14ac:dyDescent="0.25">
      <c r="F23" t="s">
        <v>168</v>
      </c>
      <c r="G23" s="25">
        <f>G22+G18+G13</f>
        <v>152812.5</v>
      </c>
    </row>
    <row r="24" spans="3:9" ht="45" x14ac:dyDescent="0.25">
      <c r="D24">
        <f>1400*50</f>
        <v>70000</v>
      </c>
      <c r="E24" t="s">
        <v>180</v>
      </c>
      <c r="F24" s="1" t="s">
        <v>184</v>
      </c>
      <c r="G24" s="25">
        <f>G23*50</f>
        <v>7640625</v>
      </c>
      <c r="H24" s="25">
        <f>G24/1400</f>
        <v>5457.5892857142853</v>
      </c>
      <c r="I24" t="s">
        <v>185</v>
      </c>
    </row>
    <row r="25" spans="3:9" x14ac:dyDescent="0.25">
      <c r="F25" t="s">
        <v>170</v>
      </c>
    </row>
    <row r="26" spans="3:9" x14ac:dyDescent="0.25">
      <c r="E26" t="s">
        <v>181</v>
      </c>
      <c r="F26" t="s">
        <v>176</v>
      </c>
      <c r="G26" s="25">
        <f>G24*10</f>
        <v>76406250</v>
      </c>
      <c r="H26" s="25"/>
    </row>
    <row r="27" spans="3:9" x14ac:dyDescent="0.25">
      <c r="E27" t="s">
        <v>177</v>
      </c>
      <c r="F27" t="s">
        <v>178</v>
      </c>
    </row>
    <row r="28" spans="3:9" x14ac:dyDescent="0.25">
      <c r="F28" t="s">
        <v>179</v>
      </c>
    </row>
    <row r="29" spans="3:9" x14ac:dyDescent="0.25">
      <c r="F29" t="s">
        <v>182</v>
      </c>
    </row>
    <row r="30" spans="3:9" x14ac:dyDescent="0.25">
      <c r="D30">
        <f>4*D24</f>
        <v>280000</v>
      </c>
      <c r="F30" t="s">
        <v>183</v>
      </c>
      <c r="G30" s="25">
        <f>4*G24</f>
        <v>30562500</v>
      </c>
      <c r="H30" s="25"/>
    </row>
    <row r="31" spans="3:9" x14ac:dyDescent="0.25">
      <c r="F31" t="s">
        <v>186</v>
      </c>
    </row>
    <row r="32" spans="3:9" x14ac:dyDescent="0.25">
      <c r="D32">
        <f>D30*10</f>
        <v>2800000</v>
      </c>
      <c r="F32" t="s">
        <v>187</v>
      </c>
      <c r="G32" s="25">
        <f>G30*10</f>
        <v>305625000</v>
      </c>
      <c r="H32" t="s">
        <v>188</v>
      </c>
    </row>
    <row r="34" spans="5:7" x14ac:dyDescent="0.25">
      <c r="E34" t="s">
        <v>189</v>
      </c>
      <c r="F34" t="s">
        <v>190</v>
      </c>
      <c r="G34" s="25">
        <v>1500000</v>
      </c>
    </row>
    <row r="35" spans="5:7" x14ac:dyDescent="0.25">
      <c r="E35" t="s">
        <v>191</v>
      </c>
      <c r="F35" t="s">
        <v>192</v>
      </c>
      <c r="G35" s="25">
        <v>50000</v>
      </c>
    </row>
    <row r="36" spans="5:7" x14ac:dyDescent="0.25">
      <c r="F36" t="s">
        <v>193</v>
      </c>
      <c r="G36" s="25">
        <f>1400*50*10/6*20</f>
        <v>2333333.3333333335</v>
      </c>
    </row>
    <row r="37" spans="5:7" x14ac:dyDescent="0.25">
      <c r="F37" t="s">
        <v>201</v>
      </c>
    </row>
    <row r="38" spans="5:7" x14ac:dyDescent="0.25">
      <c r="F38" t="s">
        <v>194</v>
      </c>
      <c r="G38" s="25" t="s">
        <v>196</v>
      </c>
    </row>
    <row r="39" spans="5:7" x14ac:dyDescent="0.25">
      <c r="F39" t="s">
        <v>195</v>
      </c>
      <c r="G39" s="25" t="s">
        <v>196</v>
      </c>
    </row>
    <row r="40" spans="5:7" x14ac:dyDescent="0.25">
      <c r="F40" t="s">
        <v>192</v>
      </c>
      <c r="G40" s="25" t="s">
        <v>196</v>
      </c>
    </row>
    <row r="41" spans="5:7" x14ac:dyDescent="0.25">
      <c r="F41" t="s">
        <v>197</v>
      </c>
      <c r="G41" s="25" t="s">
        <v>196</v>
      </c>
    </row>
    <row r="42" spans="5:7" x14ac:dyDescent="0.25">
      <c r="F42" t="s">
        <v>198</v>
      </c>
      <c r="G42" s="25">
        <v>1</v>
      </c>
    </row>
    <row r="43" spans="5:7" x14ac:dyDescent="0.25">
      <c r="F43" t="s">
        <v>199</v>
      </c>
      <c r="G43" s="25">
        <v>1</v>
      </c>
    </row>
    <row r="44" spans="5:7" x14ac:dyDescent="0.25">
      <c r="F44" t="s">
        <v>200</v>
      </c>
    </row>
    <row r="45" spans="5:7" x14ac:dyDescent="0.25">
      <c r="F45" t="s">
        <v>149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heetViews>
  <sheetFormatPr defaultRowHeight="15" x14ac:dyDescent="0.25"/>
  <cols>
    <col min="1" max="1" width="6.140625" bestFit="1" customWidth="1"/>
    <col min="2" max="2" width="69.7109375" bestFit="1" customWidth="1"/>
    <col min="3" max="3" width="65.140625" style="1" customWidth="1"/>
    <col min="4" max="4" width="44.42578125" style="1" customWidth="1"/>
  </cols>
  <sheetData>
    <row r="1" spans="1:4" x14ac:dyDescent="0.25">
      <c r="A1" s="23" t="s">
        <v>0</v>
      </c>
      <c r="B1" s="23" t="s">
        <v>1</v>
      </c>
      <c r="C1" s="24" t="s">
        <v>98</v>
      </c>
      <c r="D1" s="24" t="s">
        <v>104</v>
      </c>
    </row>
    <row r="2" spans="1:4" ht="45" x14ac:dyDescent="0.25">
      <c r="A2" s="13">
        <v>0</v>
      </c>
      <c r="B2" s="13" t="s">
        <v>60</v>
      </c>
      <c r="C2" s="14" t="s">
        <v>99</v>
      </c>
      <c r="D2" s="14" t="s">
        <v>106</v>
      </c>
    </row>
    <row r="3" spans="1:4" ht="90" x14ac:dyDescent="0.25">
      <c r="A3" s="4">
        <v>2</v>
      </c>
      <c r="B3" s="4" t="s">
        <v>64</v>
      </c>
      <c r="C3" s="6" t="s">
        <v>122</v>
      </c>
      <c r="D3" s="19" t="s">
        <v>123</v>
      </c>
    </row>
    <row r="4" spans="1:4" x14ac:dyDescent="0.25">
      <c r="A4" s="4">
        <v>3</v>
      </c>
      <c r="B4" s="4" t="s">
        <v>65</v>
      </c>
      <c r="C4" s="6" t="s">
        <v>72</v>
      </c>
      <c r="D4" s="19" t="s">
        <v>124</v>
      </c>
    </row>
    <row r="5" spans="1:4" x14ac:dyDescent="0.25">
      <c r="A5" s="4">
        <v>4</v>
      </c>
      <c r="B5" s="4" t="s">
        <v>75</v>
      </c>
      <c r="C5" s="6" t="s">
        <v>78</v>
      </c>
      <c r="D5" s="6"/>
    </row>
    <row r="6" spans="1:4" x14ac:dyDescent="0.25">
      <c r="A6" s="4">
        <v>5</v>
      </c>
      <c r="B6" s="4" t="s">
        <v>74</v>
      </c>
      <c r="C6" s="6" t="s">
        <v>84</v>
      </c>
      <c r="D6" s="6"/>
    </row>
    <row r="7" spans="1:4" x14ac:dyDescent="0.25">
      <c r="A7" s="4">
        <v>6</v>
      </c>
      <c r="B7" s="4" t="s">
        <v>77</v>
      </c>
      <c r="C7" s="6" t="s">
        <v>125</v>
      </c>
      <c r="D7" s="6"/>
    </row>
    <row r="8" spans="1:4" x14ac:dyDescent="0.25">
      <c r="A8" s="4">
        <v>7</v>
      </c>
      <c r="B8" s="4" t="s">
        <v>73</v>
      </c>
      <c r="C8" s="6"/>
      <c r="D8" s="6"/>
    </row>
    <row r="9" spans="1:4" x14ac:dyDescent="0.25">
      <c r="A9" s="4">
        <v>8</v>
      </c>
      <c r="B9" s="4" t="s">
        <v>66</v>
      </c>
      <c r="C9" s="6" t="s">
        <v>126</v>
      </c>
      <c r="D9" s="6"/>
    </row>
    <row r="10" spans="1:4" ht="45" x14ac:dyDescent="0.25">
      <c r="A10" s="4">
        <v>9</v>
      </c>
      <c r="B10" s="4" t="s">
        <v>67</v>
      </c>
      <c r="C10" s="6" t="s">
        <v>154</v>
      </c>
      <c r="D10" s="6" t="s">
        <v>127</v>
      </c>
    </row>
    <row r="11" spans="1:4" x14ac:dyDescent="0.25">
      <c r="A11" s="4">
        <v>10</v>
      </c>
      <c r="B11" s="4" t="s">
        <v>71</v>
      </c>
      <c r="C11" s="6"/>
      <c r="D11" s="6"/>
    </row>
    <row r="12" spans="1:4" x14ac:dyDescent="0.25">
      <c r="A12" s="4">
        <v>11</v>
      </c>
      <c r="B12" s="4" t="s">
        <v>76</v>
      </c>
      <c r="C12" s="6" t="s">
        <v>100</v>
      </c>
      <c r="D12" s="6" t="s">
        <v>129</v>
      </c>
    </row>
    <row r="13" spans="1:4" x14ac:dyDescent="0.25">
      <c r="A13" s="4">
        <v>12</v>
      </c>
      <c r="B13" s="4" t="s">
        <v>79</v>
      </c>
      <c r="C13" s="6" t="s">
        <v>130</v>
      </c>
      <c r="D13" s="6"/>
    </row>
    <row r="14" spans="1:4" x14ac:dyDescent="0.25">
      <c r="A14" s="4">
        <v>13</v>
      </c>
      <c r="B14" s="4" t="s">
        <v>80</v>
      </c>
      <c r="C14" s="6" t="s">
        <v>130</v>
      </c>
      <c r="D14" s="6"/>
    </row>
    <row r="15" spans="1:4" x14ac:dyDescent="0.25">
      <c r="A15" s="4">
        <v>14</v>
      </c>
      <c r="B15" s="4" t="s">
        <v>81</v>
      </c>
      <c r="C15" s="6" t="s">
        <v>131</v>
      </c>
      <c r="D15" s="6"/>
    </row>
    <row r="16" spans="1:4" x14ac:dyDescent="0.25">
      <c r="A16" s="4">
        <v>15</v>
      </c>
      <c r="B16" s="4" t="s">
        <v>101</v>
      </c>
      <c r="C16" s="6" t="s">
        <v>132</v>
      </c>
      <c r="D16" s="6"/>
    </row>
    <row r="17" spans="1:5" x14ac:dyDescent="0.25">
      <c r="A17" s="4">
        <v>16</v>
      </c>
      <c r="B17" s="4" t="s">
        <v>82</v>
      </c>
      <c r="C17" s="6" t="s">
        <v>133</v>
      </c>
      <c r="D17" s="6"/>
    </row>
    <row r="18" spans="1:5" x14ac:dyDescent="0.25">
      <c r="A18" s="13">
        <v>17</v>
      </c>
      <c r="B18" s="13" t="s">
        <v>83</v>
      </c>
      <c r="C18" s="14" t="s">
        <v>109</v>
      </c>
      <c r="D18" s="14"/>
    </row>
    <row r="19" spans="1:5" x14ac:dyDescent="0.25">
      <c r="A19" s="4">
        <v>18</v>
      </c>
      <c r="B19" s="4" t="s">
        <v>85</v>
      </c>
      <c r="C19" s="6"/>
      <c r="D19" s="6"/>
    </row>
    <row r="20" spans="1:5" x14ac:dyDescent="0.25">
      <c r="A20" s="4">
        <v>19</v>
      </c>
      <c r="B20" s="4" t="s">
        <v>86</v>
      </c>
      <c r="C20" s="6" t="s">
        <v>87</v>
      </c>
      <c r="D20" s="6"/>
    </row>
    <row r="21" spans="1:5" x14ac:dyDescent="0.25">
      <c r="A21" s="4">
        <v>20</v>
      </c>
      <c r="B21" s="4" t="s">
        <v>88</v>
      </c>
      <c r="C21" s="6" t="s">
        <v>89</v>
      </c>
      <c r="D21" s="6"/>
    </row>
    <row r="22" spans="1:5" x14ac:dyDescent="0.25">
      <c r="A22" s="4">
        <v>21</v>
      </c>
      <c r="B22" s="4" t="s">
        <v>90</v>
      </c>
      <c r="C22" s="6" t="s">
        <v>134</v>
      </c>
      <c r="D22" s="6"/>
    </row>
    <row r="23" spans="1:5" ht="30" x14ac:dyDescent="0.25">
      <c r="A23" s="4">
        <v>22</v>
      </c>
      <c r="B23" s="4" t="s">
        <v>91</v>
      </c>
      <c r="C23" s="6" t="s">
        <v>135</v>
      </c>
      <c r="D23" s="6" t="s">
        <v>136</v>
      </c>
    </row>
    <row r="24" spans="1:5" x14ac:dyDescent="0.25">
      <c r="A24" s="4">
        <v>23</v>
      </c>
      <c r="B24" s="4" t="s">
        <v>92</v>
      </c>
      <c r="C24" s="6"/>
      <c r="D24" s="6"/>
      <c r="E24" s="20"/>
    </row>
    <row r="25" spans="1:5" x14ac:dyDescent="0.25">
      <c r="A25" s="4">
        <v>24</v>
      </c>
      <c r="B25" s="4" t="s">
        <v>93</v>
      </c>
      <c r="C25" s="6" t="s">
        <v>94</v>
      </c>
      <c r="D25" s="6"/>
      <c r="E25" s="20"/>
    </row>
    <row r="26" spans="1:5" x14ac:dyDescent="0.25">
      <c r="A26" s="4">
        <v>25</v>
      </c>
      <c r="B26" s="4" t="s">
        <v>95</v>
      </c>
      <c r="C26" s="6"/>
      <c r="D26" s="6"/>
    </row>
    <row r="27" spans="1:5" x14ac:dyDescent="0.25">
      <c r="A27" s="4">
        <v>26</v>
      </c>
      <c r="B27" s="4" t="s">
        <v>69</v>
      </c>
      <c r="C27" s="6" t="s">
        <v>68</v>
      </c>
      <c r="D27" s="6"/>
    </row>
    <row r="28" spans="1:5" x14ac:dyDescent="0.25">
      <c r="A28" s="4">
        <v>27</v>
      </c>
      <c r="B28" s="4" t="s">
        <v>96</v>
      </c>
      <c r="C28" s="6" t="s">
        <v>97</v>
      </c>
      <c r="D28" s="6"/>
    </row>
    <row r="29" spans="1:5" x14ac:dyDescent="0.25">
      <c r="A29" s="4">
        <v>28</v>
      </c>
      <c r="B29" s="4" t="s">
        <v>70</v>
      </c>
      <c r="C29" s="6"/>
      <c r="D29" s="6"/>
    </row>
    <row r="30" spans="1:5" x14ac:dyDescent="0.25">
      <c r="A30" s="4">
        <v>29</v>
      </c>
      <c r="B30" s="4" t="s">
        <v>102</v>
      </c>
      <c r="C30" s="6" t="s">
        <v>103</v>
      </c>
      <c r="D30" s="6"/>
    </row>
    <row r="31" spans="1:5" x14ac:dyDescent="0.25">
      <c r="A31" s="4">
        <v>30</v>
      </c>
      <c r="B31" s="4" t="s">
        <v>108</v>
      </c>
      <c r="C31" s="6" t="s">
        <v>103</v>
      </c>
      <c r="D31" s="6"/>
    </row>
    <row r="32" spans="1:5" ht="30" x14ac:dyDescent="0.25">
      <c r="A32" s="4">
        <v>31</v>
      </c>
      <c r="B32" s="4" t="s">
        <v>105</v>
      </c>
      <c r="C32" s="6" t="s">
        <v>107</v>
      </c>
      <c r="D32" s="6"/>
    </row>
    <row r="33" spans="1:4" x14ac:dyDescent="0.25">
      <c r="A33" s="16">
        <v>32</v>
      </c>
      <c r="B33" s="16" t="s">
        <v>110</v>
      </c>
      <c r="C33" s="17" t="s">
        <v>111</v>
      </c>
      <c r="D33" s="6"/>
    </row>
    <row r="34" spans="1:4" x14ac:dyDescent="0.25">
      <c r="B34" s="15" t="s">
        <v>112</v>
      </c>
      <c r="C34" s="18" t="s">
        <v>113</v>
      </c>
    </row>
    <row r="35" spans="1:4" x14ac:dyDescent="0.25">
      <c r="B35" s="15" t="s">
        <v>114</v>
      </c>
    </row>
    <row r="36" spans="1:4" x14ac:dyDescent="0.25">
      <c r="B36" s="15" t="s">
        <v>115</v>
      </c>
      <c r="C36" s="1" t="s">
        <v>116</v>
      </c>
    </row>
    <row r="37" spans="1:4" ht="180" x14ac:dyDescent="0.25">
      <c r="B37" s="15" t="s">
        <v>117</v>
      </c>
      <c r="C37" s="1" t="s">
        <v>118</v>
      </c>
      <c r="D37" s="1" t="s">
        <v>119</v>
      </c>
    </row>
    <row r="38" spans="1:4" x14ac:dyDescent="0.25">
      <c r="B38" s="15" t="s">
        <v>120</v>
      </c>
    </row>
    <row r="39" spans="1:4" x14ac:dyDescent="0.25">
      <c r="B39" s="15" t="s">
        <v>121</v>
      </c>
    </row>
    <row r="40" spans="1:4" x14ac:dyDescent="0.25">
      <c r="B40" s="15" t="s">
        <v>128</v>
      </c>
    </row>
    <row r="43" spans="1:4" x14ac:dyDescent="0.25">
      <c r="B43" t="s">
        <v>62</v>
      </c>
    </row>
    <row r="44" spans="1:4" x14ac:dyDescent="0.25">
      <c r="B44" t="s">
        <v>63</v>
      </c>
    </row>
    <row r="45" spans="1:4" x14ac:dyDescent="0.25">
      <c r="B45" t="s">
        <v>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5" x14ac:dyDescent="0.25"/>
  <cols>
    <col min="1" max="1" width="39.85546875" bestFit="1" customWidth="1"/>
    <col min="2" max="2" width="26.5703125" style="3" bestFit="1" customWidth="1"/>
    <col min="3" max="3" width="113" style="1" customWidth="1"/>
  </cols>
  <sheetData>
    <row r="1" spans="1:5" x14ac:dyDescent="0.25">
      <c r="A1" s="10" t="s">
        <v>57</v>
      </c>
      <c r="B1" s="11" t="s">
        <v>58</v>
      </c>
      <c r="C1" s="12" t="s">
        <v>59</v>
      </c>
    </row>
    <row r="2" spans="1:5" x14ac:dyDescent="0.25">
      <c r="A2" s="4" t="s">
        <v>2</v>
      </c>
      <c r="B2" s="5">
        <v>18</v>
      </c>
      <c r="C2" s="6"/>
      <c r="E2" t="s">
        <v>55</v>
      </c>
    </row>
    <row r="3" spans="1:5" x14ac:dyDescent="0.25">
      <c r="A3" s="4" t="s">
        <v>3</v>
      </c>
      <c r="B3" s="5">
        <v>21</v>
      </c>
      <c r="C3" s="6"/>
    </row>
    <row r="4" spans="1:5" x14ac:dyDescent="0.25">
      <c r="A4" s="4" t="s">
        <v>4</v>
      </c>
      <c r="B4" s="5">
        <v>21</v>
      </c>
      <c r="C4" s="6"/>
    </row>
    <row r="5" spans="1:5" x14ac:dyDescent="0.25">
      <c r="A5" s="4" t="s">
        <v>5</v>
      </c>
      <c r="B5" s="5">
        <v>21</v>
      </c>
      <c r="C5" s="6"/>
    </row>
    <row r="6" spans="1:5" x14ac:dyDescent="0.25">
      <c r="A6" s="4" t="s">
        <v>6</v>
      </c>
      <c r="B6" s="5" t="s">
        <v>7</v>
      </c>
      <c r="C6" t="s">
        <v>8</v>
      </c>
    </row>
    <row r="7" spans="1:5" x14ac:dyDescent="0.25">
      <c r="A7" s="4" t="s">
        <v>9</v>
      </c>
      <c r="B7" s="5">
        <v>25</v>
      </c>
      <c r="C7" s="6"/>
    </row>
    <row r="8" spans="1:5" x14ac:dyDescent="0.25">
      <c r="A8" s="4" t="s">
        <v>10</v>
      </c>
      <c r="B8" s="5">
        <v>21</v>
      </c>
      <c r="C8" s="6"/>
    </row>
    <row r="9" spans="1:5" x14ac:dyDescent="0.25">
      <c r="A9" s="4" t="s">
        <v>11</v>
      </c>
      <c r="B9" s="5">
        <v>25</v>
      </c>
      <c r="C9" s="6"/>
    </row>
    <row r="10" spans="1:5" x14ac:dyDescent="0.25">
      <c r="A10" s="4" t="s">
        <v>12</v>
      </c>
      <c r="B10" s="5">
        <v>25</v>
      </c>
      <c r="C10" t="s">
        <v>13</v>
      </c>
    </row>
    <row r="11" spans="1:5" x14ac:dyDescent="0.25">
      <c r="A11" s="4" t="s">
        <v>14</v>
      </c>
      <c r="B11" s="5">
        <v>21</v>
      </c>
      <c r="C11" s="6"/>
    </row>
    <row r="12" spans="1:5" x14ac:dyDescent="0.25">
      <c r="A12" s="4" t="s">
        <v>15</v>
      </c>
      <c r="B12" s="5" t="s">
        <v>7</v>
      </c>
      <c r="C12" s="6" t="s">
        <v>16</v>
      </c>
    </row>
    <row r="13" spans="1:5" ht="59.25" x14ac:dyDescent="0.25">
      <c r="A13" s="4" t="s">
        <v>17</v>
      </c>
      <c r="B13" s="5">
        <v>25</v>
      </c>
      <c r="C13" s="6" t="s">
        <v>18</v>
      </c>
    </row>
    <row r="14" spans="1:5" x14ac:dyDescent="0.25">
      <c r="A14" s="4" t="s">
        <v>19</v>
      </c>
      <c r="B14" s="5">
        <v>18</v>
      </c>
      <c r="C14" s="6"/>
    </row>
    <row r="15" spans="1:5" x14ac:dyDescent="0.25">
      <c r="A15" s="4" t="s">
        <v>20</v>
      </c>
      <c r="B15" s="5">
        <v>18</v>
      </c>
      <c r="C15" s="6"/>
    </row>
    <row r="16" spans="1:5" x14ac:dyDescent="0.25">
      <c r="A16" s="4" t="s">
        <v>21</v>
      </c>
      <c r="B16" s="5">
        <v>21</v>
      </c>
      <c r="C16" s="6"/>
    </row>
    <row r="17" spans="1:3" ht="58.5" x14ac:dyDescent="0.25">
      <c r="A17" s="4" t="s">
        <v>22</v>
      </c>
      <c r="B17" s="5">
        <v>18</v>
      </c>
      <c r="C17" s="6" t="s">
        <v>23</v>
      </c>
    </row>
    <row r="18" spans="1:3" x14ac:dyDescent="0.25">
      <c r="A18" s="4" t="s">
        <v>24</v>
      </c>
      <c r="B18" s="5">
        <v>23</v>
      </c>
      <c r="C18" s="6" t="s">
        <v>25</v>
      </c>
    </row>
    <row r="19" spans="1:3" x14ac:dyDescent="0.25">
      <c r="A19" s="4" t="s">
        <v>26</v>
      </c>
      <c r="B19" s="5">
        <v>18</v>
      </c>
      <c r="C19" s="6"/>
    </row>
    <row r="20" spans="1:3" x14ac:dyDescent="0.25">
      <c r="A20" s="4" t="s">
        <v>27</v>
      </c>
      <c r="B20" s="5" t="s">
        <v>28</v>
      </c>
      <c r="C20" s="6" t="s">
        <v>29</v>
      </c>
    </row>
    <row r="21" spans="1:3" x14ac:dyDescent="0.25">
      <c r="A21" s="4" t="s">
        <v>30</v>
      </c>
      <c r="B21" s="5">
        <v>21</v>
      </c>
      <c r="C21" s="6"/>
    </row>
    <row r="22" spans="1:3" s="2" customFormat="1" ht="15.75" customHeight="1" x14ac:dyDescent="0.25">
      <c r="A22" s="7" t="s">
        <v>31</v>
      </c>
      <c r="B22" s="8" t="s">
        <v>56</v>
      </c>
      <c r="C22" s="9" t="s">
        <v>32</v>
      </c>
    </row>
    <row r="24" spans="1:3" x14ac:dyDescent="0.25">
      <c r="A24" t="s">
        <v>33</v>
      </c>
      <c r="B24" s="3">
        <v>21</v>
      </c>
      <c r="C24" s="1" t="s">
        <v>34</v>
      </c>
    </row>
    <row r="25" spans="1:3" x14ac:dyDescent="0.25">
      <c r="A25" t="s">
        <v>35</v>
      </c>
      <c r="B25" s="3">
        <v>21</v>
      </c>
    </row>
    <row r="26" spans="1:3" x14ac:dyDescent="0.25">
      <c r="A26" t="s">
        <v>36</v>
      </c>
      <c r="B26" s="3" t="s">
        <v>37</v>
      </c>
      <c r="C26" t="s">
        <v>38</v>
      </c>
    </row>
    <row r="27" spans="1:3" x14ac:dyDescent="0.25">
      <c r="A27" t="s">
        <v>39</v>
      </c>
      <c r="B27" s="3" t="s">
        <v>40</v>
      </c>
      <c r="C27" t="s">
        <v>41</v>
      </c>
    </row>
    <row r="28" spans="1:3" x14ac:dyDescent="0.25">
      <c r="A28" t="s">
        <v>42</v>
      </c>
      <c r="B28" s="3">
        <v>21</v>
      </c>
    </row>
    <row r="29" spans="1:3" x14ac:dyDescent="0.25">
      <c r="A29" t="s">
        <v>43</v>
      </c>
      <c r="B29" s="3">
        <v>18</v>
      </c>
    </row>
    <row r="30" spans="1:3" ht="59.25" x14ac:dyDescent="0.25">
      <c r="A30" t="s">
        <v>44</v>
      </c>
      <c r="B30" s="3">
        <v>25</v>
      </c>
      <c r="C30" s="1" t="s">
        <v>45</v>
      </c>
    </row>
    <row r="31" spans="1:3" x14ac:dyDescent="0.25">
      <c r="A31" t="s">
        <v>46</v>
      </c>
      <c r="B31" s="3">
        <v>18</v>
      </c>
    </row>
    <row r="32" spans="1:3" x14ac:dyDescent="0.25">
      <c r="A32" t="s">
        <v>47</v>
      </c>
      <c r="B32" s="3">
        <v>18</v>
      </c>
    </row>
    <row r="33" spans="1:3" x14ac:dyDescent="0.25">
      <c r="A33" t="s">
        <v>48</v>
      </c>
      <c r="B33" s="3">
        <v>21</v>
      </c>
    </row>
    <row r="34" spans="1:3" x14ac:dyDescent="0.25">
      <c r="A34" t="s">
        <v>49</v>
      </c>
      <c r="B34" s="3">
        <v>21</v>
      </c>
    </row>
    <row r="35" spans="1:3" x14ac:dyDescent="0.25">
      <c r="A35" t="s">
        <v>50</v>
      </c>
      <c r="B35" s="3">
        <v>21</v>
      </c>
    </row>
    <row r="36" spans="1:3" x14ac:dyDescent="0.25">
      <c r="A36" t="s">
        <v>51</v>
      </c>
      <c r="B36" s="3">
        <v>21</v>
      </c>
      <c r="C36" t="s">
        <v>52</v>
      </c>
    </row>
    <row r="37" spans="1:3" x14ac:dyDescent="0.25">
      <c r="A37" t="s">
        <v>53</v>
      </c>
      <c r="B37" s="3">
        <v>21</v>
      </c>
    </row>
    <row r="38" spans="1:3" x14ac:dyDescent="0.25">
      <c r="A38" t="s">
        <v>54</v>
      </c>
      <c r="B38" s="3">
        <v>21</v>
      </c>
    </row>
  </sheetData>
  <hyperlinks>
    <hyperlink ref="A2" r:id="rId1" tooltip="Andaman and Nicobar Islands" display="https://en.wikipedia.org/wiki/Andaman_and_Nicobar_Islands"/>
    <hyperlink ref="B2" r:id="rId2" location="cite_note-MDAIndia-10" display="https://en.wikipedia.org/wiki/Alcohol_laws_of_India - cite_note-MDAIndia-10"/>
    <hyperlink ref="A3" r:id="rId3" tooltip="Andhra Pradesh" display="https://en.wikipedia.org/wiki/Andhra_Pradesh"/>
    <hyperlink ref="B3" r:id="rId4" location="cite_note-MDAIndia-10" display="https://en.wikipedia.org/wiki/Alcohol_laws_of_India - cite_note-MDAIndia-10"/>
    <hyperlink ref="A4" r:id="rId5" tooltip="Arunachal Pradesh" display="https://en.wikipedia.org/wiki/Arunachal_Pradesh"/>
    <hyperlink ref="B4" r:id="rId6" location="cite_note-MDAIndia-10" display="https://en.wikipedia.org/wiki/Alcohol_laws_of_India - cite_note-MDAIndia-10"/>
    <hyperlink ref="A5" r:id="rId7" tooltip="Assam" display="https://en.wikipedia.org/wiki/Assam"/>
    <hyperlink ref="B5" r:id="rId8" location="cite_note-MDAIndia-10" display="cite_note-MDAIndia-10"/>
    <hyperlink ref="A6" r:id="rId9" tooltip="Bihar" display="https://en.wikipedia.org/wiki/Bihar"/>
    <hyperlink ref="B6" r:id="rId10" tooltip="Bihar Excise (Amendment) Act, 2016" display="https://en.wikipedia.org/wiki/Bihar_Excise_(Amendment)_Act,_2016"/>
    <hyperlink ref="A7" r:id="rId11" tooltip="Chandigarh" display="https://en.wikipedia.org/wiki/Chandigarh"/>
    <hyperlink ref="B7" r:id="rId12" location="cite_note-12" display="https://en.wikipedia.org/wiki/Alcohol_laws_of_India - cite_note-12"/>
    <hyperlink ref="A8" r:id="rId13" tooltip="Chhattisgarh" display="https://en.wikipedia.org/wiki/Chhattisgarh"/>
    <hyperlink ref="B8" r:id="rId14" location="cite_note-MDAIndia-10" display="https://en.wikipedia.org/wiki/Alcohol_laws_of_India - cite_note-MDAIndia-10"/>
    <hyperlink ref="A9" r:id="rId15" tooltip="Dadra and Nagar Haveli and Daman and Diu" display="https://en.wikipedia.org/wiki/Dadra_and_Nagar_Haveli_and_Daman_and_Diu"/>
    <hyperlink ref="A10" r:id="rId16" tooltip="Delhi" display="https://en.wikipedia.org/wiki/Delhi"/>
    <hyperlink ref="A11" r:id="rId17" tooltip="Goa" display="https://en.wikipedia.org/wiki/Goa"/>
    <hyperlink ref="B11" r:id="rId18" location="cite_note-14" display="https://en.wikipedia.org/wiki/Alcohol_laws_of_India - cite_note-14"/>
    <hyperlink ref="A12" r:id="rId19" tooltip="Gujarat" display="https://en.wikipedia.org/wiki/Gujarat"/>
    <hyperlink ref="B12" r:id="rId20" tooltip="Bombay Prohibition (Gujarat Amendment) Act, 2009" display="https://en.wikipedia.org/wiki/Bombay_Prohibition_(Gujarat_Amendment)_Act,_2009"/>
    <hyperlink ref="A13" r:id="rId21" tooltip="Haryana" display="https://en.wikipedia.org/wiki/Haryana"/>
    <hyperlink ref="B13" r:id="rId22" location="cite_note-MDAIndia-10" display="cite_note-MDAIndia-10"/>
    <hyperlink ref="A14" r:id="rId23" tooltip="Himachal Pradesh" display="https://en.wikipedia.org/wiki/Himachal_Pradesh"/>
    <hyperlink ref="B14" r:id="rId24" location="cite_note-18" display="https://en.wikipedia.org/wiki/Alcohol_laws_of_India - cite_note-18"/>
    <hyperlink ref="A15" r:id="rId25" tooltip="Jammu and Kashmir (union territory)" display="https://en.wikipedia.org/wiki/Jammu_and_Kashmir_(union_territory)"/>
    <hyperlink ref="A16" r:id="rId26" tooltip="Jharkhand" display="https://en.wikipedia.org/wiki/Jharkhand"/>
    <hyperlink ref="A17" r:id="rId27" tooltip="Karnataka" display="https://en.wikipedia.org/wiki/Karnataka"/>
    <hyperlink ref="A18" r:id="rId28" tooltip="Kerala" display="https://en.wikipedia.org/wiki/Kerala"/>
    <hyperlink ref="B18" r:id="rId29" location="cite_note-27" display="https://en.wikipedia.org/wiki/Alcohol_laws_of_India - cite_note-27"/>
    <hyperlink ref="A19" r:id="rId30" tooltip="Ladakh" display="https://en.wikipedia.org/wiki/Ladakh"/>
    <hyperlink ref="A20" r:id="rId31" tooltip="Lakshadweep" display="https://en.wikipedia.org/wiki/Lakshadweep"/>
    <hyperlink ref="A21" r:id="rId32" tooltip="Madhya Pradesh" display="https://en.wikipedia.org/wiki/Madhya_Pradesh"/>
    <hyperlink ref="B21" r:id="rId33" location="cite_note-31" display="https://en.wikipedia.org/wiki/Alcohol_laws_of_India - cite_note-31"/>
    <hyperlink ref="A22" r:id="rId34" tooltip="Maharashtra" display="https://en.wikipedia.org/wiki/Maharashtra"/>
    <hyperlink ref="A24" r:id="rId35" tooltip="Manipur" display="https://en.wikipedia.org/wiki/Manipur"/>
    <hyperlink ref="B24" r:id="rId36" location="cite_note-MDAIndia-10" display="https://en.wikipedia.org/wiki/Alcohol_laws_of_India - cite_note-MDAIndia-10"/>
    <hyperlink ref="A25" r:id="rId37" tooltip="Meghalaya" display="https://en.wikipedia.org/wiki/Meghalaya"/>
    <hyperlink ref="B25" r:id="rId38" location="cite_note-ibn_18_rome-33" display="https://en.wikipedia.org/wiki/Alcohol_laws_of_India - cite_note-ibn_18_rome-33"/>
    <hyperlink ref="A26" r:id="rId39" tooltip="Mizoram" display="https://en.wikipedia.org/wiki/Mizoram"/>
    <hyperlink ref="B26" r:id="rId40" location="cite_note-34" display="https://en.wikipedia.org/wiki/Alcohol_laws_of_India - cite_note-34"/>
    <hyperlink ref="A27" r:id="rId41" tooltip="Nagaland" display="https://en.wikipedia.org/wiki/Nagaland"/>
    <hyperlink ref="A28" r:id="rId42" tooltip="Odisha" display="https://en.wikipedia.org/wiki/Odisha"/>
    <hyperlink ref="A29" r:id="rId43" tooltip="Puducherry" display="https://en.wikipedia.org/wiki/Puducherry"/>
    <hyperlink ref="B29" r:id="rId44" location="cite_note-MDAIndia-10" display="https://en.wikipedia.org/wiki/Alcohol_laws_of_India - cite_note-MDAIndia-10"/>
    <hyperlink ref="A30" r:id="rId45" tooltip="Punjab, India" display="https://en.wikipedia.org/wiki/Punjab,_India"/>
    <hyperlink ref="B30" r:id="rId46" location="cite_note-38" display="https://en.wikipedia.org/wiki/Alcohol_laws_of_India - cite_note-38"/>
    <hyperlink ref="A31" r:id="rId47" tooltip="Rajasthan" display="https://en.wikipedia.org/wiki/Rajasthan"/>
    <hyperlink ref="B31" r:id="rId48" location="cite_note-39" display="https://en.wikipedia.org/wiki/Alcohol_laws_of_India - cite_note-39"/>
    <hyperlink ref="A32" r:id="rId49" tooltip="Sikkim" display="https://en.wikipedia.org/wiki/Sikkim"/>
    <hyperlink ref="B32" r:id="rId50" location="cite_note-TOI2-40" display="https://en.wikipedia.org/wiki/Alcohol_laws_of_India - cite_note-TOI2-40"/>
    <hyperlink ref="A33" r:id="rId51" tooltip="Tamil Nadu" display="https://en.wikipedia.org/wiki/Tamil_Nadu"/>
    <hyperlink ref="B33" r:id="rId52" location="cite_note-MDAIndia-10" display="https://en.wikipedia.org/wiki/Alcohol_laws_of_India - cite_note-MDAIndia-10"/>
    <hyperlink ref="A34" r:id="rId53" tooltip="Telangana" display="https://en.wikipedia.org/wiki/Telangana"/>
    <hyperlink ref="A35" r:id="rId54" tooltip="Tripura" display="https://en.wikipedia.org/wiki/Tripura"/>
    <hyperlink ref="A36" r:id="rId55" tooltip="Uttar Pradesh" display="https://en.wikipedia.org/wiki/Uttar_Pradesh"/>
    <hyperlink ref="A37" r:id="rId56" tooltip="Uttarakhand" display="https://en.wikipedia.org/wiki/Uttarakhand"/>
    <hyperlink ref="A38" r:id="rId57" tooltip="West Bengal" display="https://en.wikipedia.org/wiki/West_Bengal"/>
    <hyperlink ref="B28" r:id="rId58" location="cite_note-ibn_18_rome-33" display="https://en.wikipedia.org/wiki/Alcohol_laws_of_India - cite_note-ibn_18_rome-33"/>
    <hyperlink ref="B34" r:id="rId59" location="cite_note-MDAIndia-10" display="https://en.wikipedia.org/wiki/Alcohol_laws_of_India - cite_note-MDAIndia-10"/>
    <hyperlink ref="B35" r:id="rId60" location="cite_note-MDAIndia-10" display="https://en.wikipedia.org/wiki/Alcohol_laws_of_India - cite_note-MDAIndia-10"/>
    <hyperlink ref="B36" r:id="rId61" location="cite_note-MDAIndia-10" display="https://en.wikipedia.org/wiki/Alcohol_laws_of_India - cite_note-MDAIndia-10"/>
    <hyperlink ref="B37" r:id="rId62" location="cite_note-MDAIndia-10" display="https://en.wikipedia.org/wiki/Alcohol_laws_of_India - cite_note-MDAIndia-10"/>
    <hyperlink ref="B38" r:id="rId63" location="cite_note-MDAIndia-10" display="https://en.wikipedia.org/wiki/Alcohol_laws_of_India - cite_note-MDAIndia-10"/>
  </hyperlinks>
  <pageMargins left="0.7" right="0.7" top="0.75" bottom="0.75" header="0.3" footer="0.3"/>
  <pageSetup orientation="portrait" r:id="rId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Earning - By month &amp; phases</vt:lpstr>
      <vt:lpstr>Expenses - Final</vt:lpstr>
      <vt:lpstr>Points - 29 Jun New</vt:lpstr>
      <vt:lpstr>Points - 25 Jun</vt:lpstr>
      <vt:lpstr>Budgeting</vt:lpstr>
      <vt:lpstr>Deck Old</vt:lpstr>
      <vt:lpstr>Activity list</vt:lpstr>
      <vt:lpstr>Open Queries</vt:lpstr>
      <vt:lpstr>Legal Age Of Buying Alcohol</vt:lpstr>
      <vt:lpstr>Expenses</vt:lpstr>
      <vt:lpstr>Budgeting Copy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2020-06-06T08:54:04Z</dcterms:created>
  <dcterms:modified xsi:type="dcterms:W3CDTF">2020-07-03T13:12:57Z</dcterms:modified>
</cp:coreProperties>
</file>