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ll\Documents\RPL\"/>
    </mc:Choice>
  </mc:AlternateContent>
  <bookViews>
    <workbookView xWindow="0" yWindow="0" windowWidth="20460" windowHeight="7680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2" l="1"/>
  <c r="W11" i="2" l="1"/>
  <c r="W7" i="2"/>
  <c r="W3" i="2"/>
  <c r="T11" i="2"/>
  <c r="T7" i="2"/>
  <c r="T3" i="2"/>
  <c r="S11" i="2"/>
  <c r="S7" i="2"/>
  <c r="V3" i="2"/>
  <c r="S3" i="2"/>
  <c r="E7" i="2" l="1"/>
  <c r="E5" i="2"/>
  <c r="E6" i="2"/>
  <c r="E4" i="2"/>
  <c r="E3" i="2"/>
  <c r="N10" i="3"/>
  <c r="N11" i="3"/>
  <c r="N12" i="3"/>
  <c r="N13" i="3"/>
  <c r="N9" i="3"/>
  <c r="N14" i="3"/>
  <c r="T11" i="3"/>
  <c r="T12" i="3"/>
  <c r="T13" i="3"/>
  <c r="T14" i="3"/>
  <c r="AA2" i="3"/>
  <c r="T6" i="3"/>
  <c r="T5" i="3"/>
  <c r="F7" i="2"/>
  <c r="F6" i="2"/>
  <c r="F5" i="2"/>
  <c r="F4" i="2"/>
  <c r="F3" i="2"/>
  <c r="T3" i="3"/>
  <c r="T10" i="3" s="1"/>
  <c r="T4" i="3"/>
  <c r="T7" i="3"/>
  <c r="T2" i="3"/>
  <c r="T9" i="3" s="1"/>
  <c r="V11" i="2"/>
  <c r="V7" i="2"/>
  <c r="X11" i="2" l="1"/>
  <c r="X7" i="2"/>
  <c r="M19" i="2"/>
  <c r="N19" i="2" s="1"/>
  <c r="O19" i="2" s="1"/>
  <c r="M24" i="2" l="1"/>
  <c r="N24" i="2" s="1"/>
  <c r="O24" i="2" s="1"/>
  <c r="M17" i="2"/>
  <c r="N17" i="2" s="1"/>
  <c r="O17" i="2" s="1"/>
  <c r="M4" i="2"/>
  <c r="N4" i="2" s="1"/>
  <c r="O4" i="2" s="1"/>
  <c r="M18" i="2"/>
  <c r="N18" i="2" s="1"/>
  <c r="O18" i="2" s="1"/>
  <c r="M10" i="2"/>
  <c r="N10" i="2" s="1"/>
  <c r="O10" i="2" s="1"/>
  <c r="M3" i="2"/>
  <c r="M11" i="2"/>
  <c r="N11" i="2" s="1"/>
  <c r="O11" i="2" s="1"/>
  <c r="X3" i="2"/>
  <c r="X14" i="2" s="1"/>
  <c r="C11" i="2" s="1"/>
  <c r="M25" i="2"/>
  <c r="N25" i="2" s="1"/>
  <c r="O25" i="2" s="1"/>
  <c r="M9" i="2"/>
  <c r="N9" i="2" s="1"/>
  <c r="O9" i="2" s="1"/>
  <c r="M30" i="2"/>
  <c r="N30" i="2" s="1"/>
  <c r="O30" i="2" s="1"/>
  <c r="O31" i="2" s="1"/>
  <c r="C12" i="2" s="1"/>
  <c r="M12" i="2"/>
  <c r="N12" i="2" s="1"/>
  <c r="O12" i="2" s="1"/>
  <c r="O26" i="2" l="1"/>
  <c r="N3" i="2"/>
  <c r="O3" i="2" s="1"/>
  <c r="O5" i="2" s="1"/>
  <c r="O13" i="2"/>
  <c r="O33" i="2" l="1"/>
  <c r="C10" i="2" s="1"/>
  <c r="C13" i="2" s="1"/>
  <c r="C14" i="2" s="1"/>
</calcChain>
</file>

<file path=xl/sharedStrings.xml><?xml version="1.0" encoding="utf-8"?>
<sst xmlns="http://schemas.openxmlformats.org/spreadsheetml/2006/main" count="127" uniqueCount="47">
  <si>
    <t>Man</t>
  </si>
  <si>
    <t>Day</t>
  </si>
  <si>
    <t>Effort</t>
  </si>
  <si>
    <t>No.</t>
  </si>
  <si>
    <t>Resource</t>
  </si>
  <si>
    <t>Development</t>
  </si>
  <si>
    <t>TOTAL</t>
  </si>
  <si>
    <t>Total</t>
  </si>
  <si>
    <t>Software Implementation Cost</t>
  </si>
  <si>
    <t>Days</t>
  </si>
  <si>
    <t>Plane</t>
  </si>
  <si>
    <t>Hotel Room</t>
  </si>
  <si>
    <t>Allowance</t>
  </si>
  <si>
    <t>Overhead Cost</t>
  </si>
  <si>
    <t>Project Manager</t>
  </si>
  <si>
    <t>System Analyst</t>
  </si>
  <si>
    <t>Man Day</t>
  </si>
  <si>
    <t>Quality Control</t>
  </si>
  <si>
    <t>Hotel</t>
  </si>
  <si>
    <t>Man Day for Each Resource</t>
  </si>
  <si>
    <t>Total Costs</t>
  </si>
  <si>
    <t>GRAND TOTAL</t>
  </si>
  <si>
    <t>Total Cost</t>
  </si>
  <si>
    <t>Cost</t>
  </si>
  <si>
    <t>PP Client - Hotel</t>
  </si>
  <si>
    <t>Overhead - User Training</t>
  </si>
  <si>
    <t>Margin</t>
  </si>
  <si>
    <t>Fixed Man Day</t>
  </si>
  <si>
    <t>Wages/Month</t>
  </si>
  <si>
    <t>Fixed MD * Days</t>
  </si>
  <si>
    <t>Outcome/Month</t>
  </si>
  <si>
    <t>Maintenance</t>
  </si>
  <si>
    <t>Total Days</t>
  </si>
  <si>
    <t>Front-end Developer</t>
  </si>
  <si>
    <t>Back-end Developer</t>
  </si>
  <si>
    <t>Overhead - Gathering Requirements</t>
  </si>
  <si>
    <t>Overhead - Gathering UAT</t>
  </si>
  <si>
    <t>Analisa Kebutuhan</t>
  </si>
  <si>
    <t>PM</t>
  </si>
  <si>
    <t>SA</t>
  </si>
  <si>
    <t>FD</t>
  </si>
  <si>
    <t>BE 1</t>
  </si>
  <si>
    <t>BE 2</t>
  </si>
  <si>
    <t>QC</t>
  </si>
  <si>
    <t>Debug and Testing</t>
  </si>
  <si>
    <t>Training and UAT</t>
  </si>
  <si>
    <t>Post Go Live Support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</si>
</sst>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0" applyNumberForma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9" fontId="0" fillId="0" borderId="6" xfId="1" applyFon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Normal="100" workbookViewId="0">
      <selection activeCell="A9" sqref="A9:C14"/>
    </sheetView>
  </sheetViews>
  <sheetFormatPr defaultRowHeight="15" x14ac:dyDescent="0.25"/>
  <cols>
    <col min="1" max="1" width="6.7109375" style="17" customWidth="1"/>
    <col min="2" max="2" width="28.85546875" style="17" bestFit="1" customWidth="1"/>
    <col min="3" max="3" width="18.28515625" style="17" customWidth="1"/>
    <col min="4" max="5" width="16.7109375" style="17" customWidth="1"/>
    <col min="6" max="6" width="10" style="17" bestFit="1" customWidth="1"/>
    <col min="7" max="7" width="4.7109375" style="17" customWidth="1"/>
    <col min="8" max="8" width="6.7109375" style="17" customWidth="1"/>
    <col min="9" max="9" width="20.7109375" style="1" customWidth="1"/>
    <col min="10" max="11" width="6.7109375" style="17" customWidth="1"/>
    <col min="12" max="12" width="6.7109375" style="6" customWidth="1"/>
    <col min="13" max="14" width="16.7109375" style="4" customWidth="1"/>
    <col min="15" max="15" width="18.28515625" style="4" customWidth="1"/>
    <col min="16" max="16" width="3.7109375" style="17" customWidth="1"/>
    <col min="17" max="18" width="6.7109375" style="17" customWidth="1"/>
    <col min="19" max="20" width="16.7109375" style="4" customWidth="1"/>
    <col min="21" max="21" width="12.7109375" style="17" customWidth="1"/>
    <col min="22" max="24" width="16.7109375" style="4" customWidth="1"/>
    <col min="25" max="16384" width="9.140625" style="17"/>
  </cols>
  <sheetData>
    <row r="1" spans="1:24" x14ac:dyDescent="0.25">
      <c r="A1" s="23" t="s">
        <v>19</v>
      </c>
      <c r="B1" s="23"/>
      <c r="C1" s="23"/>
      <c r="D1" s="23"/>
      <c r="E1" s="23"/>
      <c r="F1" s="7"/>
      <c r="H1" s="23" t="s">
        <v>37</v>
      </c>
      <c r="I1" s="23"/>
      <c r="J1" s="23"/>
      <c r="K1" s="23"/>
      <c r="L1" s="23"/>
      <c r="M1" s="23"/>
      <c r="N1" s="23"/>
      <c r="O1" s="23"/>
      <c r="Q1" s="24" t="s">
        <v>35</v>
      </c>
      <c r="R1" s="24"/>
      <c r="S1" s="24"/>
      <c r="T1" s="24"/>
      <c r="U1" s="24"/>
      <c r="V1" s="24"/>
      <c r="W1" s="24"/>
      <c r="X1" s="24"/>
    </row>
    <row r="2" spans="1:24" x14ac:dyDescent="0.25">
      <c r="A2" s="41" t="s">
        <v>3</v>
      </c>
      <c r="B2" s="41" t="s">
        <v>4</v>
      </c>
      <c r="C2" s="41" t="s">
        <v>28</v>
      </c>
      <c r="D2" s="41" t="s">
        <v>30</v>
      </c>
      <c r="E2" s="41" t="s">
        <v>16</v>
      </c>
      <c r="F2" s="41" t="s">
        <v>32</v>
      </c>
      <c r="H2" s="28" t="s">
        <v>3</v>
      </c>
      <c r="I2" s="28" t="s">
        <v>4</v>
      </c>
      <c r="J2" s="28" t="s">
        <v>0</v>
      </c>
      <c r="K2" s="28" t="s">
        <v>1</v>
      </c>
      <c r="L2" s="29" t="s">
        <v>2</v>
      </c>
      <c r="M2" s="30" t="s">
        <v>16</v>
      </c>
      <c r="N2" s="31" t="s">
        <v>27</v>
      </c>
      <c r="O2" s="31" t="s">
        <v>29</v>
      </c>
      <c r="Q2" s="28" t="s">
        <v>0</v>
      </c>
      <c r="R2" s="28" t="s">
        <v>9</v>
      </c>
      <c r="S2" s="31" t="s">
        <v>10</v>
      </c>
      <c r="T2" s="31" t="s">
        <v>24</v>
      </c>
      <c r="U2" s="28" t="s">
        <v>11</v>
      </c>
      <c r="V2" s="31" t="s">
        <v>18</v>
      </c>
      <c r="W2" s="31" t="s">
        <v>12</v>
      </c>
      <c r="X2" s="31" t="s">
        <v>7</v>
      </c>
    </row>
    <row r="3" spans="1:24" x14ac:dyDescent="0.25">
      <c r="A3" s="10">
        <v>1</v>
      </c>
      <c r="B3" s="2" t="s">
        <v>34</v>
      </c>
      <c r="C3" s="3">
        <v>4500000</v>
      </c>
      <c r="D3" s="3">
        <v>400000</v>
      </c>
      <c r="E3" s="3">
        <f>(C3/20)+(D3/20)</f>
        <v>245000</v>
      </c>
      <c r="F3" s="18">
        <f>K11+K19+K25+K30</f>
        <v>83</v>
      </c>
      <c r="H3" s="10">
        <v>1</v>
      </c>
      <c r="I3" s="2" t="s">
        <v>14</v>
      </c>
      <c r="J3" s="10">
        <v>1</v>
      </c>
      <c r="K3" s="10">
        <v>4</v>
      </c>
      <c r="L3" s="5">
        <v>0.5</v>
      </c>
      <c r="M3" s="12">
        <f>VLOOKUP(I3, $B$3:$E$7, 4)</f>
        <v>280000</v>
      </c>
      <c r="N3" s="3">
        <f>M3*(100%+$C$16)</f>
        <v>350000</v>
      </c>
      <c r="O3" s="3">
        <f>N3*K3*L3</f>
        <v>700000</v>
      </c>
      <c r="Q3" s="10">
        <v>2</v>
      </c>
      <c r="R3" s="10">
        <v>4</v>
      </c>
      <c r="S3" s="3">
        <f>Q3*700000</f>
        <v>1400000</v>
      </c>
      <c r="T3" s="3">
        <f>80000*R3</f>
        <v>320000</v>
      </c>
      <c r="U3" s="10">
        <v>1</v>
      </c>
      <c r="V3" s="3">
        <f>U3*500000*R3</f>
        <v>2000000</v>
      </c>
      <c r="W3" s="3">
        <f>75000*Q3*R3</f>
        <v>600000</v>
      </c>
      <c r="X3" s="3">
        <f>S3+T3+V3+W3</f>
        <v>4320000</v>
      </c>
    </row>
    <row r="4" spans="1:24" x14ac:dyDescent="0.25">
      <c r="A4" s="10">
        <v>3</v>
      </c>
      <c r="B4" s="2" t="s">
        <v>33</v>
      </c>
      <c r="C4" s="3">
        <v>4000000</v>
      </c>
      <c r="D4" s="3">
        <v>400000</v>
      </c>
      <c r="E4" s="3">
        <f>(C4/20)+(D4/20)</f>
        <v>220000</v>
      </c>
      <c r="F4" s="18">
        <f>K12</f>
        <v>33</v>
      </c>
      <c r="H4" s="10">
        <v>2</v>
      </c>
      <c r="I4" s="2" t="s">
        <v>15</v>
      </c>
      <c r="J4" s="10">
        <v>1</v>
      </c>
      <c r="K4" s="10">
        <v>4</v>
      </c>
      <c r="L4" s="5">
        <v>0.5</v>
      </c>
      <c r="M4" s="12">
        <f>VLOOKUP(I4, $B$3:$E$7, 4)</f>
        <v>260000</v>
      </c>
      <c r="N4" s="3">
        <f t="shared" ref="N4" si="0">M4*(100%+$C$16)</f>
        <v>325000</v>
      </c>
      <c r="O4" s="3">
        <f t="shared" ref="O4" si="1">N4*K4*L4</f>
        <v>650000</v>
      </c>
    </row>
    <row r="5" spans="1:24" x14ac:dyDescent="0.25">
      <c r="A5" s="10">
        <v>4</v>
      </c>
      <c r="B5" s="2" t="s">
        <v>14</v>
      </c>
      <c r="C5" s="3">
        <v>5200000</v>
      </c>
      <c r="D5" s="3">
        <v>400000</v>
      </c>
      <c r="E5" s="3">
        <f>(C5/20)+(D5/20)</f>
        <v>280000</v>
      </c>
      <c r="F5" s="18">
        <f>K3+K9+K17+K24</f>
        <v>108</v>
      </c>
      <c r="H5" s="32"/>
      <c r="I5" s="33"/>
      <c r="J5" s="33"/>
      <c r="K5" s="33"/>
      <c r="L5" s="33"/>
      <c r="M5" s="33"/>
      <c r="N5" s="34" t="s">
        <v>6</v>
      </c>
      <c r="O5" s="31">
        <f>SUM(O3:O4)</f>
        <v>1350000</v>
      </c>
      <c r="Q5" s="24" t="s">
        <v>36</v>
      </c>
      <c r="R5" s="24"/>
      <c r="S5" s="24"/>
      <c r="T5" s="24"/>
      <c r="U5" s="24"/>
      <c r="V5" s="24"/>
      <c r="W5" s="24"/>
      <c r="X5" s="24"/>
    </row>
    <row r="6" spans="1:24" x14ac:dyDescent="0.25">
      <c r="A6" s="10">
        <v>5</v>
      </c>
      <c r="B6" s="2" t="s">
        <v>17</v>
      </c>
      <c r="C6" s="3">
        <v>2500000</v>
      </c>
      <c r="D6" s="3">
        <v>400000</v>
      </c>
      <c r="E6" s="3">
        <f>(C6/20)+(D6/20)</f>
        <v>145000</v>
      </c>
      <c r="F6" s="18">
        <f>K18</f>
        <v>12</v>
      </c>
      <c r="Q6" s="28" t="s">
        <v>0</v>
      </c>
      <c r="R6" s="28" t="s">
        <v>9</v>
      </c>
      <c r="S6" s="31" t="s">
        <v>10</v>
      </c>
      <c r="T6" s="31" t="s">
        <v>24</v>
      </c>
      <c r="U6" s="28" t="s">
        <v>11</v>
      </c>
      <c r="V6" s="31" t="s">
        <v>18</v>
      </c>
      <c r="W6" s="31" t="s">
        <v>12</v>
      </c>
      <c r="X6" s="31" t="s">
        <v>7</v>
      </c>
    </row>
    <row r="7" spans="1:24" x14ac:dyDescent="0.25">
      <c r="A7" s="10">
        <v>6</v>
      </c>
      <c r="B7" s="2" t="s">
        <v>15</v>
      </c>
      <c r="C7" s="3">
        <v>4800000</v>
      </c>
      <c r="D7" s="3">
        <v>400000</v>
      </c>
      <c r="E7" s="3">
        <f>(C7/20)+(D7/20)</f>
        <v>260000</v>
      </c>
      <c r="F7" s="18">
        <f>K4+K10</f>
        <v>9</v>
      </c>
      <c r="H7" s="25" t="s">
        <v>5</v>
      </c>
      <c r="I7" s="26"/>
      <c r="J7" s="26"/>
      <c r="K7" s="26"/>
      <c r="L7" s="26"/>
      <c r="M7" s="26"/>
      <c r="N7" s="26"/>
      <c r="O7" s="27"/>
      <c r="Q7" s="10">
        <v>3</v>
      </c>
      <c r="R7" s="10">
        <v>3</v>
      </c>
      <c r="S7" s="3">
        <f>Q7*700000</f>
        <v>2100000</v>
      </c>
      <c r="T7" s="3">
        <f xml:space="preserve"> 80000*R7</f>
        <v>240000</v>
      </c>
      <c r="U7" s="10">
        <v>2</v>
      </c>
      <c r="V7" s="3">
        <f>U7*400000*R7</f>
        <v>2400000</v>
      </c>
      <c r="W7" s="3">
        <f>75000*Q7*R7</f>
        <v>675000</v>
      </c>
      <c r="X7" s="3">
        <f>S7+T7+V7+W7</f>
        <v>5415000</v>
      </c>
    </row>
    <row r="8" spans="1:24" x14ac:dyDescent="0.25">
      <c r="A8" s="24" t="s">
        <v>20</v>
      </c>
      <c r="B8" s="24"/>
      <c r="C8" s="24"/>
      <c r="H8" s="28" t="s">
        <v>3</v>
      </c>
      <c r="I8" s="28" t="s">
        <v>4</v>
      </c>
      <c r="J8" s="28" t="s">
        <v>0</v>
      </c>
      <c r="K8" s="28" t="s">
        <v>1</v>
      </c>
      <c r="L8" s="29" t="s">
        <v>2</v>
      </c>
      <c r="M8" s="30" t="s">
        <v>16</v>
      </c>
      <c r="N8" s="31" t="s">
        <v>27</v>
      </c>
      <c r="O8" s="31" t="s">
        <v>29</v>
      </c>
    </row>
    <row r="9" spans="1:24" x14ac:dyDescent="0.25">
      <c r="A9" s="41" t="s">
        <v>3</v>
      </c>
      <c r="B9" s="41" t="s">
        <v>23</v>
      </c>
      <c r="C9" s="41" t="s">
        <v>22</v>
      </c>
      <c r="D9" s="13"/>
      <c r="E9" s="13"/>
      <c r="F9" s="13"/>
      <c r="H9" s="10">
        <v>1</v>
      </c>
      <c r="I9" s="2" t="s">
        <v>14</v>
      </c>
      <c r="J9" s="10">
        <v>1</v>
      </c>
      <c r="K9" s="10">
        <v>89</v>
      </c>
      <c r="L9" s="5">
        <v>0.8</v>
      </c>
      <c r="M9" s="3">
        <f>VLOOKUP(I9, $B$3:$E$7, 4)</f>
        <v>280000</v>
      </c>
      <c r="N9" s="3">
        <f>M9*(100%+$C$16)</f>
        <v>350000</v>
      </c>
      <c r="O9" s="3">
        <f>N9*K9*L9*J9</f>
        <v>24920000</v>
      </c>
      <c r="Q9" s="23" t="s">
        <v>25</v>
      </c>
      <c r="R9" s="23"/>
      <c r="S9" s="23"/>
      <c r="T9" s="23"/>
      <c r="U9" s="23"/>
      <c r="V9" s="23"/>
      <c r="W9" s="23"/>
      <c r="X9" s="23"/>
    </row>
    <row r="10" spans="1:24" x14ac:dyDescent="0.25">
      <c r="A10" s="10">
        <v>1</v>
      </c>
      <c r="B10" s="2" t="s">
        <v>8</v>
      </c>
      <c r="C10" s="3">
        <f>O33</f>
        <v>81215000</v>
      </c>
      <c r="D10" s="8"/>
      <c r="E10" s="8"/>
      <c r="F10" s="8"/>
      <c r="H10" s="10">
        <v>2</v>
      </c>
      <c r="I10" s="2" t="s">
        <v>15</v>
      </c>
      <c r="J10" s="10">
        <v>1</v>
      </c>
      <c r="K10" s="10">
        <v>5</v>
      </c>
      <c r="L10" s="5">
        <v>1</v>
      </c>
      <c r="M10" s="3">
        <f>VLOOKUP(I10, $B$3:$E$7, 4)</f>
        <v>260000</v>
      </c>
      <c r="N10" s="3">
        <f>M10*(100%+$C$16)</f>
        <v>325000</v>
      </c>
      <c r="O10" s="3">
        <f>N10*K10*L10*J10</f>
        <v>1625000</v>
      </c>
      <c r="Q10" s="28" t="s">
        <v>0</v>
      </c>
      <c r="R10" s="28" t="s">
        <v>9</v>
      </c>
      <c r="S10" s="31" t="s">
        <v>10</v>
      </c>
      <c r="T10" s="31" t="s">
        <v>24</v>
      </c>
      <c r="U10" s="28" t="s">
        <v>11</v>
      </c>
      <c r="V10" s="31" t="s">
        <v>18</v>
      </c>
      <c r="W10" s="31" t="s">
        <v>12</v>
      </c>
      <c r="X10" s="31" t="s">
        <v>7</v>
      </c>
    </row>
    <row r="11" spans="1:24" x14ac:dyDescent="0.25">
      <c r="A11" s="10">
        <v>2</v>
      </c>
      <c r="B11" s="2" t="s">
        <v>13</v>
      </c>
      <c r="C11" s="3">
        <f>X14</f>
        <v>16075000</v>
      </c>
      <c r="D11" s="8"/>
      <c r="E11" s="8"/>
      <c r="F11" s="8"/>
      <c r="H11" s="10">
        <v>3</v>
      </c>
      <c r="I11" s="2" t="s">
        <v>34</v>
      </c>
      <c r="J11" s="10">
        <v>2</v>
      </c>
      <c r="K11" s="10">
        <v>56</v>
      </c>
      <c r="L11" s="5">
        <v>1</v>
      </c>
      <c r="M11" s="3">
        <f>VLOOKUP(I11, $B$3:$E$7, 4)</f>
        <v>245000</v>
      </c>
      <c r="N11" s="3">
        <f>M11*(100%+$C$16)</f>
        <v>306250</v>
      </c>
      <c r="O11" s="3">
        <f>N11*K11*L11*J11</f>
        <v>34300000</v>
      </c>
      <c r="Q11" s="10">
        <v>4</v>
      </c>
      <c r="R11" s="10">
        <v>3</v>
      </c>
      <c r="S11" s="3">
        <f>Q11*700000</f>
        <v>2800000</v>
      </c>
      <c r="T11" s="3">
        <f>80000*R11</f>
        <v>240000</v>
      </c>
      <c r="U11" s="10">
        <v>2</v>
      </c>
      <c r="V11" s="3">
        <f>U11*400000*R11</f>
        <v>2400000</v>
      </c>
      <c r="W11" s="3">
        <f>75000*Q11*R11</f>
        <v>900000</v>
      </c>
      <c r="X11" s="3">
        <f>S11+T11+V11+W11</f>
        <v>6340000</v>
      </c>
    </row>
    <row r="12" spans="1:24" x14ac:dyDescent="0.25">
      <c r="A12" s="10">
        <v>3</v>
      </c>
      <c r="B12" s="2" t="s">
        <v>46</v>
      </c>
      <c r="C12" s="3">
        <f>O31</f>
        <v>3675000</v>
      </c>
      <c r="D12" s="7"/>
      <c r="E12" s="7"/>
      <c r="F12" s="7"/>
      <c r="H12" s="19">
        <v>4</v>
      </c>
      <c r="I12" s="20" t="s">
        <v>33</v>
      </c>
      <c r="J12" s="19">
        <v>1</v>
      </c>
      <c r="K12" s="19">
        <v>33</v>
      </c>
      <c r="L12" s="21">
        <v>1</v>
      </c>
      <c r="M12" s="22">
        <f>VLOOKUP(I12, $B$3:$E$7, 4)</f>
        <v>220000</v>
      </c>
      <c r="N12" s="3">
        <f>M12*(100%+$C$16)</f>
        <v>275000</v>
      </c>
      <c r="O12" s="3">
        <f>N12*K12*L12*J12</f>
        <v>9075000</v>
      </c>
      <c r="Q12" s="7"/>
      <c r="R12" s="7"/>
      <c r="S12" s="8"/>
      <c r="T12" s="8"/>
      <c r="U12" s="7"/>
      <c r="V12" s="8"/>
      <c r="W12" s="8"/>
      <c r="X12" s="8"/>
    </row>
    <row r="13" spans="1:24" x14ac:dyDescent="0.25">
      <c r="A13" s="35" t="s">
        <v>6</v>
      </c>
      <c r="B13" s="36"/>
      <c r="C13" s="31">
        <f>SUM(C10:C12)</f>
        <v>100965000</v>
      </c>
      <c r="D13" s="11"/>
      <c r="E13" s="11"/>
      <c r="F13" s="11"/>
      <c r="H13" s="32"/>
      <c r="I13" s="33"/>
      <c r="J13" s="33"/>
      <c r="K13" s="33"/>
      <c r="L13" s="33"/>
      <c r="M13" s="34"/>
      <c r="N13" s="34" t="s">
        <v>6</v>
      </c>
      <c r="O13" s="31">
        <f>SUM(O9:O12)</f>
        <v>69920000</v>
      </c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s="35" t="s">
        <v>21</v>
      </c>
      <c r="B14" s="36"/>
      <c r="C14" s="31">
        <f>C13*1.1</f>
        <v>111061500.00000001</v>
      </c>
      <c r="D14" s="11"/>
      <c r="E14" s="11"/>
      <c r="F14" s="11"/>
      <c r="Q14" s="37" t="s">
        <v>13</v>
      </c>
      <c r="R14" s="38"/>
      <c r="S14" s="38"/>
      <c r="T14" s="38"/>
      <c r="U14" s="38"/>
      <c r="V14" s="39"/>
      <c r="W14" s="40" t="s">
        <v>7</v>
      </c>
      <c r="X14" s="42">
        <f>X3+X7+X11</f>
        <v>16075000</v>
      </c>
    </row>
    <row r="15" spans="1:24" x14ac:dyDescent="0.25">
      <c r="H15" s="25" t="s">
        <v>44</v>
      </c>
      <c r="I15" s="26"/>
      <c r="J15" s="26"/>
      <c r="K15" s="26"/>
      <c r="L15" s="26"/>
      <c r="M15" s="26"/>
      <c r="N15" s="26"/>
      <c r="O15" s="27"/>
      <c r="W15" s="17"/>
    </row>
    <row r="16" spans="1:24" x14ac:dyDescent="0.25">
      <c r="B16" s="10" t="s">
        <v>26</v>
      </c>
      <c r="C16" s="16">
        <v>0.25</v>
      </c>
      <c r="H16" s="28" t="s">
        <v>3</v>
      </c>
      <c r="I16" s="28" t="s">
        <v>4</v>
      </c>
      <c r="J16" s="28" t="s">
        <v>0</v>
      </c>
      <c r="K16" s="28" t="s">
        <v>1</v>
      </c>
      <c r="L16" s="29" t="s">
        <v>2</v>
      </c>
      <c r="M16" s="30" t="s">
        <v>16</v>
      </c>
      <c r="N16" s="31" t="s">
        <v>27</v>
      </c>
      <c r="O16" s="31" t="s">
        <v>29</v>
      </c>
      <c r="S16" s="17"/>
      <c r="T16" s="17"/>
      <c r="V16" s="17"/>
      <c r="W16" s="17"/>
      <c r="X16" s="17"/>
    </row>
    <row r="17" spans="8:15" x14ac:dyDescent="0.25">
      <c r="H17" s="10">
        <v>1</v>
      </c>
      <c r="I17" s="2" t="s">
        <v>14</v>
      </c>
      <c r="J17" s="10">
        <v>1</v>
      </c>
      <c r="K17" s="10">
        <v>12</v>
      </c>
      <c r="L17" s="5">
        <v>0.2</v>
      </c>
      <c r="M17" s="3">
        <f>VLOOKUP(I17, $B$3:$E$7, 4)</f>
        <v>280000</v>
      </c>
      <c r="N17" s="3">
        <f>M17*(100%+$C$16)</f>
        <v>350000</v>
      </c>
      <c r="O17" s="3">
        <f>N17*K17*L17*J17</f>
        <v>840000</v>
      </c>
    </row>
    <row r="18" spans="8:15" x14ac:dyDescent="0.25">
      <c r="H18" s="10">
        <v>2</v>
      </c>
      <c r="I18" s="2" t="s">
        <v>17</v>
      </c>
      <c r="J18" s="10">
        <v>1</v>
      </c>
      <c r="K18" s="10">
        <v>12</v>
      </c>
      <c r="L18" s="5">
        <v>1</v>
      </c>
      <c r="M18" s="3">
        <f>VLOOKUP(I18, $B$3:$E$7, 4)</f>
        <v>145000</v>
      </c>
      <c r="N18" s="3">
        <f>M18*(100%+$C$16)</f>
        <v>181250</v>
      </c>
      <c r="O18" s="3">
        <f>N18*K18*L18*J18</f>
        <v>2175000</v>
      </c>
    </row>
    <row r="19" spans="8:15" x14ac:dyDescent="0.25">
      <c r="H19" s="10">
        <v>3</v>
      </c>
      <c r="I19" s="2" t="s">
        <v>34</v>
      </c>
      <c r="J19" s="10">
        <v>2</v>
      </c>
      <c r="K19" s="10">
        <v>12</v>
      </c>
      <c r="L19" s="5">
        <v>0.2</v>
      </c>
      <c r="M19" s="3">
        <f>VLOOKUP(I19, $B$3:$E$7, 4)</f>
        <v>245000</v>
      </c>
      <c r="N19" s="3">
        <f>M19*(100%+$C$16)</f>
        <v>306250</v>
      </c>
      <c r="O19" s="3">
        <f>N19*K19*L19*J19</f>
        <v>1470000</v>
      </c>
    </row>
    <row r="20" spans="8:15" x14ac:dyDescent="0.25">
      <c r="H20" s="32"/>
      <c r="I20" s="33"/>
      <c r="J20" s="33"/>
      <c r="K20" s="33"/>
      <c r="L20" s="33"/>
      <c r="M20" s="34"/>
      <c r="N20" s="34" t="s">
        <v>6</v>
      </c>
      <c r="O20" s="31">
        <f>SUM(O17:O19)</f>
        <v>4485000</v>
      </c>
    </row>
    <row r="22" spans="8:15" x14ac:dyDescent="0.25">
      <c r="H22" s="23" t="s">
        <v>45</v>
      </c>
      <c r="I22" s="23"/>
      <c r="J22" s="23"/>
      <c r="K22" s="23"/>
      <c r="L22" s="23"/>
      <c r="M22" s="23"/>
      <c r="N22" s="23"/>
      <c r="O22" s="23"/>
    </row>
    <row r="23" spans="8:15" x14ac:dyDescent="0.25">
      <c r="H23" s="28" t="s">
        <v>3</v>
      </c>
      <c r="I23" s="28" t="s">
        <v>4</v>
      </c>
      <c r="J23" s="28" t="s">
        <v>0</v>
      </c>
      <c r="K23" s="28" t="s">
        <v>1</v>
      </c>
      <c r="L23" s="29" t="s">
        <v>2</v>
      </c>
      <c r="M23" s="30" t="s">
        <v>16</v>
      </c>
      <c r="N23" s="31" t="s">
        <v>27</v>
      </c>
      <c r="O23" s="31" t="s">
        <v>29</v>
      </c>
    </row>
    <row r="24" spans="8:15" x14ac:dyDescent="0.25">
      <c r="H24" s="10">
        <v>1</v>
      </c>
      <c r="I24" s="2" t="s">
        <v>14</v>
      </c>
      <c r="J24" s="10">
        <v>1</v>
      </c>
      <c r="K24" s="10">
        <v>3</v>
      </c>
      <c r="L24" s="5">
        <v>1</v>
      </c>
      <c r="M24" s="12">
        <f>VLOOKUP(I24, $B$3:$E$7, 4)</f>
        <v>280000</v>
      </c>
      <c r="N24" s="3">
        <f>M24*(100%+$C$16)</f>
        <v>350000</v>
      </c>
      <c r="O24" s="3">
        <f>N24*K24*L24</f>
        <v>1050000</v>
      </c>
    </row>
    <row r="25" spans="8:15" x14ac:dyDescent="0.25">
      <c r="H25" s="10">
        <v>2</v>
      </c>
      <c r="I25" s="2" t="s">
        <v>34</v>
      </c>
      <c r="J25" s="10">
        <v>2</v>
      </c>
      <c r="K25" s="10">
        <v>3</v>
      </c>
      <c r="L25" s="5">
        <v>0.8</v>
      </c>
      <c r="M25" s="12">
        <f>VLOOKUP(I25, $B$3:$E$7, 4)</f>
        <v>245000</v>
      </c>
      <c r="N25" s="3">
        <f t="shared" ref="N25" si="2">M25*(100%+$C$16)</f>
        <v>306250</v>
      </c>
      <c r="O25" s="3">
        <f t="shared" ref="O25" si="3">N25*K25*L25</f>
        <v>735000</v>
      </c>
    </row>
    <row r="26" spans="8:15" x14ac:dyDescent="0.25">
      <c r="H26" s="32"/>
      <c r="I26" s="33"/>
      <c r="J26" s="33"/>
      <c r="K26" s="33"/>
      <c r="L26" s="33"/>
      <c r="M26" s="33"/>
      <c r="N26" s="34" t="s">
        <v>6</v>
      </c>
      <c r="O26" s="31">
        <f>SUM(O24:O25)</f>
        <v>1785000</v>
      </c>
    </row>
    <row r="28" spans="8:15" x14ac:dyDescent="0.25">
      <c r="H28" s="25" t="s">
        <v>31</v>
      </c>
      <c r="I28" s="26"/>
      <c r="J28" s="26"/>
      <c r="K28" s="26"/>
      <c r="L28" s="26"/>
      <c r="M28" s="26"/>
      <c r="N28" s="26"/>
      <c r="O28" s="27"/>
    </row>
    <row r="29" spans="8:15" x14ac:dyDescent="0.25">
      <c r="H29" s="28" t="s">
        <v>3</v>
      </c>
      <c r="I29" s="28" t="s">
        <v>4</v>
      </c>
      <c r="J29" s="28" t="s">
        <v>0</v>
      </c>
      <c r="K29" s="28" t="s">
        <v>1</v>
      </c>
      <c r="L29" s="29" t="s">
        <v>2</v>
      </c>
      <c r="M29" s="30" t="s">
        <v>16</v>
      </c>
      <c r="N29" s="31" t="s">
        <v>27</v>
      </c>
      <c r="O29" s="31" t="s">
        <v>29</v>
      </c>
    </row>
    <row r="30" spans="8:15" x14ac:dyDescent="0.25">
      <c r="H30" s="10">
        <v>1</v>
      </c>
      <c r="I30" s="2" t="s">
        <v>34</v>
      </c>
      <c r="J30" s="10">
        <v>1</v>
      </c>
      <c r="K30" s="10">
        <v>12</v>
      </c>
      <c r="L30" s="5">
        <v>1</v>
      </c>
      <c r="M30" s="12">
        <f>VLOOKUP(I30, $B$3:$E$7, 4)</f>
        <v>245000</v>
      </c>
      <c r="N30" s="3">
        <f t="shared" ref="N30" si="4">M30*(100%+$C$16)</f>
        <v>306250</v>
      </c>
      <c r="O30" s="3">
        <f t="shared" ref="O30" si="5">N30*K30*L30</f>
        <v>3675000</v>
      </c>
    </row>
    <row r="31" spans="8:15" x14ac:dyDescent="0.25">
      <c r="H31" s="32"/>
      <c r="I31" s="33"/>
      <c r="J31" s="33"/>
      <c r="K31" s="33"/>
      <c r="L31" s="33"/>
      <c r="M31" s="33"/>
      <c r="N31" s="34" t="s">
        <v>6</v>
      </c>
      <c r="O31" s="31">
        <f>SUM(O30:O30)</f>
        <v>3675000</v>
      </c>
    </row>
    <row r="32" spans="8:15" x14ac:dyDescent="0.25">
      <c r="H32" s="9"/>
      <c r="I32" s="9"/>
      <c r="J32" s="9"/>
      <c r="K32" s="9"/>
      <c r="L32" s="9"/>
      <c r="M32" s="15"/>
      <c r="N32" s="15"/>
      <c r="O32" s="14"/>
    </row>
    <row r="33" spans="8:15" x14ac:dyDescent="0.25">
      <c r="H33" s="37" t="s">
        <v>8</v>
      </c>
      <c r="I33" s="38"/>
      <c r="J33" s="38"/>
      <c r="K33" s="38"/>
      <c r="L33" s="38"/>
      <c r="M33" s="39"/>
      <c r="N33" s="40" t="s">
        <v>7</v>
      </c>
      <c r="O33" s="40">
        <f>O5+O13+O20+O26+O31</f>
        <v>81215000</v>
      </c>
    </row>
  </sheetData>
  <mergeCells count="15">
    <mergeCell ref="H33:M33"/>
    <mergeCell ref="H28:O28"/>
    <mergeCell ref="H22:O22"/>
    <mergeCell ref="H15:O15"/>
    <mergeCell ref="A1:E1"/>
    <mergeCell ref="H1:O1"/>
    <mergeCell ref="Q1:X1"/>
    <mergeCell ref="Q5:X5"/>
    <mergeCell ref="A8:C8"/>
    <mergeCell ref="H7:O7"/>
    <mergeCell ref="Q13:X13"/>
    <mergeCell ref="A13:B13"/>
    <mergeCell ref="A14:B14"/>
    <mergeCell ref="Q9:X9"/>
    <mergeCell ref="Q14:V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4"/>
  <sheetViews>
    <sheetView workbookViewId="0">
      <selection activeCell="N9" sqref="N9:N13"/>
    </sheetView>
  </sheetViews>
  <sheetFormatPr defaultRowHeight="15" x14ac:dyDescent="0.25"/>
  <sheetData>
    <row r="2" spans="2:27" x14ac:dyDescent="0.25">
      <c r="B2" t="s">
        <v>38</v>
      </c>
      <c r="C2">
        <v>5</v>
      </c>
      <c r="D2">
        <v>8</v>
      </c>
      <c r="E2">
        <v>2</v>
      </c>
      <c r="F2">
        <v>5</v>
      </c>
      <c r="G2">
        <v>16</v>
      </c>
      <c r="H2">
        <v>17</v>
      </c>
      <c r="I2">
        <v>5</v>
      </c>
      <c r="J2">
        <v>5</v>
      </c>
      <c r="K2">
        <v>3</v>
      </c>
      <c r="L2">
        <v>4</v>
      </c>
      <c r="M2">
        <v>13</v>
      </c>
      <c r="N2">
        <v>15</v>
      </c>
      <c r="O2">
        <v>13</v>
      </c>
      <c r="P2">
        <v>20</v>
      </c>
      <c r="Q2">
        <v>14</v>
      </c>
      <c r="R2">
        <v>20</v>
      </c>
      <c r="T2">
        <f>C2+D2+E2+F2+G2+H2+I2+J2+K2+L2+M2+N2+O2+P2+Q2+R2</f>
        <v>165</v>
      </c>
      <c r="V2">
        <v>2</v>
      </c>
      <c r="W2">
        <v>2</v>
      </c>
      <c r="X2">
        <v>12</v>
      </c>
      <c r="Y2">
        <v>24</v>
      </c>
      <c r="Z2">
        <v>6</v>
      </c>
      <c r="AA2">
        <f>V2+W2+X2+Y2+Z2</f>
        <v>46</v>
      </c>
    </row>
    <row r="3" spans="2:27" x14ac:dyDescent="0.25">
      <c r="B3" t="s">
        <v>39</v>
      </c>
      <c r="C3">
        <v>5</v>
      </c>
      <c r="T3">
        <f t="shared" ref="T3:T7" si="0">C3+D3+E3+F3+G3+H3+I3+J3+K3+L3+M3+N3+O3+P3+Q3+R3</f>
        <v>5</v>
      </c>
      <c r="V3">
        <v>2</v>
      </c>
      <c r="AA3">
        <v>2</v>
      </c>
    </row>
    <row r="4" spans="2:27" x14ac:dyDescent="0.25">
      <c r="B4" t="s">
        <v>40</v>
      </c>
      <c r="D4">
        <v>8</v>
      </c>
      <c r="E4">
        <v>2</v>
      </c>
      <c r="F4">
        <v>5</v>
      </c>
      <c r="G4">
        <v>16</v>
      </c>
      <c r="H4">
        <v>17</v>
      </c>
      <c r="I4">
        <v>5</v>
      </c>
      <c r="T4">
        <f t="shared" si="0"/>
        <v>53</v>
      </c>
      <c r="W4">
        <v>2</v>
      </c>
      <c r="X4">
        <v>12</v>
      </c>
      <c r="AA4">
        <v>14</v>
      </c>
    </row>
    <row r="5" spans="2:27" x14ac:dyDescent="0.25">
      <c r="B5" t="s">
        <v>41</v>
      </c>
      <c r="J5">
        <v>5</v>
      </c>
      <c r="K5">
        <v>3</v>
      </c>
      <c r="L5">
        <v>4</v>
      </c>
      <c r="M5">
        <v>13</v>
      </c>
      <c r="N5">
        <v>15</v>
      </c>
      <c r="O5">
        <v>13</v>
      </c>
      <c r="P5">
        <v>20</v>
      </c>
      <c r="Q5">
        <v>14</v>
      </c>
      <c r="R5">
        <v>20</v>
      </c>
      <c r="S5">
        <v>3</v>
      </c>
      <c r="T5">
        <f>C5+D5+E5+F5+G5+H5+I5+J5+K5+L5+M5+N5+O5+P5+Q5+R5+S5</f>
        <v>110</v>
      </c>
      <c r="Y5">
        <v>24</v>
      </c>
      <c r="Z5">
        <v>6</v>
      </c>
      <c r="AA5">
        <v>30</v>
      </c>
    </row>
    <row r="6" spans="2:27" x14ac:dyDescent="0.25">
      <c r="B6" t="s">
        <v>42</v>
      </c>
      <c r="J6">
        <v>5</v>
      </c>
      <c r="K6">
        <v>3</v>
      </c>
      <c r="L6">
        <v>4</v>
      </c>
      <c r="M6">
        <v>13</v>
      </c>
      <c r="N6">
        <v>15</v>
      </c>
      <c r="O6">
        <v>13</v>
      </c>
      <c r="P6">
        <v>20</v>
      </c>
      <c r="Q6">
        <v>14</v>
      </c>
      <c r="R6">
        <v>20</v>
      </c>
      <c r="S6">
        <v>3</v>
      </c>
      <c r="T6">
        <f>C6+D6+E6+F6+G6+H6+I6+J6+K6+L6+M6+N6+O6+P6+Q6+R6+S6</f>
        <v>110</v>
      </c>
      <c r="Y6">
        <v>24</v>
      </c>
      <c r="Z6">
        <v>6</v>
      </c>
      <c r="AA6">
        <v>30</v>
      </c>
    </row>
    <row r="7" spans="2:27" x14ac:dyDescent="0.25">
      <c r="B7" t="s">
        <v>43</v>
      </c>
      <c r="R7">
        <v>20</v>
      </c>
      <c r="T7">
        <f t="shared" si="0"/>
        <v>20</v>
      </c>
      <c r="Z7">
        <v>6</v>
      </c>
      <c r="AA7">
        <v>6</v>
      </c>
    </row>
    <row r="9" spans="2:27" x14ac:dyDescent="0.25">
      <c r="C9">
        <v>5</v>
      </c>
      <c r="D9">
        <v>6</v>
      </c>
      <c r="E9">
        <v>2</v>
      </c>
      <c r="F9">
        <v>3</v>
      </c>
      <c r="G9">
        <v>11</v>
      </c>
      <c r="H9">
        <v>8</v>
      </c>
      <c r="I9">
        <v>3</v>
      </c>
      <c r="J9">
        <v>56</v>
      </c>
      <c r="K9">
        <v>12</v>
      </c>
      <c r="L9">
        <v>4</v>
      </c>
      <c r="N9">
        <f>+D9+E9+F9+G9+H9+I9+J9</f>
        <v>89</v>
      </c>
      <c r="S9" t="s">
        <v>38</v>
      </c>
      <c r="T9">
        <f>T2-AA2</f>
        <v>119</v>
      </c>
    </row>
    <row r="10" spans="2:27" x14ac:dyDescent="0.25">
      <c r="C10">
        <v>5</v>
      </c>
      <c r="N10">
        <f t="shared" ref="N10:N13" si="1">+D10+E10+F10+G10+H10+I10+J10</f>
        <v>0</v>
      </c>
      <c r="S10" t="s">
        <v>39</v>
      </c>
      <c r="T10">
        <f t="shared" ref="T10:T14" si="2">T3-AA3</f>
        <v>3</v>
      </c>
    </row>
    <row r="11" spans="2:27" x14ac:dyDescent="0.25">
      <c r="D11">
        <v>6</v>
      </c>
      <c r="E11">
        <v>2</v>
      </c>
      <c r="F11">
        <v>3</v>
      </c>
      <c r="G11">
        <v>11</v>
      </c>
      <c r="H11">
        <v>8</v>
      </c>
      <c r="I11">
        <v>3</v>
      </c>
      <c r="N11">
        <f t="shared" si="1"/>
        <v>33</v>
      </c>
      <c r="S11" t="s">
        <v>40</v>
      </c>
      <c r="T11">
        <f t="shared" si="2"/>
        <v>39</v>
      </c>
    </row>
    <row r="12" spans="2:27" x14ac:dyDescent="0.25">
      <c r="J12">
        <v>56</v>
      </c>
      <c r="K12">
        <v>12</v>
      </c>
      <c r="L12">
        <v>4</v>
      </c>
      <c r="N12">
        <f t="shared" si="1"/>
        <v>56</v>
      </c>
      <c r="S12" t="s">
        <v>41</v>
      </c>
      <c r="T12">
        <f t="shared" si="2"/>
        <v>80</v>
      </c>
    </row>
    <row r="13" spans="2:27" x14ac:dyDescent="0.25">
      <c r="J13">
        <v>56</v>
      </c>
      <c r="K13">
        <v>12</v>
      </c>
      <c r="L13">
        <v>4</v>
      </c>
      <c r="N13">
        <f t="shared" si="1"/>
        <v>56</v>
      </c>
      <c r="S13" t="s">
        <v>42</v>
      </c>
      <c r="T13">
        <f t="shared" si="2"/>
        <v>80</v>
      </c>
    </row>
    <row r="14" spans="2:27" x14ac:dyDescent="0.25">
      <c r="K14">
        <v>12</v>
      </c>
      <c r="L14">
        <v>4</v>
      </c>
      <c r="N14">
        <f t="shared" ref="N14" si="3">C14+D14+E14+F14+G14+H14+I14+J14</f>
        <v>0</v>
      </c>
      <c r="S14" t="s">
        <v>43</v>
      </c>
      <c r="T14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2018-07-05T06:13:46Z</dcterms:created>
  <dcterms:modified xsi:type="dcterms:W3CDTF">2018-07-18T10:15:54Z</dcterms:modified>
</cp:coreProperties>
</file>