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Model" sheetId="2" r:id="rId5"/>
    <sheet state="visible" name="Graphs" sheetId="3" r:id="rId6"/>
    <sheet state="visible" name="Eggs" sheetId="4" r:id="rId7"/>
    <sheet state="visible" name="News" sheetId="5" r:id="rId8"/>
    <sheet state="visible" name="Predictions" sheetId="6" r:id="rId9"/>
  </sheets>
  <definedNames/>
  <calcPr/>
</workbook>
</file>

<file path=xl/sharedStrings.xml><?xml version="1.0" encoding="utf-8"?>
<sst xmlns="http://schemas.openxmlformats.org/spreadsheetml/2006/main" count="202" uniqueCount="148">
  <si>
    <t>August 31, 2024</t>
  </si>
  <si>
    <t>November 30, 2024</t>
  </si>
  <si>
    <t>March 1. 2025</t>
  </si>
  <si>
    <t>Variables</t>
  </si>
  <si>
    <t>4Q 2023</t>
  </si>
  <si>
    <t>1Q 2024</t>
  </si>
  <si>
    <t>2Q 2024</t>
  </si>
  <si>
    <t>3Q 2024</t>
  </si>
  <si>
    <t>4Q 2024</t>
  </si>
  <si>
    <t>1Q 2025</t>
  </si>
  <si>
    <t>2Q 2025</t>
  </si>
  <si>
    <t>3Q 2025</t>
  </si>
  <si>
    <t>4Q 2025</t>
  </si>
  <si>
    <t>Market Cap</t>
  </si>
  <si>
    <t>Nº Shares</t>
  </si>
  <si>
    <t>Debt</t>
  </si>
  <si>
    <t>Cash</t>
  </si>
  <si>
    <t>Receivables</t>
  </si>
  <si>
    <t>Current Assets</t>
  </si>
  <si>
    <t>Total Assets</t>
  </si>
  <si>
    <t>Current Liabilities</t>
  </si>
  <si>
    <t>Total Liabilities</t>
  </si>
  <si>
    <t>Equities</t>
  </si>
  <si>
    <t>EV</t>
  </si>
  <si>
    <t>NCAV</t>
  </si>
  <si>
    <t>Market Price</t>
  </si>
  <si>
    <t>NCAV Price</t>
  </si>
  <si>
    <t>NCAV ratio</t>
  </si>
  <si>
    <t>Burn Out (QoQ)</t>
  </si>
  <si>
    <t>(simple anualization)</t>
  </si>
  <si>
    <t xml:space="preserve">ROA </t>
  </si>
  <si>
    <t>ROE</t>
  </si>
  <si>
    <t>ROIC</t>
  </si>
  <si>
    <t>Current Ratio</t>
  </si>
  <si>
    <t>Quick Ratio</t>
  </si>
  <si>
    <t>Debt / Equity</t>
  </si>
  <si>
    <t>NOTES</t>
  </si>
  <si>
    <t>Cal-Maine Foods</t>
  </si>
  <si>
    <t>https://en.wikipedia.org/wiki/Cal-Maine</t>
  </si>
  <si>
    <t>Cal-Maine Foods, Inc. is an American fresh egg producer based in Ridgeland, Mississippi. As of 2024, it was the largest egg producer in the United States.[1][2] Its eggs are sold under several different brand names, including Egg-Land's Best, Land O'Lakes, Farmhouse Eggs, Sunups, Sunny Meadow, and 4-Grain.[3] The company was founded in 1957 by Fred R. Adams, Jr., whose family owns a controlling interest in the company, which is publicly traded on the NASDAQ stock exchange.</t>
  </si>
  <si>
    <t>Conventional shell egg production (dozens)</t>
  </si>
  <si>
    <t>Specialty shell egg production (dozens)</t>
  </si>
  <si>
    <t>Conventional shell egg price (dozen)</t>
  </si>
  <si>
    <t>Specialty shell egg price (dozen)</t>
  </si>
  <si>
    <t>Conventional shell egg sales</t>
  </si>
  <si>
    <t>Specialty shell egg sales</t>
  </si>
  <si>
    <t>Egg products</t>
  </si>
  <si>
    <t>Other</t>
  </si>
  <si>
    <t>Revenue</t>
  </si>
  <si>
    <t>COGS</t>
  </si>
  <si>
    <t>Gross Profit</t>
  </si>
  <si>
    <t>S&amp;G&amp;A</t>
  </si>
  <si>
    <t>(Gain) loss on involuntary conversions</t>
  </si>
  <si>
    <t>(Gain) loss on disposal of fixed assets</t>
  </si>
  <si>
    <t>Operating Expenses</t>
  </si>
  <si>
    <t>Operating Income</t>
  </si>
  <si>
    <t>Interest Expense</t>
  </si>
  <si>
    <t>Interest Income</t>
  </si>
  <si>
    <t>Equity in income of unconsolidated entities</t>
  </si>
  <si>
    <t>Patronage dividend</t>
  </si>
  <si>
    <t>Pretax Income</t>
  </si>
  <si>
    <t>Taxes</t>
  </si>
  <si>
    <t>Net Income</t>
  </si>
  <si>
    <t>EPS</t>
  </si>
  <si>
    <t>Shares</t>
  </si>
  <si>
    <t>Revenue q/q Y/Y</t>
  </si>
  <si>
    <t>Gross Margin</t>
  </si>
  <si>
    <t>Operating Margin</t>
  </si>
  <si>
    <t>Profit Margin</t>
  </si>
  <si>
    <t>Earinings q/q Y/Y</t>
  </si>
  <si>
    <t>Net income</t>
  </si>
  <si>
    <t>Depreciation and amortization</t>
  </si>
  <si>
    <t>Deferred income taxes</t>
  </si>
  <si>
    <t>Other adjustments, net</t>
  </si>
  <si>
    <t>CFO</t>
  </si>
  <si>
    <t>Purchases of investment securities</t>
  </si>
  <si>
    <t>Sales and maturities of investment securities</t>
  </si>
  <si>
    <t>Investment in unconsolidated entities</t>
  </si>
  <si>
    <t>Distributions from unconsolidated entities</t>
  </si>
  <si>
    <t>Acquisition of businesses</t>
  </si>
  <si>
    <t>Purchases of property, plant and equipment</t>
  </si>
  <si>
    <t>Net proceeds from disposal of property, plant and equipment</t>
  </si>
  <si>
    <t>CFI</t>
  </si>
  <si>
    <t>Payments of dividends</t>
  </si>
  <si>
    <t>Purchase of common stock by treasury</t>
  </si>
  <si>
    <t>Principal payments on long-term debt</t>
  </si>
  <si>
    <t>Principal payments on finance lease</t>
  </si>
  <si>
    <t>CFF</t>
  </si>
  <si>
    <t>Net change in cash and cash equivalents</t>
  </si>
  <si>
    <t>Cash and cash equivalents at beginning of period</t>
  </si>
  <si>
    <t>Cash and cash equivalents at end of period</t>
  </si>
  <si>
    <t>CAPEX</t>
  </si>
  <si>
    <t>FCF</t>
  </si>
  <si>
    <t>FCF Growth q/q Y/Y</t>
  </si>
  <si>
    <t>FCF Yield</t>
  </si>
  <si>
    <t>Index</t>
  </si>
  <si>
    <t>Date</t>
  </si>
  <si>
    <t>Headline</t>
  </si>
  <si>
    <t>Link</t>
  </si>
  <si>
    <t>Comentary</t>
  </si>
  <si>
    <t>"Salmonella Outbreak Linked to Eggs"</t>
  </si>
  <si>
    <t>https://www.cdc.gov/salmonella/outbreaks/eggs-08-25/index.html</t>
  </si>
  <si>
    <t>Expected Growth</t>
  </si>
  <si>
    <t>FCF based</t>
  </si>
  <si>
    <t>Year 0</t>
  </si>
  <si>
    <t>Year 1</t>
  </si>
  <si>
    <t>Year 2</t>
  </si>
  <si>
    <t>Year 3</t>
  </si>
  <si>
    <t>Year 4</t>
  </si>
  <si>
    <t>Year 5</t>
  </si>
  <si>
    <t>Year 6</t>
  </si>
  <si>
    <t>Year 7</t>
  </si>
  <si>
    <t>Year 8</t>
  </si>
  <si>
    <t>Year 9</t>
  </si>
  <si>
    <t>Year 10</t>
  </si>
  <si>
    <t>Bearish</t>
  </si>
  <si>
    <t>Mildly Bearish</t>
  </si>
  <si>
    <t>Average</t>
  </si>
  <si>
    <t>Mildly Bullish</t>
  </si>
  <si>
    <t>Bulllish</t>
  </si>
  <si>
    <t>Discount rate</t>
  </si>
  <si>
    <t>Insights:</t>
  </si>
  <si>
    <t>- There is barely no growth on the raw production numbers of eggs.</t>
  </si>
  <si>
    <t>N Shares</t>
  </si>
  <si>
    <t>- The recent upsurge in revenue is due to almost entirely the spike up in the price of eggs due to crisis in 2024.</t>
  </si>
  <si>
    <t>LTGR</t>
  </si>
  <si>
    <t>- The company has specialized into make "egg products" in the meantime and has bought treasury notes with the exceptional profits.</t>
  </si>
  <si>
    <t>N years</t>
  </si>
  <si>
    <t>PV Terminal Value</t>
  </si>
  <si>
    <t>MS &lt; -30%</t>
  </si>
  <si>
    <t xml:space="preserve"> </t>
  </si>
  <si>
    <t>-30% &lt; MS &lt; +30%</t>
  </si>
  <si>
    <t>MS &gt; +30%</t>
  </si>
  <si>
    <t>Strategy:</t>
  </si>
  <si>
    <t>SHORT</t>
  </si>
  <si>
    <t>8 of 9</t>
  </si>
  <si>
    <t>UNDECISIVE</t>
  </si>
  <si>
    <t>1 of 9</t>
  </si>
  <si>
    <t>LONG</t>
  </si>
  <si>
    <t>0 of 9</t>
  </si>
  <si>
    <t>Problems:</t>
  </si>
  <si>
    <t>- The company has stored many of its profits in the form of treasury notes and other securities, which can be sold and buyback shares or give up dividends in order to keep the stock price high.</t>
  </si>
  <si>
    <t>NPV</t>
  </si>
  <si>
    <t>NET DEBT</t>
  </si>
  <si>
    <t>IV</t>
  </si>
  <si>
    <t>Current Stock price</t>
  </si>
  <si>
    <t>Margin of Safety</t>
  </si>
  <si>
    <t>Points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</si>
</sst>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 d, yyyy"/>
    <numFmt numFmtId="165" formatCode="[$$]#,##0.00"/>
    <numFmt numFmtId="166" formatCode="dd/mm/yyyy"/>
    <numFmt numFmtId="167" formatCode="[$$]#,##0"/>
    <numFmt numFmtId="168" formatCode="#,##0.000"/>
    <numFmt numFmtId="169" formatCode="#,##0.00\ [$€-1]"/>
    <numFmt numFmtId="170" formatCode="0.000"/>
  </numFmts>
  <fonts count="11">
    <font>
      <sz val="10.0"/>
      <color rgb="FF000000"/>
      <name val="Arial"/>
      <scheme val="minor"/>
    </font>
    <font>
      <color theme="1"/>
      <name val="Arial"/>
      <scheme val="minor"/>
    </font>
    <font>
      <b/>
      <color theme="1"/>
      <name val="Arial"/>
      <scheme val="minor"/>
    </font>
    <font>
      <color rgb="FF434343"/>
      <name val="Roboto"/>
    </font>
    <font>
      <i/>
      <color theme="1"/>
      <name val="Arial"/>
    </font>
    <font>
      <color theme="1"/>
      <name val="Arial"/>
    </font>
    <font>
      <u/>
      <color rgb="FF0000FF"/>
    </font>
    <font>
      <i/>
      <color rgb="FFB45F06"/>
      <name val="Arial"/>
      <scheme val="minor"/>
    </font>
    <font>
      <color rgb="FF38761D"/>
      <name val="Arial"/>
      <scheme val="minor"/>
    </font>
    <font>
      <b/>
      <color theme="1"/>
      <name val="Arial"/>
    </font>
    <font>
      <u/>
      <color rgb="FF0000FF"/>
      <name val="Roboto"/>
    </font>
  </fonts>
  <fills count="9">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6F8F9"/>
        <bgColor rgb="FFF6F8F9"/>
      </patternFill>
    </fill>
    <fill>
      <patternFill patternType="solid">
        <fgColor rgb="FFFF0000"/>
        <bgColor rgb="FFFF0000"/>
      </patternFill>
    </fill>
    <fill>
      <patternFill patternType="solid">
        <fgColor rgb="FFFF9900"/>
        <bgColor rgb="FFFF9900"/>
      </patternFill>
    </fill>
    <fill>
      <patternFill patternType="solid">
        <fgColor rgb="FF34A853"/>
        <bgColor rgb="FF34A853"/>
      </patternFill>
    </fill>
    <fill>
      <patternFill patternType="solid">
        <fgColor rgb="FFEA9999"/>
        <bgColor rgb="FFEA9999"/>
      </patternFill>
    </fill>
  </fills>
  <borders count="3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000000"/>
      </left>
    </border>
    <border>
      <right style="thin">
        <color rgb="FF000000"/>
      </right>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FFFFFF"/>
      </right>
      <top style="thin">
        <color rgb="FFFFFFFF"/>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dotted">
        <color rgb="FF000000"/>
      </bottom>
    </border>
    <border>
      <right style="thin">
        <color rgb="FF000000"/>
      </right>
      <bottom style="dotted">
        <color rgb="FF000000"/>
      </bottom>
    </border>
    <border>
      <top style="double">
        <color rgb="FF000000"/>
      </top>
    </border>
    <border>
      <right style="thin">
        <color rgb="FF000000"/>
      </right>
      <top style="double">
        <color rgb="FF000000"/>
      </top>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1"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2" fontId="2" numFmtId="0" xfId="0" applyAlignment="1" applyBorder="1" applyFill="1" applyFont="1">
      <alignment readingOrder="0"/>
    </xf>
    <xf borderId="5" fillId="2" fontId="2" numFmtId="0" xfId="0" applyAlignment="1" applyBorder="1" applyFont="1">
      <alignment readingOrder="0"/>
    </xf>
    <xf borderId="6" fillId="2" fontId="2" numFmtId="0" xfId="0" applyAlignment="1" applyBorder="1" applyFont="1">
      <alignment readingOrder="0"/>
    </xf>
    <xf borderId="7" fillId="0" fontId="1" numFmtId="0" xfId="0" applyAlignment="1" applyBorder="1" applyFont="1">
      <alignment readingOrder="0" shrinkToFit="0" vertical="center" wrapText="0"/>
    </xf>
    <xf borderId="8" fillId="3" fontId="3" numFmtId="3" xfId="0" applyAlignment="1" applyBorder="1" applyFill="1" applyFont="1" applyNumberFormat="1">
      <alignment horizontal="right" shrinkToFit="0" vertical="center" wrapText="0"/>
    </xf>
    <xf borderId="8" fillId="3" fontId="3" numFmtId="3" xfId="0" applyAlignment="1" applyBorder="1" applyFont="1" applyNumberFormat="1">
      <alignment horizontal="right" readingOrder="0" shrinkToFit="0" vertical="center" wrapText="0"/>
    </xf>
    <xf borderId="8" fillId="0" fontId="1" numFmtId="3" xfId="0" applyAlignment="1" applyBorder="1" applyFont="1" applyNumberFormat="1">
      <alignment readingOrder="0" shrinkToFit="0" vertical="center" wrapText="0"/>
    </xf>
    <xf borderId="8" fillId="0" fontId="1" numFmtId="3" xfId="0" applyAlignment="1" applyBorder="1" applyFont="1" applyNumberFormat="1">
      <alignment readingOrder="0" shrinkToFit="0" vertical="center" wrapText="0"/>
    </xf>
    <xf borderId="9" fillId="0" fontId="1" numFmtId="3" xfId="0" applyAlignment="1" applyBorder="1" applyFont="1" applyNumberFormat="1">
      <alignment readingOrder="0" shrinkToFit="0" vertical="center" wrapText="0"/>
    </xf>
    <xf borderId="10" fillId="0" fontId="1" numFmtId="3" xfId="0" applyAlignment="1" applyBorder="1" applyFont="1" applyNumberFormat="1">
      <alignment readingOrder="0"/>
    </xf>
    <xf borderId="0" fillId="0" fontId="1" numFmtId="3" xfId="0" applyAlignment="1" applyFont="1" applyNumberFormat="1">
      <alignment readingOrder="0"/>
    </xf>
    <xf borderId="11" fillId="0" fontId="1" numFmtId="3" xfId="0" applyAlignment="1" applyBorder="1" applyFont="1" applyNumberFormat="1">
      <alignment readingOrder="0"/>
    </xf>
    <xf borderId="12" fillId="0" fontId="1" numFmtId="0" xfId="0" applyAlignment="1" applyBorder="1" applyFont="1">
      <alignment readingOrder="0" shrinkToFit="0" vertical="center" wrapText="0"/>
    </xf>
    <xf borderId="13" fillId="4" fontId="3" numFmtId="3" xfId="0" applyAlignment="1" applyBorder="1" applyFill="1" applyFont="1" applyNumberFormat="1">
      <alignment horizontal="right" readingOrder="0" shrinkToFit="0" vertical="center" wrapText="0"/>
    </xf>
    <xf borderId="13" fillId="4" fontId="3" numFmtId="3" xfId="0" applyAlignment="1" applyBorder="1" applyFont="1" applyNumberFormat="1">
      <alignment horizontal="right" shrinkToFit="0" vertical="center" wrapText="0"/>
    </xf>
    <xf borderId="13" fillId="0" fontId="1" numFmtId="3" xfId="0" applyAlignment="1" applyBorder="1" applyFont="1" applyNumberFormat="1">
      <alignment readingOrder="0" shrinkToFit="0" vertical="center" wrapText="0"/>
    </xf>
    <xf borderId="13" fillId="0" fontId="1" numFmtId="3" xfId="0" applyAlignment="1" applyBorder="1" applyFont="1" applyNumberFormat="1">
      <alignment readingOrder="0" shrinkToFit="0" vertical="center" wrapText="0"/>
    </xf>
    <xf borderId="14" fillId="0" fontId="1" numFmtId="3"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9" fillId="0" fontId="1" numFmtId="3" xfId="0" applyAlignment="1" applyBorder="1" applyFont="1" applyNumberFormat="1">
      <alignment readingOrder="0" shrinkToFit="0" vertical="center" wrapText="0"/>
    </xf>
    <xf borderId="12" fillId="0" fontId="1" numFmtId="0" xfId="0" applyAlignment="1" applyBorder="1" applyFont="1">
      <alignment readingOrder="0" shrinkToFit="0" vertical="center" wrapText="0"/>
    </xf>
    <xf borderId="13" fillId="3" fontId="3" numFmtId="3" xfId="0" applyAlignment="1" applyBorder="1" applyFont="1" applyNumberFormat="1">
      <alignment horizontal="right" shrinkToFit="0" vertical="center" wrapText="0"/>
    </xf>
    <xf borderId="14" fillId="0" fontId="1" numFmtId="3" xfId="0" applyAlignment="1" applyBorder="1" applyFont="1" applyNumberFormat="1">
      <alignment readingOrder="0" shrinkToFit="0" vertical="center" wrapText="0"/>
    </xf>
    <xf borderId="8" fillId="4" fontId="3" numFmtId="3" xfId="0" applyAlignment="1" applyBorder="1" applyFont="1" applyNumberFormat="1">
      <alignment horizontal="right" shrinkToFit="0" vertical="center" wrapText="0"/>
    </xf>
    <xf borderId="8" fillId="4" fontId="3" numFmtId="3" xfId="0" applyAlignment="1" applyBorder="1" applyFont="1" applyNumberFormat="1">
      <alignment horizontal="right" readingOrder="0" shrinkToFit="0" vertical="center" wrapText="0"/>
    </xf>
    <xf borderId="15" fillId="3" fontId="3" numFmtId="3" xfId="0" applyAlignment="1" applyBorder="1" applyFont="1" applyNumberFormat="1">
      <alignment horizontal="right" readingOrder="0" shrinkToFit="0" vertical="center" wrapText="0"/>
    </xf>
    <xf borderId="16" fillId="0" fontId="1" numFmtId="0" xfId="0" applyAlignment="1" applyBorder="1" applyFont="1">
      <alignment readingOrder="0" shrinkToFit="0" vertical="center" wrapText="0"/>
    </xf>
    <xf borderId="17" fillId="4" fontId="3" numFmtId="3" xfId="0" applyAlignment="1" applyBorder="1" applyFont="1" applyNumberFormat="1">
      <alignment horizontal="right" shrinkToFit="0" vertical="center" wrapText="0"/>
    </xf>
    <xf borderId="17" fillId="3" fontId="3" numFmtId="3" xfId="0" applyAlignment="1" applyBorder="1" applyFont="1" applyNumberFormat="1">
      <alignment horizontal="right" readingOrder="0" shrinkToFit="0" vertical="center" wrapText="0"/>
    </xf>
    <xf borderId="17" fillId="4" fontId="3" numFmtId="3" xfId="0" applyAlignment="1" applyBorder="1" applyFont="1" applyNumberFormat="1">
      <alignment horizontal="right" readingOrder="0" shrinkToFit="0" vertical="center" wrapText="0"/>
    </xf>
    <xf borderId="17" fillId="0" fontId="1" numFmtId="3" xfId="0" applyAlignment="1" applyBorder="1" applyFont="1" applyNumberFormat="1">
      <alignment readingOrder="0" shrinkToFit="0" vertical="center" wrapText="0"/>
    </xf>
    <xf borderId="17" fillId="0" fontId="1" numFmtId="3" xfId="0" applyAlignment="1" applyBorder="1" applyFont="1" applyNumberFormat="1">
      <alignment readingOrder="0" shrinkToFit="0" vertical="center" wrapText="0"/>
    </xf>
    <xf borderId="18" fillId="0" fontId="1" numFmtId="3" xfId="0" applyAlignment="1" applyBorder="1" applyFont="1" applyNumberFormat="1">
      <alignment readingOrder="0" shrinkToFit="0" vertical="center" wrapText="0"/>
    </xf>
    <xf borderId="19" fillId="0" fontId="1" numFmtId="3" xfId="0" applyAlignment="1" applyBorder="1" applyFont="1" applyNumberFormat="1">
      <alignment readingOrder="0"/>
    </xf>
    <xf borderId="20" fillId="0" fontId="1" numFmtId="3" xfId="0" applyAlignment="1" applyBorder="1" applyFont="1" applyNumberFormat="1">
      <alignment readingOrder="0"/>
    </xf>
    <xf borderId="21" fillId="0" fontId="1" numFmtId="3" xfId="0" applyAlignment="1" applyBorder="1" applyFont="1" applyNumberFormat="1">
      <alignment readingOrder="0"/>
    </xf>
    <xf borderId="22" fillId="0" fontId="1" numFmtId="0" xfId="0" applyAlignment="1" applyBorder="1" applyFont="1">
      <alignment readingOrder="0"/>
    </xf>
    <xf borderId="23" fillId="0" fontId="1" numFmtId="3" xfId="0" applyAlignment="1" applyBorder="1" applyFont="1" applyNumberFormat="1">
      <alignment readingOrder="0"/>
    </xf>
    <xf borderId="23" fillId="0" fontId="1" numFmtId="3" xfId="0" applyBorder="1" applyFont="1" applyNumberFormat="1"/>
    <xf borderId="24" fillId="0" fontId="1" numFmtId="3" xfId="0" applyBorder="1" applyFont="1" applyNumberFormat="1"/>
    <xf borderId="25" fillId="0" fontId="1" numFmtId="3" xfId="0" applyBorder="1" applyFont="1" applyNumberFormat="1"/>
    <xf borderId="26" fillId="0" fontId="1" numFmtId="0" xfId="0" applyAlignment="1" applyBorder="1" applyFont="1">
      <alignment readingOrder="0"/>
    </xf>
    <xf borderId="0" fillId="0" fontId="1" numFmtId="3" xfId="0" applyFont="1" applyNumberFormat="1"/>
    <xf borderId="11" fillId="0" fontId="1" numFmtId="3" xfId="0" applyBorder="1" applyFont="1" applyNumberFormat="1"/>
    <xf borderId="10" fillId="0" fontId="1" numFmtId="3" xfId="0" applyBorder="1" applyFont="1" applyNumberFormat="1"/>
    <xf borderId="0" fillId="0" fontId="1" numFmtId="3" xfId="0" applyFont="1" applyNumberFormat="1"/>
    <xf borderId="11" fillId="0" fontId="1" numFmtId="3" xfId="0" applyBorder="1" applyFont="1" applyNumberFormat="1"/>
    <xf borderId="26" fillId="0" fontId="1" numFmtId="0" xfId="0" applyAlignment="1" applyBorder="1" applyFont="1">
      <alignment readingOrder="0"/>
    </xf>
    <xf borderId="0" fillId="0" fontId="1" numFmtId="165" xfId="0" applyFont="1" applyNumberFormat="1"/>
    <xf borderId="11" fillId="0" fontId="1" numFmtId="165" xfId="0" applyBorder="1" applyFont="1" applyNumberFormat="1"/>
    <xf borderId="10" fillId="0" fontId="1" numFmtId="165" xfId="0" applyBorder="1" applyFont="1" applyNumberFormat="1"/>
    <xf borderId="0" fillId="0" fontId="1" numFmtId="165" xfId="0" applyFont="1" applyNumberFormat="1"/>
    <xf borderId="11" fillId="0" fontId="1" numFmtId="165" xfId="0" applyBorder="1" applyFont="1" applyNumberFormat="1"/>
    <xf borderId="0" fillId="0" fontId="1" numFmtId="10" xfId="0" applyFont="1" applyNumberFormat="1"/>
    <xf borderId="11" fillId="0" fontId="1" numFmtId="10" xfId="0" applyBorder="1" applyFont="1" applyNumberFormat="1"/>
    <xf borderId="10" fillId="0" fontId="1" numFmtId="10" xfId="0" applyBorder="1" applyFont="1" applyNumberFormat="1"/>
    <xf borderId="27" fillId="0" fontId="1" numFmtId="0" xfId="0" applyAlignment="1" applyBorder="1" applyFont="1">
      <alignment readingOrder="0"/>
    </xf>
    <xf borderId="20" fillId="0" fontId="1" numFmtId="10" xfId="0" applyBorder="1" applyFont="1" applyNumberFormat="1"/>
    <xf borderId="21" fillId="0" fontId="1" numFmtId="10" xfId="0" applyBorder="1" applyFont="1" applyNumberFormat="1"/>
    <xf borderId="19" fillId="0" fontId="1" numFmtId="10" xfId="0" applyBorder="1" applyFont="1" applyNumberFormat="1"/>
    <xf borderId="0" fillId="0" fontId="4" numFmtId="0" xfId="0" applyAlignment="1" applyFont="1">
      <alignment vertical="bottom"/>
    </xf>
    <xf borderId="0" fillId="0" fontId="5" numFmtId="2" xfId="0" applyAlignment="1" applyFont="1" applyNumberFormat="1">
      <alignment vertical="bottom"/>
    </xf>
    <xf borderId="22" fillId="0" fontId="5" numFmtId="0" xfId="0" applyAlignment="1" applyBorder="1" applyFont="1">
      <alignment vertical="bottom"/>
    </xf>
    <xf borderId="23" fillId="0" fontId="5" numFmtId="10" xfId="0" applyAlignment="1" applyBorder="1" applyFont="1" applyNumberFormat="1">
      <alignment horizontal="right" vertical="bottom"/>
    </xf>
    <xf borderId="24" fillId="0" fontId="5" numFmtId="10" xfId="0" applyAlignment="1" applyBorder="1" applyFont="1" applyNumberFormat="1">
      <alignment horizontal="right" vertical="bottom"/>
    </xf>
    <xf borderId="25" fillId="0" fontId="1" numFmtId="10" xfId="0" applyBorder="1" applyFont="1" applyNumberFormat="1"/>
    <xf borderId="23" fillId="0" fontId="1" numFmtId="10" xfId="0" applyBorder="1" applyFont="1" applyNumberFormat="1"/>
    <xf borderId="24" fillId="0" fontId="1" numFmtId="10" xfId="0" applyBorder="1" applyFont="1" applyNumberFormat="1"/>
    <xf borderId="26" fillId="0" fontId="5" numFmtId="0" xfId="0" applyAlignment="1" applyBorder="1" applyFont="1">
      <alignment vertical="bottom"/>
    </xf>
    <xf borderId="0" fillId="0" fontId="5" numFmtId="10" xfId="0" applyAlignment="1" applyFont="1" applyNumberFormat="1">
      <alignment horizontal="right" vertical="bottom"/>
    </xf>
    <xf borderId="11" fillId="0" fontId="5" numFmtId="10" xfId="0" applyAlignment="1" applyBorder="1" applyFont="1" applyNumberFormat="1">
      <alignment horizontal="right" vertical="bottom"/>
    </xf>
    <xf borderId="27" fillId="0" fontId="5" numFmtId="0" xfId="0" applyAlignment="1" applyBorder="1" applyFont="1">
      <alignment vertical="bottom"/>
    </xf>
    <xf borderId="20" fillId="0" fontId="5" numFmtId="10" xfId="0" applyAlignment="1" applyBorder="1" applyFont="1" applyNumberFormat="1">
      <alignment horizontal="right" vertical="bottom"/>
    </xf>
    <xf borderId="21" fillId="0" fontId="5" numFmtId="10" xfId="0" applyAlignment="1" applyBorder="1" applyFont="1" applyNumberFormat="1">
      <alignment horizontal="right" vertical="bottom"/>
    </xf>
    <xf borderId="0" fillId="0" fontId="1" numFmtId="2" xfId="0" applyFont="1" applyNumberFormat="1"/>
    <xf borderId="25" fillId="0" fontId="1" numFmtId="0" xfId="0" applyAlignment="1" applyBorder="1" applyFont="1">
      <alignment readingOrder="0"/>
    </xf>
    <xf borderId="25" fillId="0" fontId="1" numFmtId="2" xfId="0" applyBorder="1" applyFont="1" applyNumberFormat="1"/>
    <xf borderId="23" fillId="0" fontId="1" numFmtId="2" xfId="0" applyBorder="1" applyFont="1" applyNumberFormat="1"/>
    <xf borderId="24" fillId="0" fontId="1" numFmtId="2" xfId="0" applyBorder="1" applyFont="1" applyNumberFormat="1"/>
    <xf borderId="10" fillId="0" fontId="1" numFmtId="0" xfId="0" applyAlignment="1" applyBorder="1" applyFont="1">
      <alignment readingOrder="0"/>
    </xf>
    <xf borderId="10" fillId="0" fontId="1" numFmtId="2" xfId="0" applyBorder="1" applyFont="1" applyNumberFormat="1"/>
    <xf borderId="11" fillId="0" fontId="1" numFmtId="2" xfId="0" applyBorder="1" applyFont="1" applyNumberFormat="1"/>
    <xf borderId="19" fillId="0" fontId="1" numFmtId="0" xfId="0" applyAlignment="1" applyBorder="1" applyFont="1">
      <alignment readingOrder="0"/>
    </xf>
    <xf borderId="19" fillId="0" fontId="1" numFmtId="2" xfId="0" applyBorder="1" applyFont="1" applyNumberFormat="1"/>
    <xf borderId="20" fillId="0" fontId="1" numFmtId="2" xfId="0" applyBorder="1" applyFont="1" applyNumberFormat="1"/>
    <xf borderId="21" fillId="0" fontId="1" numFmtId="2" xfId="0" applyBorder="1" applyFont="1" applyNumberFormat="1"/>
    <xf borderId="0" fillId="0" fontId="2" numFmtId="0" xfId="0" applyAlignment="1" applyFont="1">
      <alignment readingOrder="0"/>
    </xf>
    <xf borderId="0" fillId="0" fontId="6" numFmtId="0" xfId="0" applyAlignment="1" applyFont="1">
      <alignment readingOrder="0"/>
    </xf>
    <xf borderId="0" fillId="0" fontId="1" numFmtId="0" xfId="0" applyAlignment="1" applyFont="1">
      <alignment readingOrder="0" shrinkToFit="0" vertical="top" wrapText="1"/>
    </xf>
    <xf borderId="0" fillId="0" fontId="2" numFmtId="0" xfId="0" applyFont="1"/>
    <xf borderId="0" fillId="2" fontId="2" numFmtId="0" xfId="0" applyAlignment="1" applyFont="1">
      <alignment readingOrder="0"/>
    </xf>
    <xf borderId="0" fillId="2" fontId="2" numFmtId="0" xfId="0" applyAlignment="1" applyFont="1">
      <alignment readingOrder="0"/>
    </xf>
    <xf borderId="26" fillId="2" fontId="2" numFmtId="0" xfId="0" applyAlignment="1" applyBorder="1" applyFont="1">
      <alignment readingOrder="0"/>
    </xf>
    <xf borderId="23" fillId="2" fontId="2" numFmtId="0" xfId="0" applyAlignment="1" applyBorder="1" applyFont="1">
      <alignment readingOrder="0"/>
    </xf>
    <xf borderId="24" fillId="2" fontId="2" numFmtId="0" xfId="0" applyAlignment="1" applyBorder="1" applyFont="1">
      <alignment readingOrder="0"/>
    </xf>
    <xf borderId="25" fillId="0" fontId="7" numFmtId="0" xfId="0" applyAlignment="1" applyBorder="1" applyFont="1">
      <alignment readingOrder="0"/>
    </xf>
    <xf borderId="23" fillId="0" fontId="7" numFmtId="3" xfId="0" applyAlignment="1" applyBorder="1" applyFont="1" applyNumberFormat="1">
      <alignment readingOrder="0"/>
    </xf>
    <xf borderId="26" fillId="0" fontId="7" numFmtId="3" xfId="0" applyAlignment="1" applyBorder="1" applyFont="1" applyNumberFormat="1">
      <alignment readingOrder="0"/>
    </xf>
    <xf borderId="23" fillId="0" fontId="7" numFmtId="3" xfId="0" applyBorder="1" applyFont="1" applyNumberFormat="1"/>
    <xf borderId="24" fillId="0" fontId="7" numFmtId="3" xfId="0" applyAlignment="1" applyBorder="1" applyFont="1" applyNumberFormat="1">
      <alignment readingOrder="0"/>
    </xf>
    <xf borderId="10" fillId="0" fontId="7" numFmtId="0" xfId="0" applyAlignment="1" applyBorder="1" applyFont="1">
      <alignment readingOrder="0"/>
    </xf>
    <xf borderId="0" fillId="0" fontId="7" numFmtId="3" xfId="0" applyAlignment="1" applyFont="1" applyNumberFormat="1">
      <alignment readingOrder="0"/>
    </xf>
    <xf borderId="0" fillId="0" fontId="7" numFmtId="3" xfId="0" applyFont="1" applyNumberFormat="1"/>
    <xf borderId="11" fillId="0" fontId="7" numFmtId="3" xfId="0" applyAlignment="1" applyBorder="1" applyFont="1" applyNumberFormat="1">
      <alignment readingOrder="0"/>
    </xf>
    <xf borderId="25" fillId="0" fontId="8" numFmtId="0" xfId="0" applyAlignment="1" applyBorder="1" applyFont="1">
      <alignment readingOrder="0"/>
    </xf>
    <xf borderId="23" fillId="0" fontId="8" numFmtId="3" xfId="0" applyAlignment="1" applyBorder="1" applyFont="1" applyNumberFormat="1">
      <alignment readingOrder="0"/>
    </xf>
    <xf borderId="26" fillId="0" fontId="8" numFmtId="3" xfId="0" applyAlignment="1" applyBorder="1" applyFont="1" applyNumberFormat="1">
      <alignment readingOrder="0"/>
    </xf>
    <xf borderId="23" fillId="0" fontId="8" numFmtId="165" xfId="0" applyBorder="1" applyFont="1" applyNumberFormat="1"/>
    <xf borderId="23" fillId="0" fontId="8" numFmtId="165" xfId="0" applyAlignment="1" applyBorder="1" applyFont="1" applyNumberFormat="1">
      <alignment readingOrder="0"/>
    </xf>
    <xf borderId="24" fillId="0" fontId="8" numFmtId="165" xfId="0" applyAlignment="1" applyBorder="1" applyFont="1" applyNumberFormat="1">
      <alignment readingOrder="0"/>
    </xf>
    <xf borderId="0" fillId="0" fontId="1" numFmtId="165" xfId="0" applyAlignment="1" applyFont="1" applyNumberFormat="1">
      <alignment readingOrder="0"/>
    </xf>
    <xf borderId="19" fillId="0" fontId="8" numFmtId="0" xfId="0" applyAlignment="1" applyBorder="1" applyFont="1">
      <alignment readingOrder="0"/>
    </xf>
    <xf borderId="20" fillId="0" fontId="8" numFmtId="3" xfId="0" applyAlignment="1" applyBorder="1" applyFont="1" applyNumberFormat="1">
      <alignment readingOrder="0"/>
    </xf>
    <xf borderId="20" fillId="0" fontId="8" numFmtId="165" xfId="0" applyBorder="1" applyFont="1" applyNumberFormat="1"/>
    <xf borderId="20" fillId="0" fontId="8" numFmtId="165" xfId="0" applyAlignment="1" applyBorder="1" applyFont="1" applyNumberFormat="1">
      <alignment readingOrder="0"/>
    </xf>
    <xf borderId="21" fillId="0" fontId="8" numFmtId="165" xfId="0" applyAlignment="1" applyBorder="1" applyFont="1" applyNumberFormat="1">
      <alignment readingOrder="0"/>
    </xf>
    <xf borderId="26" fillId="0" fontId="1" numFmtId="3" xfId="0" applyAlignment="1" applyBorder="1" applyFont="1" applyNumberFormat="1">
      <alignment readingOrder="0"/>
    </xf>
    <xf borderId="28" fillId="0" fontId="1" numFmtId="3" xfId="0" applyAlignment="1" applyBorder="1" applyFont="1" applyNumberFormat="1">
      <alignment readingOrder="0"/>
    </xf>
    <xf borderId="28" fillId="0" fontId="1" numFmtId="3" xfId="0" applyBorder="1" applyFont="1" applyNumberFormat="1"/>
    <xf borderId="29" fillId="0" fontId="1" numFmtId="3" xfId="0" applyBorder="1" applyFont="1" applyNumberFormat="1"/>
    <xf borderId="4" fillId="0" fontId="2" numFmtId="0" xfId="0" applyAlignment="1" applyBorder="1" applyFont="1">
      <alignment readingOrder="0"/>
    </xf>
    <xf borderId="5" fillId="0" fontId="2" numFmtId="3" xfId="0" applyAlignment="1" applyBorder="1" applyFont="1" applyNumberFormat="1">
      <alignment readingOrder="0"/>
    </xf>
    <xf borderId="5" fillId="0" fontId="2" numFmtId="3" xfId="0" applyBorder="1" applyFont="1" applyNumberFormat="1"/>
    <xf borderId="26" fillId="0" fontId="2" numFmtId="3" xfId="0" applyAlignment="1" applyBorder="1" applyFont="1" applyNumberFormat="1">
      <alignment readingOrder="0"/>
    </xf>
    <xf borderId="6" fillId="0" fontId="2" numFmtId="3" xfId="0" applyAlignment="1" applyBorder="1" applyFont="1" applyNumberFormat="1">
      <alignment readingOrder="0"/>
    </xf>
    <xf borderId="0" fillId="0" fontId="2" numFmtId="3" xfId="0" applyFont="1" applyNumberFormat="1"/>
    <xf borderId="0" fillId="0" fontId="1" numFmtId="0" xfId="0" applyAlignment="1" applyFont="1">
      <alignment horizontal="left" readingOrder="0" shrinkToFit="0" wrapText="0"/>
    </xf>
    <xf borderId="26" fillId="0" fontId="2" numFmtId="3" xfId="0" applyBorder="1" applyFont="1" applyNumberFormat="1"/>
    <xf borderId="6" fillId="0" fontId="2" numFmtId="3" xfId="0" applyBorder="1" applyFont="1" applyNumberFormat="1"/>
    <xf borderId="11" fillId="0" fontId="1" numFmtId="0" xfId="0" applyAlignment="1" applyBorder="1" applyFont="1">
      <alignment readingOrder="0"/>
    </xf>
    <xf borderId="23" fillId="0" fontId="1" numFmtId="0" xfId="0" applyAlignment="1" applyBorder="1" applyFont="1">
      <alignment readingOrder="0"/>
    </xf>
    <xf borderId="26" fillId="0" fontId="1" numFmtId="3" xfId="0" applyBorder="1" applyFont="1" applyNumberFormat="1"/>
    <xf borderId="20" fillId="0" fontId="2" numFmtId="0" xfId="0" applyAlignment="1" applyBorder="1" applyFont="1">
      <alignment readingOrder="0"/>
    </xf>
    <xf borderId="20" fillId="0" fontId="2" numFmtId="3" xfId="0" applyAlignment="1" applyBorder="1" applyFont="1" applyNumberFormat="1">
      <alignment readingOrder="0"/>
    </xf>
    <xf borderId="20" fillId="0" fontId="2" numFmtId="3" xfId="0" applyBorder="1" applyFont="1" applyNumberFormat="1"/>
    <xf borderId="21" fillId="0" fontId="2" numFmtId="3" xfId="0" applyBorder="1" applyFont="1" applyNumberFormat="1"/>
    <xf borderId="26" fillId="0" fontId="2" numFmtId="0" xfId="0" applyBorder="1" applyFont="1"/>
    <xf borderId="0" fillId="0" fontId="1" numFmtId="4" xfId="0" applyAlignment="1" applyFont="1" applyNumberFormat="1">
      <alignment readingOrder="0"/>
    </xf>
    <xf borderId="26" fillId="0" fontId="1" numFmtId="0" xfId="0" applyBorder="1" applyFont="1"/>
    <xf borderId="4" fillId="0" fontId="1" numFmtId="0" xfId="0" applyAlignment="1" applyBorder="1" applyFont="1">
      <alignment readingOrder="0"/>
    </xf>
    <xf borderId="5" fillId="0" fontId="1" numFmtId="10" xfId="0" applyBorder="1" applyFont="1" applyNumberFormat="1"/>
    <xf borderId="26" fillId="0" fontId="1" numFmtId="10" xfId="0" applyBorder="1" applyFont="1" applyNumberFormat="1"/>
    <xf borderId="6" fillId="0" fontId="1" numFmtId="10" xfId="0" applyBorder="1" applyFont="1" applyNumberFormat="1"/>
    <xf borderId="20" fillId="0" fontId="1" numFmtId="0" xfId="0" applyAlignment="1" applyBorder="1" applyFont="1">
      <alignment readingOrder="0"/>
    </xf>
    <xf borderId="20" fillId="0" fontId="1" numFmtId="0" xfId="0" applyBorder="1" applyFont="1"/>
    <xf borderId="30" fillId="0" fontId="1" numFmtId="0" xfId="0" applyBorder="1" applyFont="1"/>
    <xf borderId="30" fillId="0" fontId="1" numFmtId="3" xfId="0" applyBorder="1" applyFont="1" applyNumberFormat="1"/>
    <xf borderId="31" fillId="0" fontId="1" numFmtId="3" xfId="0" applyBorder="1" applyFont="1" applyNumberFormat="1"/>
    <xf borderId="0" fillId="0" fontId="2" numFmtId="3" xfId="0" applyAlignment="1" applyFont="1" applyNumberFormat="1">
      <alignment readingOrder="0"/>
    </xf>
    <xf borderId="11" fillId="0" fontId="2" numFmtId="3" xfId="0" applyAlignment="1" applyBorder="1" applyFont="1" applyNumberFormat="1">
      <alignment readingOrder="0"/>
    </xf>
    <xf borderId="24" fillId="0" fontId="1" numFmtId="3" xfId="0" applyAlignment="1" applyBorder="1" applyFont="1" applyNumberFormat="1">
      <alignment readingOrder="0"/>
    </xf>
    <xf borderId="20" fillId="0" fontId="1" numFmtId="3" xfId="0" applyBorder="1" applyFont="1" applyNumberFormat="1"/>
    <xf borderId="21" fillId="0" fontId="1" numFmtId="3" xfId="0" applyBorder="1" applyFont="1" applyNumberFormat="1"/>
    <xf borderId="23" fillId="3" fontId="5" numFmtId="0" xfId="0" applyAlignment="1" applyBorder="1" applyFont="1">
      <alignment vertical="bottom"/>
    </xf>
    <xf borderId="23" fillId="0" fontId="1" numFmtId="0" xfId="0" applyBorder="1" applyFont="1"/>
    <xf borderId="0" fillId="3" fontId="5" numFmtId="0" xfId="0" applyAlignment="1" applyFont="1">
      <alignment vertical="bottom"/>
    </xf>
    <xf borderId="4" fillId="3" fontId="9" numFmtId="10" xfId="0" applyAlignment="1" applyBorder="1" applyFont="1" applyNumberFormat="1">
      <alignment vertical="bottom"/>
    </xf>
    <xf borderId="19" fillId="3" fontId="9" numFmtId="0" xfId="0" applyAlignment="1" applyBorder="1" applyFont="1">
      <alignment vertical="bottom"/>
    </xf>
    <xf borderId="10" fillId="0" fontId="1" numFmtId="0" xfId="0" applyBorder="1" applyFont="1"/>
    <xf borderId="0" fillId="0" fontId="1" numFmtId="0" xfId="0" applyFont="1"/>
    <xf borderId="1" fillId="0" fontId="1" numFmtId="0" xfId="0" applyAlignment="1" applyBorder="1" applyFont="1">
      <alignment horizontal="left" readingOrder="0" shrinkToFit="0" vertical="center" wrapText="0"/>
    </xf>
    <xf borderId="32" fillId="0" fontId="1" numFmtId="0" xfId="0" applyAlignment="1" applyBorder="1" applyFont="1">
      <alignment readingOrder="0" shrinkToFit="0" vertical="center" wrapText="0"/>
    </xf>
    <xf borderId="33" fillId="0" fontId="1" numFmtId="166" xfId="0" applyAlignment="1" applyBorder="1" applyFont="1" applyNumberFormat="1">
      <alignment readingOrder="0" shrinkToFit="0" vertical="center" wrapText="0"/>
    </xf>
    <xf borderId="33" fillId="0" fontId="1" numFmtId="0" xfId="0" applyAlignment="1" applyBorder="1" applyFont="1">
      <alignment readingOrder="0" shrinkToFit="0" vertical="center" wrapText="0"/>
    </xf>
    <xf borderId="33" fillId="0" fontId="10" numFmtId="0" xfId="0" applyAlignment="1" applyBorder="1" applyFont="1">
      <alignment readingOrder="0" shrinkToFit="0" vertical="center" wrapText="0"/>
    </xf>
    <xf borderId="34" fillId="0" fontId="1" numFmtId="0" xfId="0" applyAlignment="1" applyBorder="1" applyFont="1">
      <alignment readingOrder="0" shrinkToFit="0" vertical="center" wrapText="0"/>
    </xf>
    <xf borderId="4" fillId="2" fontId="9" numFmtId="0" xfId="0" applyAlignment="1" applyBorder="1" applyFont="1">
      <alignment vertical="bottom"/>
    </xf>
    <xf borderId="5" fillId="2" fontId="9" numFmtId="0" xfId="0" applyAlignment="1" applyBorder="1" applyFont="1">
      <alignment vertical="bottom"/>
    </xf>
    <xf borderId="6" fillId="2" fontId="9" numFmtId="0" xfId="0" applyAlignment="1" applyBorder="1" applyFont="1">
      <alignment vertical="bottom"/>
    </xf>
    <xf borderId="10" fillId="0" fontId="5" numFmtId="0" xfId="0" applyAlignment="1" applyBorder="1" applyFont="1">
      <alignment horizontal="center" vertical="bottom"/>
    </xf>
    <xf borderId="0" fillId="0" fontId="5" numFmtId="2" xfId="0" applyAlignment="1" applyFont="1" applyNumberFormat="1">
      <alignment horizontal="right" readingOrder="0" vertical="bottom"/>
    </xf>
    <xf borderId="10" fillId="0" fontId="5" numFmtId="167" xfId="0" applyAlignment="1" applyBorder="1" applyFont="1" applyNumberFormat="1">
      <alignment horizontal="right" readingOrder="0" vertical="bottom"/>
    </xf>
    <xf borderId="0" fillId="0" fontId="5" numFmtId="167" xfId="0" applyAlignment="1" applyFont="1" applyNumberFormat="1">
      <alignment horizontal="right" vertical="bottom"/>
    </xf>
    <xf borderId="11" fillId="0" fontId="5" numFmtId="167" xfId="0" applyAlignment="1" applyBorder="1" applyFont="1" applyNumberFormat="1">
      <alignment horizontal="right" vertical="bottom"/>
    </xf>
    <xf borderId="19" fillId="0" fontId="5" numFmtId="0" xfId="0" applyAlignment="1" applyBorder="1" applyFont="1">
      <alignment horizontal="center" vertical="bottom"/>
    </xf>
    <xf borderId="20" fillId="0" fontId="5" numFmtId="2" xfId="0" applyAlignment="1" applyBorder="1" applyFont="1" applyNumberFormat="1">
      <alignment horizontal="right" readingOrder="0" vertical="bottom"/>
    </xf>
    <xf borderId="19" fillId="0" fontId="5" numFmtId="167" xfId="0" applyAlignment="1" applyBorder="1" applyFont="1" applyNumberFormat="1">
      <alignment horizontal="right" readingOrder="0" vertical="bottom"/>
    </xf>
    <xf borderId="20" fillId="0" fontId="5" numFmtId="167" xfId="0" applyAlignment="1" applyBorder="1" applyFont="1" applyNumberFormat="1">
      <alignment horizontal="right" vertical="bottom"/>
    </xf>
    <xf borderId="21" fillId="0" fontId="5" numFmtId="167" xfId="0" applyAlignment="1" applyBorder="1" applyFont="1" applyNumberFormat="1">
      <alignment horizontal="right" vertical="bottom"/>
    </xf>
    <xf borderId="0" fillId="0" fontId="5" numFmtId="0" xfId="0" applyAlignment="1" applyFont="1">
      <alignment vertical="bottom"/>
    </xf>
    <xf borderId="0" fillId="2" fontId="9" numFmtId="0" xfId="0" applyAlignment="1" applyFont="1">
      <alignment vertical="bottom"/>
    </xf>
    <xf borderId="0" fillId="0" fontId="5" numFmtId="168" xfId="0" applyAlignment="1" applyFont="1" applyNumberFormat="1">
      <alignment horizontal="right" vertical="bottom"/>
    </xf>
    <xf borderId="0" fillId="0" fontId="9" numFmtId="169" xfId="0" applyAlignment="1" applyFont="1" applyNumberFormat="1">
      <alignment vertical="bottom"/>
    </xf>
    <xf borderId="0" fillId="0" fontId="5" numFmtId="0" xfId="0" applyAlignment="1" applyFont="1">
      <alignment readingOrder="0" vertical="bottom"/>
    </xf>
    <xf borderId="0" fillId="0" fontId="5" numFmtId="169" xfId="0" applyAlignment="1" applyFont="1" applyNumberFormat="1">
      <alignment vertical="bottom"/>
    </xf>
    <xf borderId="0" fillId="0" fontId="5" numFmtId="3" xfId="0" applyAlignment="1" applyFont="1" applyNumberFormat="1">
      <alignment horizontal="right" vertical="bottom"/>
    </xf>
    <xf borderId="0" fillId="0" fontId="5" numFmtId="170" xfId="0" applyAlignment="1" applyFont="1" applyNumberFormat="1">
      <alignment horizontal="right" vertical="bottom"/>
    </xf>
    <xf borderId="0" fillId="0" fontId="5" numFmtId="10" xfId="0" applyAlignment="1" applyFont="1" applyNumberFormat="1">
      <alignment vertical="bottom"/>
    </xf>
    <xf borderId="0" fillId="0" fontId="5" numFmtId="0" xfId="0" applyAlignment="1" applyFont="1">
      <alignment horizontal="right" vertical="bottom"/>
    </xf>
    <xf borderId="25" fillId="2" fontId="9" numFmtId="0" xfId="0" applyAlignment="1" applyBorder="1" applyFont="1">
      <alignment vertical="bottom"/>
    </xf>
    <xf borderId="24" fillId="2" fontId="5" numFmtId="0" xfId="0" applyAlignment="1" applyBorder="1" applyFont="1">
      <alignment vertical="bottom"/>
    </xf>
    <xf borderId="0" fillId="0" fontId="9" numFmtId="0" xfId="0" applyAlignment="1" applyFont="1">
      <alignment vertical="bottom"/>
    </xf>
    <xf borderId="0" fillId="5" fontId="9" numFmtId="169" xfId="0" applyAlignment="1" applyFill="1" applyFont="1" applyNumberFormat="1">
      <alignment vertical="bottom"/>
    </xf>
    <xf borderId="0" fillId="6" fontId="9" numFmtId="0" xfId="0" applyAlignment="1" applyFill="1" applyFont="1">
      <alignment vertical="bottom"/>
    </xf>
    <xf borderId="0" fillId="7" fontId="9" numFmtId="0" xfId="0" applyAlignment="1" applyFill="1" applyFont="1">
      <alignment vertical="bottom"/>
    </xf>
    <xf borderId="24" fillId="2" fontId="5" numFmtId="165" xfId="0" applyAlignment="1" applyBorder="1" applyFont="1" applyNumberFormat="1">
      <alignment vertical="bottom"/>
    </xf>
    <xf borderId="0" fillId="0" fontId="5" numFmtId="167" xfId="0" applyAlignment="1" applyFont="1" applyNumberFormat="1">
      <alignment vertical="bottom"/>
    </xf>
    <xf borderId="24" fillId="2" fontId="5" numFmtId="167" xfId="0" applyAlignment="1" applyBorder="1" applyFont="1" applyNumberFormat="1">
      <alignment vertical="bottom"/>
    </xf>
    <xf borderId="11" fillId="0" fontId="5" numFmtId="165" xfId="0" applyAlignment="1" applyBorder="1" applyFont="1" applyNumberFormat="1">
      <alignment horizontal="right" vertical="bottom"/>
    </xf>
    <xf borderId="21" fillId="0" fontId="5" numFmtId="165" xfId="0" applyAlignment="1" applyBorder="1" applyFont="1" applyNumberFormat="1">
      <alignment horizontal="right" vertical="bottom"/>
    </xf>
    <xf borderId="0" fillId="2" fontId="9" numFmtId="169" xfId="0" applyAlignment="1" applyFont="1" applyNumberFormat="1">
      <alignment vertical="bottom"/>
    </xf>
    <xf borderId="0" fillId="0" fontId="5" numFmtId="165" xfId="0" applyAlignment="1" applyFont="1" applyNumberFormat="1">
      <alignment horizontal="right" readingOrder="0" vertical="bottom"/>
    </xf>
    <xf borderId="0" fillId="0" fontId="5" numFmtId="166" xfId="0" applyAlignment="1" applyFont="1" applyNumberFormat="1">
      <alignment readingOrder="0" vertical="bottom"/>
    </xf>
    <xf borderId="25" fillId="2" fontId="9" numFmtId="10" xfId="0" applyAlignment="1" applyBorder="1" applyFont="1" applyNumberFormat="1">
      <alignment vertical="bottom"/>
    </xf>
    <xf borderId="23" fillId="2" fontId="5" numFmtId="10" xfId="0" applyAlignment="1" applyBorder="1" applyFont="1" applyNumberFormat="1">
      <alignment vertical="bottom"/>
    </xf>
    <xf borderId="22" fillId="0" fontId="5" numFmtId="0" xfId="0" applyAlignment="1" applyBorder="1" applyFont="1">
      <alignment readingOrder="0" vertical="bottom"/>
    </xf>
    <xf borderId="11" fillId="8" fontId="5" numFmtId="10" xfId="0" applyAlignment="1" applyBorder="1" applyFill="1" applyFont="1" applyNumberFormat="1">
      <alignment horizontal="right" vertical="bottom"/>
    </xf>
    <xf borderId="26" fillId="0" fontId="5" numFmtId="0" xfId="0" applyAlignment="1" applyBorder="1" applyFont="1">
      <alignment readingOrder="0" vertical="bottom"/>
    </xf>
    <xf borderId="21" fillId="6" fontId="5" numFmtId="10" xfId="0" applyAlignment="1" applyBorder="1" applyFont="1" applyNumberFormat="1">
      <alignment horizontal="right" vertical="bottom"/>
    </xf>
    <xf borderId="27" fillId="0" fontId="5" numFmtId="0" xfId="0" applyAlignment="1" applyBorder="1" applyFont="1">
      <alignment readingOrder="0"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Main-style">
      <tableStyleElement dxfId="1" type="headerRow"/>
      <tableStyleElement dxfId="2" type="firstRowStripe"/>
      <tableStyleElement dxfId="3" type="secondRowStripe"/>
    </tableStyle>
    <tableStyle count="3" pivot="0" name="New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515100" cy="40767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20</xdr:row>
      <xdr:rowOff>95250</xdr:rowOff>
    </xdr:from>
    <xdr:ext cx="6515100" cy="43815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762000</xdr:colOff>
      <xdr:row>0</xdr:row>
      <xdr:rowOff>0</xdr:rowOff>
    </xdr:from>
    <xdr:ext cx="6515100" cy="4076700"/>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742950</xdr:colOff>
      <xdr:row>20</xdr:row>
      <xdr:rowOff>95250</xdr:rowOff>
    </xdr:from>
    <xdr:ext cx="6515100" cy="4381500"/>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9525" cy="95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J12" displayName="PLAB_BASICS" name="PLAB_BASICS" id="1">
  <tableColumns count="10">
    <tableColumn name="Variables" id="1"/>
    <tableColumn name="4Q 2023" id="2"/>
    <tableColumn name="1Q 2024" id="3"/>
    <tableColumn name="2Q 2024" id="4"/>
    <tableColumn name="3Q 2024" id="5"/>
    <tableColumn name="4Q 2024" id="6"/>
    <tableColumn name="1Q 2025" id="7"/>
    <tableColumn name="2Q 2025" id="8"/>
    <tableColumn name="3Q 2025" id="9"/>
    <tableColumn name="4Q 2025" id="10"/>
  </tableColumns>
  <tableStyleInfo name="Main-style" showColumnStripes="0" showFirstColumn="1" showLastColumn="1" showRowStripes="1"/>
</table>
</file>

<file path=xl/tables/table2.xml><?xml version="1.0" encoding="utf-8"?>
<table xmlns="http://schemas.openxmlformats.org/spreadsheetml/2006/main" ref="A1:E2" displayName="News" name="News" id="2">
  <tableColumns count="5">
    <tableColumn name="Index" id="1"/>
    <tableColumn name="Date" id="2"/>
    <tableColumn name="Headline" id="3"/>
    <tableColumn name="Link" id="4"/>
    <tableColumn name="Comentary" id="5"/>
  </tableColumns>
  <tableStyleInfo name="New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Cal-Maine"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c.gov/salmonella/outbreaks/eggs-08-25/index.html" TargetMode="External"/><Relationship Id="rId2" Type="http://schemas.openxmlformats.org/officeDocument/2006/relationships/drawing" Target="../drawings/drawing5.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6.25"/>
    <col customWidth="1" min="2" max="7" width="15.13"/>
    <col customWidth="1" min="8" max="8" width="15.0"/>
    <col customWidth="1" min="10" max="10" width="12.88"/>
  </cols>
  <sheetData>
    <row r="1">
      <c r="A1" s="1"/>
      <c r="B1" s="2"/>
      <c r="C1" s="2"/>
      <c r="D1" s="2"/>
      <c r="E1" s="2"/>
      <c r="F1" s="2">
        <v>45444.0</v>
      </c>
      <c r="G1" s="2" t="s">
        <v>0</v>
      </c>
      <c r="H1" s="3" t="s">
        <v>1</v>
      </c>
      <c r="I1" s="3" t="s">
        <v>2</v>
      </c>
      <c r="J1" s="2">
        <v>45808.0</v>
      </c>
    </row>
    <row r="2">
      <c r="A2" s="4" t="s">
        <v>3</v>
      </c>
      <c r="B2" s="5" t="s">
        <v>4</v>
      </c>
      <c r="C2" s="6" t="s">
        <v>5</v>
      </c>
      <c r="D2" s="7" t="s">
        <v>6</v>
      </c>
      <c r="E2" s="6" t="s">
        <v>7</v>
      </c>
      <c r="F2" s="5" t="s">
        <v>8</v>
      </c>
      <c r="G2" s="6" t="s">
        <v>9</v>
      </c>
      <c r="H2" s="7" t="s">
        <v>10</v>
      </c>
      <c r="I2" s="6" t="s">
        <v>11</v>
      </c>
      <c r="J2" s="8" t="s">
        <v>12</v>
      </c>
      <c r="L2" s="9">
        <v>2014.0</v>
      </c>
      <c r="M2" s="10">
        <v>2015.0</v>
      </c>
      <c r="N2" s="10">
        <v>2016.0</v>
      </c>
      <c r="O2" s="10">
        <v>2017.0</v>
      </c>
      <c r="P2" s="10">
        <v>2018.0</v>
      </c>
      <c r="Q2" s="10">
        <v>2019.0</v>
      </c>
      <c r="R2" s="10">
        <v>2020.0</v>
      </c>
      <c r="S2" s="10">
        <v>2021.0</v>
      </c>
      <c r="T2" s="10">
        <v>2022.0</v>
      </c>
      <c r="U2" s="10">
        <v>2023.0</v>
      </c>
      <c r="V2" s="10">
        <v>2024.0</v>
      </c>
      <c r="W2" s="11">
        <v>2025.0</v>
      </c>
    </row>
    <row r="3">
      <c r="A3" s="12" t="s">
        <v>13</v>
      </c>
      <c r="B3" s="13"/>
      <c r="C3" s="13"/>
      <c r="D3" s="14"/>
      <c r="E3" s="14">
        <v>3.2E9</v>
      </c>
      <c r="F3" s="15">
        <v>2.72E9</v>
      </c>
      <c r="G3" s="15">
        <v>3.24E9</v>
      </c>
      <c r="H3" s="15">
        <v>4.45E9</v>
      </c>
      <c r="I3" s="16">
        <v>4.18E9</v>
      </c>
      <c r="J3" s="17">
        <v>4.65E9</v>
      </c>
      <c r="L3" s="18">
        <v>1.88E9</v>
      </c>
      <c r="M3" s="19">
        <v>2.24E9</v>
      </c>
      <c r="N3" s="19">
        <v>2.14E9</v>
      </c>
      <c r="O3" s="19">
        <v>2.15E9</v>
      </c>
      <c r="P3" s="19">
        <v>2.05E9</v>
      </c>
      <c r="Q3" s="19">
        <v>2.08E9</v>
      </c>
      <c r="R3" s="19">
        <v>1.83E9</v>
      </c>
      <c r="S3" s="19">
        <v>1.83E9</v>
      </c>
      <c r="T3" s="19">
        <v>1.8E9</v>
      </c>
      <c r="U3" s="19">
        <v>2.81E9</v>
      </c>
      <c r="V3" s="19">
        <v>2.72E9</v>
      </c>
      <c r="W3" s="20">
        <v>4.65E9</v>
      </c>
    </row>
    <row r="4">
      <c r="A4" s="21" t="s">
        <v>14</v>
      </c>
      <c r="B4" s="22">
        <v>4.9E7</v>
      </c>
      <c r="C4" s="23"/>
      <c r="D4" s="14"/>
      <c r="E4" s="22">
        <v>4.855E7</v>
      </c>
      <c r="F4" s="24">
        <f>44238766+4800000</f>
        <v>49038766</v>
      </c>
      <c r="G4" s="24">
        <f>+44236582+4800000</f>
        <v>49036582</v>
      </c>
      <c r="H4" s="24">
        <f>+44235087+4800000</f>
        <v>49035087</v>
      </c>
      <c r="I4" s="25">
        <f>+44245955+4800000
</f>
        <v>49045955</v>
      </c>
      <c r="J4" s="26">
        <v>4.8497477E7</v>
      </c>
      <c r="L4" s="18">
        <v>4.8E7</v>
      </c>
      <c r="M4" s="19">
        <v>4.84E7</v>
      </c>
      <c r="N4" s="19">
        <v>4.84E7</v>
      </c>
      <c r="O4" s="19">
        <v>4.836E7</v>
      </c>
      <c r="P4" s="19">
        <v>4.847E7</v>
      </c>
      <c r="Q4" s="19">
        <v>4.859E7</v>
      </c>
      <c r="R4" s="19">
        <v>4.85E7</v>
      </c>
      <c r="S4" s="19">
        <v>4.885E7</v>
      </c>
      <c r="T4" s="19">
        <v>4.862E7</v>
      </c>
      <c r="U4" s="19">
        <v>4.869E7</v>
      </c>
      <c r="V4" s="19">
        <v>4.9038766E7</v>
      </c>
      <c r="W4" s="20">
        <v>4.8497477E7</v>
      </c>
    </row>
    <row r="5">
      <c r="A5" s="12" t="s">
        <v>15</v>
      </c>
      <c r="B5" s="13"/>
      <c r="C5" s="13"/>
      <c r="D5" s="14">
        <v>0.0</v>
      </c>
      <c r="E5" s="14">
        <v>0.0</v>
      </c>
      <c r="F5" s="15">
        <v>0.0</v>
      </c>
      <c r="G5" s="15">
        <v>0.0</v>
      </c>
      <c r="H5" s="15">
        <v>0.0</v>
      </c>
      <c r="I5" s="16">
        <v>0.0</v>
      </c>
      <c r="J5" s="17">
        <v>0.0</v>
      </c>
      <c r="L5" s="18"/>
      <c r="M5" s="19"/>
      <c r="N5" s="19"/>
      <c r="O5" s="19"/>
      <c r="P5" s="19"/>
      <c r="Q5" s="19"/>
      <c r="R5" s="19"/>
      <c r="S5" s="19">
        <v>0.0</v>
      </c>
      <c r="T5" s="19">
        <v>0.0</v>
      </c>
      <c r="U5" s="19">
        <v>0.0</v>
      </c>
      <c r="V5" s="19">
        <v>0.0</v>
      </c>
      <c r="W5" s="20">
        <v>0.0</v>
      </c>
    </row>
    <row r="6">
      <c r="A6" s="21" t="s">
        <v>16</v>
      </c>
      <c r="B6" s="23"/>
      <c r="C6" s="23"/>
      <c r="D6" s="14"/>
      <c r="E6" s="23">
        <f t="shared" ref="E6:F6" si="1">+237878000+574499000</f>
        <v>812377000</v>
      </c>
      <c r="F6" s="24">
        <f t="shared" si="1"/>
        <v>812377000</v>
      </c>
      <c r="G6" s="24">
        <f>181667000+571923000</f>
        <v>753590000</v>
      </c>
      <c r="H6" s="24">
        <f>+140296000+656887000</f>
        <v>797183000</v>
      </c>
      <c r="I6" s="25">
        <f>+497239000+743134000</f>
        <v>1240373000</v>
      </c>
      <c r="J6" s="26">
        <f>499392000+892708000</f>
        <v>1392100000</v>
      </c>
      <c r="L6" s="18"/>
      <c r="M6" s="19"/>
      <c r="N6" s="19"/>
      <c r="O6" s="19"/>
      <c r="P6" s="19"/>
      <c r="Q6" s="19"/>
      <c r="R6" s="19"/>
      <c r="S6" s="19">
        <f>57352000+112158000</f>
        <v>169510000</v>
      </c>
      <c r="T6" s="19">
        <f>59084000+115429000</f>
        <v>174513000</v>
      </c>
      <c r="U6" s="19">
        <f>292824000+355090000</f>
        <v>647914000</v>
      </c>
      <c r="V6" s="19">
        <v>8.12377E8</v>
      </c>
      <c r="W6" s="20">
        <v>1.3921E9</v>
      </c>
    </row>
    <row r="7">
      <c r="A7" s="27" t="s">
        <v>17</v>
      </c>
      <c r="B7" s="13"/>
      <c r="C7" s="13"/>
      <c r="D7" s="14"/>
      <c r="E7" s="14"/>
      <c r="F7" s="14">
        <v>1.62422E8</v>
      </c>
      <c r="G7" s="15"/>
      <c r="H7" s="15"/>
      <c r="I7" s="15">
        <f>417939000+10459000</f>
        <v>428398000</v>
      </c>
      <c r="J7" s="28">
        <v>2.72361E8</v>
      </c>
      <c r="L7" s="18"/>
      <c r="M7" s="19"/>
      <c r="N7" s="19"/>
      <c r="O7" s="19"/>
      <c r="P7" s="19"/>
      <c r="Q7" s="19"/>
      <c r="R7" s="19"/>
      <c r="S7" s="19">
        <v>1.26639E8</v>
      </c>
      <c r="T7" s="19">
        <v>2.19404E8</v>
      </c>
      <c r="U7" s="19">
        <v>1.87213E8</v>
      </c>
      <c r="V7" s="19">
        <v>1.62422E8</v>
      </c>
      <c r="W7" s="20">
        <v>2.72361E8</v>
      </c>
    </row>
    <row r="8">
      <c r="A8" s="29" t="s">
        <v>18</v>
      </c>
      <c r="B8" s="30"/>
      <c r="C8" s="13"/>
      <c r="D8" s="14"/>
      <c r="E8" s="14">
        <v>1.241839E9</v>
      </c>
      <c r="F8" s="14">
        <v>1.241839E9</v>
      </c>
      <c r="G8" s="24">
        <v>1.343479E9</v>
      </c>
      <c r="H8" s="24">
        <v>1.424595E9</v>
      </c>
      <c r="I8" s="24">
        <v>1.983282E9</v>
      </c>
      <c r="J8" s="31">
        <f>1968110000</f>
        <v>1968110000</v>
      </c>
      <c r="L8" s="18"/>
      <c r="M8" s="19"/>
      <c r="N8" s="19"/>
      <c r="O8" s="19"/>
      <c r="P8" s="19"/>
      <c r="Q8" s="19"/>
      <c r="R8" s="19"/>
      <c r="S8" s="19">
        <v>5.19931E8</v>
      </c>
      <c r="T8" s="19">
        <v>6.61519E8</v>
      </c>
      <c r="U8" s="19">
        <v>1.124925E9</v>
      </c>
      <c r="V8" s="19">
        <v>1.241839E9</v>
      </c>
      <c r="W8" s="20">
        <v>1.96811E9</v>
      </c>
    </row>
    <row r="9">
      <c r="A9" s="27" t="s">
        <v>19</v>
      </c>
      <c r="B9" s="32"/>
      <c r="C9" s="32"/>
      <c r="D9" s="14"/>
      <c r="E9" s="33">
        <v>2.184761E9</v>
      </c>
      <c r="F9" s="33">
        <v>2.184761E9</v>
      </c>
      <c r="G9" s="15">
        <v>2.390008E9</v>
      </c>
      <c r="H9" s="16">
        <v>2.490099E9</v>
      </c>
      <c r="I9" s="15">
        <v>3.081569E9</v>
      </c>
      <c r="J9" s="28">
        <f>3084619000</f>
        <v>3084619000</v>
      </c>
      <c r="L9" s="18"/>
      <c r="M9" s="19"/>
      <c r="N9" s="19"/>
      <c r="O9" s="19"/>
      <c r="P9" s="19"/>
      <c r="Q9" s="19"/>
      <c r="R9" s="19"/>
      <c r="S9" s="19">
        <v>1.229174E9</v>
      </c>
      <c r="T9" s="19">
        <v>1.427489E9</v>
      </c>
      <c r="U9" s="19">
        <v>1.954525E9</v>
      </c>
      <c r="V9" s="19">
        <v>2.184761E9</v>
      </c>
      <c r="W9" s="20">
        <v>3.084619E9</v>
      </c>
    </row>
    <row r="10">
      <c r="A10" s="29" t="s">
        <v>20</v>
      </c>
      <c r="B10" s="23"/>
      <c r="C10" s="23"/>
      <c r="D10" s="34"/>
      <c r="E10" s="22">
        <v>2.27743E8</v>
      </c>
      <c r="F10" s="22">
        <v>2.27743E8</v>
      </c>
      <c r="G10" s="24">
        <v>3.25415E8</v>
      </c>
      <c r="H10" s="25">
        <v>2.60751E8</v>
      </c>
      <c r="I10" s="24">
        <v>5.13658E8</v>
      </c>
      <c r="J10" s="31">
        <f>308371000</f>
        <v>308371000</v>
      </c>
      <c r="L10" s="18"/>
      <c r="M10" s="19"/>
      <c r="N10" s="19"/>
      <c r="O10" s="19"/>
      <c r="P10" s="19"/>
      <c r="Q10" s="19"/>
      <c r="R10" s="19"/>
      <c r="S10" s="19">
        <v>9.0097E7</v>
      </c>
      <c r="T10" s="19">
        <v>1.84674E8</v>
      </c>
      <c r="U10" s="19">
        <v>1.82731E8</v>
      </c>
      <c r="V10" s="19">
        <v>2.27743E8</v>
      </c>
      <c r="W10" s="20">
        <v>3.08371E8</v>
      </c>
    </row>
    <row r="11">
      <c r="A11" s="27" t="s">
        <v>21</v>
      </c>
      <c r="B11" s="32"/>
      <c r="C11" s="32"/>
      <c r="D11" s="14"/>
      <c r="E11" s="33">
        <v>3.87718E8</v>
      </c>
      <c r="F11" s="33">
        <v>3.87718E8</v>
      </c>
      <c r="G11" s="15">
        <v>4.90945E8</v>
      </c>
      <c r="H11" s="16">
        <v>4.28616E8</v>
      </c>
      <c r="I11" s="15">
        <v>6.94061E8</v>
      </c>
      <c r="J11" s="28">
        <f>518604000</f>
        <v>518604000</v>
      </c>
      <c r="L11" s="18"/>
      <c r="M11" s="19"/>
      <c r="N11" s="19"/>
      <c r="O11" s="19"/>
      <c r="P11" s="19"/>
      <c r="Q11" s="19"/>
      <c r="R11" s="19"/>
      <c r="S11" s="19">
        <v>2.19393E8</v>
      </c>
      <c r="T11" s="19">
        <v>3.231444E8</v>
      </c>
      <c r="U11" s="19">
        <v>3.44942E8</v>
      </c>
      <c r="V11" s="19">
        <v>3.87718E8</v>
      </c>
      <c r="W11" s="20">
        <v>5.18604E8</v>
      </c>
    </row>
    <row r="12">
      <c r="A12" s="35" t="s">
        <v>22</v>
      </c>
      <c r="B12" s="36"/>
      <c r="C12" s="36"/>
      <c r="D12" s="37"/>
      <c r="E12" s="38"/>
      <c r="F12" s="38">
        <v>1.797043E9</v>
      </c>
      <c r="G12" s="39"/>
      <c r="H12" s="40"/>
      <c r="I12" s="39">
        <v>2.387508E9</v>
      </c>
      <c r="J12" s="41">
        <v>2.566015E9</v>
      </c>
      <c r="L12" s="42"/>
      <c r="M12" s="43"/>
      <c r="N12" s="43"/>
      <c r="O12" s="43"/>
      <c r="P12" s="43"/>
      <c r="Q12" s="43"/>
      <c r="R12" s="43"/>
      <c r="S12" s="43">
        <v>1.012781E9</v>
      </c>
      <c r="T12" s="43">
        <v>1.104551E9</v>
      </c>
      <c r="U12" s="43">
        <v>1.69583E9</v>
      </c>
      <c r="V12" s="43">
        <v>1.797043E9</v>
      </c>
      <c r="W12" s="44">
        <v>2.566015E9</v>
      </c>
    </row>
    <row r="13">
      <c r="H13" s="19"/>
    </row>
    <row r="14">
      <c r="A14" s="45" t="s">
        <v>23</v>
      </c>
      <c r="B14" s="46">
        <f t="shared" ref="B14:J14" si="2">B3+B5-B6</f>
        <v>0</v>
      </c>
      <c r="C14" s="46">
        <f t="shared" si="2"/>
        <v>0</v>
      </c>
      <c r="D14" s="46">
        <f t="shared" si="2"/>
        <v>0</v>
      </c>
      <c r="E14" s="46">
        <f t="shared" si="2"/>
        <v>2387623000</v>
      </c>
      <c r="F14" s="46">
        <f t="shared" si="2"/>
        <v>1907623000</v>
      </c>
      <c r="G14" s="46">
        <f t="shared" si="2"/>
        <v>2486410000</v>
      </c>
      <c r="H14" s="46">
        <f t="shared" si="2"/>
        <v>3652817000</v>
      </c>
      <c r="I14" s="47">
        <f t="shared" si="2"/>
        <v>2939627000</v>
      </c>
      <c r="J14" s="48">
        <f t="shared" si="2"/>
        <v>3257900000</v>
      </c>
      <c r="L14" s="49">
        <f t="shared" ref="L14:W14" si="3">L3+L5-L6</f>
        <v>1880000000</v>
      </c>
      <c r="M14" s="47">
        <f t="shared" si="3"/>
        <v>2240000000</v>
      </c>
      <c r="N14" s="47">
        <f t="shared" si="3"/>
        <v>2140000000</v>
      </c>
      <c r="O14" s="47">
        <f t="shared" si="3"/>
        <v>2150000000</v>
      </c>
      <c r="P14" s="47">
        <f t="shared" si="3"/>
        <v>2050000000</v>
      </c>
      <c r="Q14" s="47">
        <f t="shared" si="3"/>
        <v>2080000000</v>
      </c>
      <c r="R14" s="47">
        <f t="shared" si="3"/>
        <v>1830000000</v>
      </c>
      <c r="S14" s="47">
        <f t="shared" si="3"/>
        <v>1660490000</v>
      </c>
      <c r="T14" s="47">
        <f t="shared" si="3"/>
        <v>1625487000</v>
      </c>
      <c r="U14" s="47">
        <f t="shared" si="3"/>
        <v>2162086000</v>
      </c>
      <c r="V14" s="47">
        <f t="shared" si="3"/>
        <v>1907623000</v>
      </c>
      <c r="W14" s="48">
        <f t="shared" si="3"/>
        <v>3257900000</v>
      </c>
    </row>
    <row r="15">
      <c r="A15" s="50" t="s">
        <v>24</v>
      </c>
      <c r="B15" s="51">
        <f t="shared" ref="B15:J15" si="4">B8-B11</f>
        <v>0</v>
      </c>
      <c r="C15" s="51">
        <f t="shared" si="4"/>
        <v>0</v>
      </c>
      <c r="D15" s="51">
        <f t="shared" si="4"/>
        <v>0</v>
      </c>
      <c r="E15" s="51">
        <f t="shared" si="4"/>
        <v>854121000</v>
      </c>
      <c r="F15" s="51">
        <f t="shared" si="4"/>
        <v>854121000</v>
      </c>
      <c r="G15" s="51">
        <f t="shared" si="4"/>
        <v>852534000</v>
      </c>
      <c r="H15" s="51">
        <f t="shared" si="4"/>
        <v>995979000</v>
      </c>
      <c r="I15" s="51">
        <f t="shared" si="4"/>
        <v>1289221000</v>
      </c>
      <c r="J15" s="52">
        <f t="shared" si="4"/>
        <v>1449506000</v>
      </c>
      <c r="L15" s="53">
        <f t="shared" ref="L15:W15" si="5">L8-L11</f>
        <v>0</v>
      </c>
      <c r="M15" s="54">
        <f t="shared" si="5"/>
        <v>0</v>
      </c>
      <c r="N15" s="54">
        <f t="shared" si="5"/>
        <v>0</v>
      </c>
      <c r="O15" s="54">
        <f t="shared" si="5"/>
        <v>0</v>
      </c>
      <c r="P15" s="54">
        <f t="shared" si="5"/>
        <v>0</v>
      </c>
      <c r="Q15" s="54">
        <f t="shared" si="5"/>
        <v>0</v>
      </c>
      <c r="R15" s="54">
        <f t="shared" si="5"/>
        <v>0</v>
      </c>
      <c r="S15" s="54">
        <f t="shared" si="5"/>
        <v>300538000</v>
      </c>
      <c r="T15" s="54">
        <f t="shared" si="5"/>
        <v>338374600</v>
      </c>
      <c r="U15" s="54">
        <f t="shared" si="5"/>
        <v>779983000</v>
      </c>
      <c r="V15" s="54">
        <f t="shared" si="5"/>
        <v>854121000</v>
      </c>
      <c r="W15" s="55">
        <f t="shared" si="5"/>
        <v>1449506000</v>
      </c>
    </row>
    <row r="16">
      <c r="A16" s="56" t="s">
        <v>25</v>
      </c>
      <c r="B16" s="57">
        <f t="shared" ref="B16:J16" si="6">B3/B4</f>
        <v>0</v>
      </c>
      <c r="C16" s="57" t="str">
        <f t="shared" si="6"/>
        <v>#DIV/0!</v>
      </c>
      <c r="D16" s="57" t="str">
        <f t="shared" si="6"/>
        <v>#DIV/0!</v>
      </c>
      <c r="E16" s="57">
        <f t="shared" si="6"/>
        <v>65.91143151</v>
      </c>
      <c r="F16" s="57">
        <f t="shared" si="6"/>
        <v>55.4663223</v>
      </c>
      <c r="G16" s="57">
        <f t="shared" si="6"/>
        <v>66.07312068</v>
      </c>
      <c r="H16" s="57">
        <f t="shared" si="6"/>
        <v>90.75134301</v>
      </c>
      <c r="I16" s="57">
        <f t="shared" si="6"/>
        <v>85.22619246</v>
      </c>
      <c r="J16" s="58">
        <f t="shared" si="6"/>
        <v>95.88127646</v>
      </c>
      <c r="L16" s="59">
        <f t="shared" ref="L16:W16" si="7">L3/L4</f>
        <v>39.16666667</v>
      </c>
      <c r="M16" s="60">
        <f t="shared" si="7"/>
        <v>46.28099174</v>
      </c>
      <c r="N16" s="60">
        <f t="shared" si="7"/>
        <v>44.21487603</v>
      </c>
      <c r="O16" s="60">
        <f t="shared" si="7"/>
        <v>44.45822994</v>
      </c>
      <c r="P16" s="60">
        <f t="shared" si="7"/>
        <v>42.2942026</v>
      </c>
      <c r="Q16" s="60">
        <f t="shared" si="7"/>
        <v>42.80716197</v>
      </c>
      <c r="R16" s="60">
        <f t="shared" si="7"/>
        <v>37.73195876</v>
      </c>
      <c r="S16" s="60">
        <f t="shared" si="7"/>
        <v>37.4616172</v>
      </c>
      <c r="T16" s="60">
        <f t="shared" si="7"/>
        <v>37.02180173</v>
      </c>
      <c r="U16" s="60">
        <f t="shared" si="7"/>
        <v>57.71205586</v>
      </c>
      <c r="V16" s="60">
        <f t="shared" si="7"/>
        <v>55.4663223</v>
      </c>
      <c r="W16" s="61">
        <f t="shared" si="7"/>
        <v>95.88127646</v>
      </c>
    </row>
    <row r="17">
      <c r="A17" s="56" t="s">
        <v>26</v>
      </c>
      <c r="B17" s="57">
        <f t="shared" ref="B17:J17" si="8">B15/B4</f>
        <v>0</v>
      </c>
      <c r="C17" s="57" t="str">
        <f t="shared" si="8"/>
        <v>#DIV/0!</v>
      </c>
      <c r="D17" s="57" t="str">
        <f t="shared" si="8"/>
        <v>#DIV/0!</v>
      </c>
      <c r="E17" s="57">
        <f t="shared" si="8"/>
        <v>17.59260556</v>
      </c>
      <c r="F17" s="57">
        <f t="shared" si="8"/>
        <v>17.41726127</v>
      </c>
      <c r="G17" s="57">
        <f t="shared" si="8"/>
        <v>17.38567341</v>
      </c>
      <c r="H17" s="57">
        <f t="shared" si="8"/>
        <v>20.31155772</v>
      </c>
      <c r="I17" s="57">
        <f t="shared" si="8"/>
        <v>26.28598016</v>
      </c>
      <c r="J17" s="58">
        <f t="shared" si="8"/>
        <v>29.88827646</v>
      </c>
      <c r="L17" s="59">
        <f t="shared" ref="L17:W17" si="9">L15/L4</f>
        <v>0</v>
      </c>
      <c r="M17" s="60">
        <f t="shared" si="9"/>
        <v>0</v>
      </c>
      <c r="N17" s="60">
        <f t="shared" si="9"/>
        <v>0</v>
      </c>
      <c r="O17" s="60">
        <f t="shared" si="9"/>
        <v>0</v>
      </c>
      <c r="P17" s="60">
        <f t="shared" si="9"/>
        <v>0</v>
      </c>
      <c r="Q17" s="60">
        <f t="shared" si="9"/>
        <v>0</v>
      </c>
      <c r="R17" s="60">
        <f t="shared" si="9"/>
        <v>0</v>
      </c>
      <c r="S17" s="60">
        <f t="shared" si="9"/>
        <v>6.152262027</v>
      </c>
      <c r="T17" s="60">
        <f t="shared" si="9"/>
        <v>6.959576306</v>
      </c>
      <c r="U17" s="60">
        <f t="shared" si="9"/>
        <v>16.01936743</v>
      </c>
      <c r="V17" s="60">
        <f t="shared" si="9"/>
        <v>17.41726127</v>
      </c>
      <c r="W17" s="61">
        <f t="shared" si="9"/>
        <v>29.88827646</v>
      </c>
    </row>
    <row r="18">
      <c r="A18" s="56" t="s">
        <v>27</v>
      </c>
      <c r="B18" s="62" t="str">
        <f t="shared" ref="B18:J18" si="10">B17/B16</f>
        <v>#DIV/0!</v>
      </c>
      <c r="C18" s="62" t="str">
        <f t="shared" si="10"/>
        <v>#DIV/0!</v>
      </c>
      <c r="D18" s="62" t="str">
        <f t="shared" si="10"/>
        <v>#DIV/0!</v>
      </c>
      <c r="E18" s="62">
        <f t="shared" si="10"/>
        <v>0.2669128125</v>
      </c>
      <c r="F18" s="62">
        <f t="shared" si="10"/>
        <v>0.3140150735</v>
      </c>
      <c r="G18" s="62">
        <f t="shared" si="10"/>
        <v>0.2631277778</v>
      </c>
      <c r="H18" s="62">
        <f t="shared" si="10"/>
        <v>0.2238155056</v>
      </c>
      <c r="I18" s="62">
        <f t="shared" si="10"/>
        <v>0.3084260766</v>
      </c>
      <c r="J18" s="63">
        <f t="shared" si="10"/>
        <v>0.3117217204</v>
      </c>
      <c r="L18" s="64">
        <f t="shared" ref="L18:W18" si="11">L17/L16</f>
        <v>0</v>
      </c>
      <c r="M18" s="62">
        <f t="shared" si="11"/>
        <v>0</v>
      </c>
      <c r="N18" s="62">
        <f t="shared" si="11"/>
        <v>0</v>
      </c>
      <c r="O18" s="62">
        <f t="shared" si="11"/>
        <v>0</v>
      </c>
      <c r="P18" s="62">
        <f t="shared" si="11"/>
        <v>0</v>
      </c>
      <c r="Q18" s="62">
        <f t="shared" si="11"/>
        <v>0</v>
      </c>
      <c r="R18" s="62">
        <f t="shared" si="11"/>
        <v>0</v>
      </c>
      <c r="S18" s="62">
        <f t="shared" si="11"/>
        <v>0.1642284153</v>
      </c>
      <c r="T18" s="62">
        <f t="shared" si="11"/>
        <v>0.1879858889</v>
      </c>
      <c r="U18" s="62">
        <f t="shared" si="11"/>
        <v>0.2775740214</v>
      </c>
      <c r="V18" s="62">
        <f t="shared" si="11"/>
        <v>0.3140150735</v>
      </c>
      <c r="W18" s="63">
        <f t="shared" si="11"/>
        <v>0.3117217204</v>
      </c>
    </row>
    <row r="19">
      <c r="A19" s="65" t="s">
        <v>28</v>
      </c>
      <c r="B19" s="66" t="str">
        <f>(B6-#REF!)/#REF!</f>
        <v>#REF!</v>
      </c>
      <c r="C19" s="66" t="str">
        <f>(C6-A6)/A6</f>
        <v>#VALUE!</v>
      </c>
      <c r="D19" s="66" t="str">
        <f t="shared" ref="D19:J19" si="12">(D6-C6)/C6</f>
        <v>#DIV/0!</v>
      </c>
      <c r="E19" s="66" t="str">
        <f t="shared" si="12"/>
        <v>#DIV/0!</v>
      </c>
      <c r="F19" s="66">
        <f t="shared" si="12"/>
        <v>0</v>
      </c>
      <c r="G19" s="66">
        <f t="shared" si="12"/>
        <v>-0.07236418559</v>
      </c>
      <c r="H19" s="66">
        <f t="shared" si="12"/>
        <v>0.05784710519</v>
      </c>
      <c r="I19" s="66">
        <f t="shared" si="12"/>
        <v>0.5559451218</v>
      </c>
      <c r="J19" s="67">
        <f t="shared" si="12"/>
        <v>0.1223236881</v>
      </c>
      <c r="L19" s="68" t="str">
        <f t="shared" ref="L19:W19" si="13">(L6-K6)/K6</f>
        <v>#DIV/0!</v>
      </c>
      <c r="M19" s="66" t="str">
        <f t="shared" si="13"/>
        <v>#DIV/0!</v>
      </c>
      <c r="N19" s="66" t="str">
        <f t="shared" si="13"/>
        <v>#DIV/0!</v>
      </c>
      <c r="O19" s="66" t="str">
        <f t="shared" si="13"/>
        <v>#DIV/0!</v>
      </c>
      <c r="P19" s="66" t="str">
        <f t="shared" si="13"/>
        <v>#DIV/0!</v>
      </c>
      <c r="Q19" s="66" t="str">
        <f t="shared" si="13"/>
        <v>#DIV/0!</v>
      </c>
      <c r="R19" s="66" t="str">
        <f t="shared" si="13"/>
        <v>#DIV/0!</v>
      </c>
      <c r="S19" s="66" t="str">
        <f t="shared" si="13"/>
        <v>#DIV/0!</v>
      </c>
      <c r="T19" s="66">
        <f t="shared" si="13"/>
        <v>0.02951448292</v>
      </c>
      <c r="U19" s="66">
        <f t="shared" si="13"/>
        <v>2.712697621</v>
      </c>
      <c r="V19" s="66">
        <f t="shared" si="13"/>
        <v>0.2538346139</v>
      </c>
      <c r="W19" s="67">
        <f t="shared" si="13"/>
        <v>0.7136132608</v>
      </c>
    </row>
    <row r="21">
      <c r="A21" s="69" t="s">
        <v>29</v>
      </c>
      <c r="B21" s="70"/>
      <c r="C21" s="70"/>
      <c r="D21" s="70"/>
      <c r="E21" s="70"/>
      <c r="F21" s="70"/>
      <c r="G21" s="70"/>
      <c r="H21" s="70"/>
      <c r="I21" s="70"/>
      <c r="J21" s="70"/>
    </row>
    <row r="22">
      <c r="A22" s="71" t="s">
        <v>30</v>
      </c>
      <c r="B22" s="72" t="str">
        <f>(4*Model!B25)/B9</f>
        <v>#DIV/0!</v>
      </c>
      <c r="C22" s="72" t="str">
        <f>(4*Model!C25)/C9</f>
        <v>#DIV/0!</v>
      </c>
      <c r="D22" s="72" t="str">
        <f>(4*Model!D25)/D9</f>
        <v>#DIV/0!</v>
      </c>
      <c r="E22" s="72">
        <f>(4*Model!E25)/E9</f>
        <v>0.26797073</v>
      </c>
      <c r="F22" s="72">
        <f>(4*Model!F25)/F9</f>
        <v>0.2042145571</v>
      </c>
      <c r="G22" s="72">
        <f>(4*Model!G25)/G9</f>
        <v>0.2503589946</v>
      </c>
      <c r="H22" s="72">
        <f>(4*Model!H25)/H9</f>
        <v>0.350763564</v>
      </c>
      <c r="I22" s="72">
        <f>(4*Model!I25)/I9</f>
        <v>0.6608438753</v>
      </c>
      <c r="J22" s="73">
        <f>(4*Model!J25)/J9</f>
        <v>0.4424196311</v>
      </c>
      <c r="L22" s="74" t="str">
        <f>Model!L25/L9</f>
        <v>#DIV/0!</v>
      </c>
      <c r="M22" s="75" t="str">
        <f>Model!M25/M9</f>
        <v>#DIV/0!</v>
      </c>
      <c r="N22" s="75" t="str">
        <f>Model!N25/N9</f>
        <v>#DIV/0!</v>
      </c>
      <c r="O22" s="75" t="str">
        <f>Model!O25/O9</f>
        <v>#DIV/0!</v>
      </c>
      <c r="P22" s="75" t="str">
        <f>Model!P25/P9</f>
        <v>#DIV/0!</v>
      </c>
      <c r="Q22" s="75" t="str">
        <f>Model!Q25/Q9</f>
        <v>#DIV/0!</v>
      </c>
      <c r="R22" s="75" t="str">
        <f>Model!R25/R9</f>
        <v>#DIV/0!</v>
      </c>
      <c r="S22" s="75">
        <f>Model!S25/S9</f>
        <v>0.001757277651</v>
      </c>
      <c r="T22" s="75">
        <f>Model!T25/T9</f>
        <v>0.09277899865</v>
      </c>
      <c r="U22" s="75">
        <f>Model!U25/U9</f>
        <v>0.387170796</v>
      </c>
      <c r="V22" s="75">
        <f>Model!V25/V9</f>
        <v>0.1218815239</v>
      </c>
      <c r="W22" s="76">
        <f>Model!W25/W9</f>
        <v>0.394937592</v>
      </c>
    </row>
    <row r="23">
      <c r="A23" s="77" t="s">
        <v>31</v>
      </c>
      <c r="B23" s="78" t="str">
        <f>(4*Model!B25)/B12</f>
        <v>#DIV/0!</v>
      </c>
      <c r="C23" s="78" t="str">
        <f>(4*Model!C25)/C12</f>
        <v>#DIV/0!</v>
      </c>
      <c r="D23" s="78" t="str">
        <f>(4*Model!D25)/D12</f>
        <v>#DIV/0!</v>
      </c>
      <c r="E23" s="78" t="str">
        <f>(4*Model!E25)/E12</f>
        <v>#DIV/0!</v>
      </c>
      <c r="F23" s="78">
        <f>(4*Model!F25)/F12</f>
        <v>0.2482745265</v>
      </c>
      <c r="G23" s="78" t="str">
        <f>(4*Model!G25)/G12</f>
        <v>#DIV/0!</v>
      </c>
      <c r="H23" s="78" t="str">
        <f>(4*Model!H25)/H12</f>
        <v>#DIV/0!</v>
      </c>
      <c r="I23" s="78">
        <f>(4*Model!I25)/I12</f>
        <v>0.8529546288</v>
      </c>
      <c r="J23" s="79">
        <f>(4*Model!J25)/J12</f>
        <v>0.531834771</v>
      </c>
      <c r="L23" s="64" t="str">
        <f>Model!L25/L12</f>
        <v>#DIV/0!</v>
      </c>
      <c r="M23" s="62" t="str">
        <f>Model!M25/M12</f>
        <v>#DIV/0!</v>
      </c>
      <c r="N23" s="62" t="str">
        <f>Model!N25/N12</f>
        <v>#DIV/0!</v>
      </c>
      <c r="O23" s="62" t="str">
        <f>Model!O25/O12</f>
        <v>#DIV/0!</v>
      </c>
      <c r="P23" s="62" t="str">
        <f>Model!P25/P12</f>
        <v>#DIV/0!</v>
      </c>
      <c r="Q23" s="62" t="str">
        <f>Model!Q25/Q12</f>
        <v>#DIV/0!</v>
      </c>
      <c r="R23" s="62" t="str">
        <f>Model!R25/R12</f>
        <v>#DIV/0!</v>
      </c>
      <c r="S23" s="62">
        <f>Model!S25/S12</f>
        <v>0.002132741432</v>
      </c>
      <c r="T23" s="62">
        <f>Model!T25/T12</f>
        <v>0.1199048301</v>
      </c>
      <c r="U23" s="62">
        <f>Model!U25/U12</f>
        <v>0.4462328181</v>
      </c>
      <c r="V23" s="62">
        <f>Model!V25/V12</f>
        <v>0.1481778678</v>
      </c>
      <c r="W23" s="63">
        <f>Model!W25/W12</f>
        <v>0.474756383</v>
      </c>
    </row>
    <row r="24">
      <c r="A24" s="80" t="s">
        <v>32</v>
      </c>
      <c r="B24" s="81" t="str">
        <f>(4*(Model!B17-Model!B24))/(B5+B12)</f>
        <v>#DIV/0!</v>
      </c>
      <c r="C24" s="81" t="str">
        <f>(4*(Model!C17-Model!C24))/(C5+C12)</f>
        <v>#DIV/0!</v>
      </c>
      <c r="D24" s="81" t="str">
        <f>(4*(Model!D17-Model!D24))/(D5+D12)</f>
        <v>#DIV/0!</v>
      </c>
      <c r="E24" s="81" t="str">
        <f>(4*(Model!E17-Model!E24))/(E5+E12)</f>
        <v>#DIV/0!</v>
      </c>
      <c r="F24" s="81">
        <f>(4*(Model!F17-Model!F24))/(F5+F12)</f>
        <v>0.2296149842</v>
      </c>
      <c r="G24" s="81" t="str">
        <f>(4*(Model!G17-Model!G24))/(G5+G12)</f>
        <v>#DIV/0!</v>
      </c>
      <c r="H24" s="81" t="str">
        <f>(4*(Model!H17-Model!H24))/(H5+H12)</f>
        <v>#DIV/0!</v>
      </c>
      <c r="I24" s="81">
        <f>(4*(Model!I17-Model!I24))/(I5+I12)</f>
        <v>0.8071177144</v>
      </c>
      <c r="J24" s="82">
        <f>(4*(Model!J17-Model!J24))/(J5+J12)</f>
        <v>0.5047920608</v>
      </c>
      <c r="L24" s="68" t="str">
        <f>(Model!L17-Model!L24)/(L5+L12)</f>
        <v>#DIV/0!</v>
      </c>
      <c r="M24" s="66" t="str">
        <f>(Model!M17-Model!M24)/(M5+M12)</f>
        <v>#DIV/0!</v>
      </c>
      <c r="N24" s="66" t="str">
        <f>(Model!N17-Model!N24)/(N5+N12)</f>
        <v>#DIV/0!</v>
      </c>
      <c r="O24" s="66" t="str">
        <f>(Model!O17-Model!O24)/(O5+O12)</f>
        <v>#DIV/0!</v>
      </c>
      <c r="P24" s="66" t="str">
        <f>(Model!P17-Model!P24)/(P5+P12)</f>
        <v>#DIV/0!</v>
      </c>
      <c r="Q24" s="66" t="str">
        <f>(Model!Q17-Model!Q24)/(Q5+Q12)</f>
        <v>#DIV/0!</v>
      </c>
      <c r="R24" s="66" t="str">
        <f>(Model!R17-Model!R24)/(R5+R12)</f>
        <v>#DIV/0!</v>
      </c>
      <c r="S24" s="66">
        <f>(Model!S17-Model!S24)/(S5+S12)</f>
        <v>-0.01407510607</v>
      </c>
      <c r="T24" s="66">
        <f>(Model!T17-Model!T24)/(T5+T12)</f>
        <v>0.0995544796</v>
      </c>
      <c r="U24" s="66">
        <f>(Model!U17-Model!U24)/(U5+U12)</f>
        <v>0.4280546989</v>
      </c>
      <c r="V24" s="66">
        <f>(Model!V17-Model!V24)/(V5+V12)</f>
        <v>0.1217349835</v>
      </c>
      <c r="W24" s="67">
        <f>(Model!W17-Model!W24)/(W5+W12)</f>
        <v>0.4488005721</v>
      </c>
    </row>
    <row r="25">
      <c r="A25" s="3"/>
      <c r="B25" s="83"/>
      <c r="C25" s="83"/>
      <c r="D25" s="83"/>
      <c r="E25" s="83"/>
      <c r="F25" s="83"/>
      <c r="G25" s="83"/>
      <c r="H25" s="83"/>
      <c r="I25" s="83"/>
      <c r="J25" s="83"/>
    </row>
    <row r="26">
      <c r="A26" s="84" t="s">
        <v>33</v>
      </c>
      <c r="B26" s="85" t="str">
        <f t="shared" ref="B26:F26" si="14">B8/B10</f>
        <v>#DIV/0!</v>
      </c>
      <c r="C26" s="86" t="str">
        <f t="shared" si="14"/>
        <v>#DIV/0!</v>
      </c>
      <c r="D26" s="86" t="str">
        <f t="shared" si="14"/>
        <v>#DIV/0!</v>
      </c>
      <c r="E26" s="86">
        <f t="shared" si="14"/>
        <v>5.452808648</v>
      </c>
      <c r="F26" s="86">
        <f t="shared" si="14"/>
        <v>5.452808648</v>
      </c>
      <c r="G26" s="86">
        <f>G8/G11</f>
        <v>2.73651631</v>
      </c>
      <c r="H26" s="86">
        <f t="shared" ref="H26:J26" si="15">H8/H10</f>
        <v>5.463430629</v>
      </c>
      <c r="I26" s="86">
        <f t="shared" si="15"/>
        <v>3.861094347</v>
      </c>
      <c r="J26" s="87">
        <f t="shared" si="15"/>
        <v>6.382279786</v>
      </c>
      <c r="K26" s="83"/>
      <c r="L26" s="85" t="str">
        <f t="shared" ref="L26:W26" si="16">L8/L10</f>
        <v>#DIV/0!</v>
      </c>
      <c r="M26" s="86" t="str">
        <f t="shared" si="16"/>
        <v>#DIV/0!</v>
      </c>
      <c r="N26" s="86" t="str">
        <f t="shared" si="16"/>
        <v>#DIV/0!</v>
      </c>
      <c r="O26" s="86" t="str">
        <f t="shared" si="16"/>
        <v>#DIV/0!</v>
      </c>
      <c r="P26" s="86" t="str">
        <f t="shared" si="16"/>
        <v>#DIV/0!</v>
      </c>
      <c r="Q26" s="86" t="str">
        <f t="shared" si="16"/>
        <v>#DIV/0!</v>
      </c>
      <c r="R26" s="86" t="str">
        <f t="shared" si="16"/>
        <v>#DIV/0!</v>
      </c>
      <c r="S26" s="86">
        <f t="shared" si="16"/>
        <v>5.77079148</v>
      </c>
      <c r="T26" s="86">
        <f t="shared" si="16"/>
        <v>3.582090603</v>
      </c>
      <c r="U26" s="86">
        <f t="shared" si="16"/>
        <v>6.156180396</v>
      </c>
      <c r="V26" s="86">
        <f t="shared" si="16"/>
        <v>5.452808648</v>
      </c>
      <c r="W26" s="87">
        <f t="shared" si="16"/>
        <v>6.382279786</v>
      </c>
    </row>
    <row r="27">
      <c r="A27" s="88" t="s">
        <v>34</v>
      </c>
      <c r="B27" s="89" t="str">
        <f t="shared" ref="B27:J27" si="17">(B6+B7)/B10</f>
        <v>#DIV/0!</v>
      </c>
      <c r="C27" s="83" t="str">
        <f t="shared" si="17"/>
        <v>#DIV/0!</v>
      </c>
      <c r="D27" s="83" t="str">
        <f t="shared" si="17"/>
        <v>#DIV/0!</v>
      </c>
      <c r="E27" s="83">
        <f t="shared" si="17"/>
        <v>3.567077803</v>
      </c>
      <c r="F27" s="83">
        <f t="shared" si="17"/>
        <v>4.280258888</v>
      </c>
      <c r="G27" s="83">
        <f t="shared" si="17"/>
        <v>2.315781387</v>
      </c>
      <c r="H27" s="83">
        <f t="shared" si="17"/>
        <v>3.05725769</v>
      </c>
      <c r="I27" s="83">
        <f t="shared" si="17"/>
        <v>3.248797838</v>
      </c>
      <c r="J27" s="90">
        <f t="shared" si="17"/>
        <v>5.39759251</v>
      </c>
      <c r="K27" s="83"/>
      <c r="L27" s="89" t="str">
        <f t="shared" ref="L27:W27" si="18">(L6+L7)/L10</f>
        <v>#DIV/0!</v>
      </c>
      <c r="M27" s="83" t="str">
        <f t="shared" si="18"/>
        <v>#DIV/0!</v>
      </c>
      <c r="N27" s="83" t="str">
        <f t="shared" si="18"/>
        <v>#DIV/0!</v>
      </c>
      <c r="O27" s="83" t="str">
        <f t="shared" si="18"/>
        <v>#DIV/0!</v>
      </c>
      <c r="P27" s="83" t="str">
        <f t="shared" si="18"/>
        <v>#DIV/0!</v>
      </c>
      <c r="Q27" s="83" t="str">
        <f t="shared" si="18"/>
        <v>#DIV/0!</v>
      </c>
      <c r="R27" s="83" t="str">
        <f t="shared" si="18"/>
        <v>#DIV/0!</v>
      </c>
      <c r="S27" s="83">
        <f t="shared" si="18"/>
        <v>3.287001787</v>
      </c>
      <c r="T27" s="83">
        <f t="shared" si="18"/>
        <v>2.133039843</v>
      </c>
      <c r="U27" s="83">
        <f t="shared" si="18"/>
        <v>4.570253542</v>
      </c>
      <c r="V27" s="83">
        <f t="shared" si="18"/>
        <v>4.280258888</v>
      </c>
      <c r="W27" s="90">
        <f t="shared" si="18"/>
        <v>5.39759251</v>
      </c>
    </row>
    <row r="28">
      <c r="A28" s="91" t="s">
        <v>35</v>
      </c>
      <c r="B28" s="92" t="str">
        <f t="shared" ref="B28:J28" si="19">B5/B12</f>
        <v>#DIV/0!</v>
      </c>
      <c r="C28" s="93" t="str">
        <f t="shared" si="19"/>
        <v>#DIV/0!</v>
      </c>
      <c r="D28" s="93" t="str">
        <f t="shared" si="19"/>
        <v>#DIV/0!</v>
      </c>
      <c r="E28" s="93" t="str">
        <f t="shared" si="19"/>
        <v>#DIV/0!</v>
      </c>
      <c r="F28" s="93">
        <f t="shared" si="19"/>
        <v>0</v>
      </c>
      <c r="G28" s="93" t="str">
        <f t="shared" si="19"/>
        <v>#DIV/0!</v>
      </c>
      <c r="H28" s="93" t="str">
        <f t="shared" si="19"/>
        <v>#DIV/0!</v>
      </c>
      <c r="I28" s="93">
        <f t="shared" si="19"/>
        <v>0</v>
      </c>
      <c r="J28" s="94">
        <f t="shared" si="19"/>
        <v>0</v>
      </c>
      <c r="K28" s="83"/>
      <c r="L28" s="92" t="str">
        <f t="shared" ref="L28:W28" si="20">L5/L12</f>
        <v>#DIV/0!</v>
      </c>
      <c r="M28" s="93" t="str">
        <f t="shared" si="20"/>
        <v>#DIV/0!</v>
      </c>
      <c r="N28" s="93" t="str">
        <f t="shared" si="20"/>
        <v>#DIV/0!</v>
      </c>
      <c r="O28" s="93" t="str">
        <f t="shared" si="20"/>
        <v>#DIV/0!</v>
      </c>
      <c r="P28" s="93" t="str">
        <f t="shared" si="20"/>
        <v>#DIV/0!</v>
      </c>
      <c r="Q28" s="93" t="str">
        <f t="shared" si="20"/>
        <v>#DIV/0!</v>
      </c>
      <c r="R28" s="93" t="str">
        <f t="shared" si="20"/>
        <v>#DIV/0!</v>
      </c>
      <c r="S28" s="93">
        <f t="shared" si="20"/>
        <v>0</v>
      </c>
      <c r="T28" s="93">
        <f t="shared" si="20"/>
        <v>0</v>
      </c>
      <c r="U28" s="93">
        <f t="shared" si="20"/>
        <v>0</v>
      </c>
      <c r="V28" s="93">
        <f t="shared" si="20"/>
        <v>0</v>
      </c>
      <c r="W28" s="94">
        <f t="shared" si="20"/>
        <v>0</v>
      </c>
    </row>
    <row r="30">
      <c r="A30" s="95" t="s">
        <v>36</v>
      </c>
      <c r="B30" s="95" t="s">
        <v>37</v>
      </c>
      <c r="C30" s="96" t="s">
        <v>38</v>
      </c>
      <c r="F30" s="3"/>
    </row>
    <row r="31">
      <c r="B31" s="97" t="s">
        <v>39</v>
      </c>
    </row>
  </sheetData>
  <mergeCells count="1">
    <mergeCell ref="B31:J35"/>
  </mergeCells>
  <dataValidations>
    <dataValidation type="custom" allowBlank="1" showDropDown="1" sqref="G3:I12">
      <formula1>AND(ISNUMBER(G3),(NOT(OR(NOT(ISERROR(DATEVALUE(G3))), AND(ISNUMBER(G3), LEFT(CELL("format", G3))="D")))))</formula1>
    </dataValidation>
  </dataValidations>
  <hyperlinks>
    <hyperlink r:id="rId1" ref="C30"/>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88"/>
    <col customWidth="1" min="12" max="12" width="15.25"/>
  </cols>
  <sheetData>
    <row r="1">
      <c r="A1" s="98"/>
      <c r="B1" s="99" t="s">
        <v>4</v>
      </c>
      <c r="C1" s="99" t="s">
        <v>5</v>
      </c>
      <c r="D1" s="99" t="s">
        <v>6</v>
      </c>
      <c r="E1" s="99" t="s">
        <v>7</v>
      </c>
      <c r="F1" s="100" t="s">
        <v>8</v>
      </c>
      <c r="G1" s="99" t="s">
        <v>9</v>
      </c>
      <c r="H1" s="99" t="s">
        <v>10</v>
      </c>
      <c r="I1" s="99" t="s">
        <v>11</v>
      </c>
      <c r="J1" s="99" t="s">
        <v>12</v>
      </c>
      <c r="K1" s="101"/>
      <c r="L1" s="102">
        <v>2014.0</v>
      </c>
      <c r="M1" s="102">
        <v>2015.0</v>
      </c>
      <c r="N1" s="102">
        <v>2016.0</v>
      </c>
      <c r="O1" s="102">
        <v>2017.0</v>
      </c>
      <c r="P1" s="102">
        <v>2018.0</v>
      </c>
      <c r="Q1" s="102">
        <v>2019.0</v>
      </c>
      <c r="R1" s="102">
        <v>2020.0</v>
      </c>
      <c r="S1" s="102">
        <v>2021.0</v>
      </c>
      <c r="T1" s="102">
        <v>2022.0</v>
      </c>
      <c r="U1" s="102">
        <v>2023.0</v>
      </c>
      <c r="V1" s="102">
        <v>2024.0</v>
      </c>
      <c r="W1" s="103">
        <v>2025.0</v>
      </c>
      <c r="X1" s="95">
        <v>2026.0</v>
      </c>
      <c r="Y1" s="98"/>
    </row>
    <row r="2">
      <c r="A2" s="104" t="s">
        <v>40</v>
      </c>
      <c r="B2" s="105"/>
      <c r="C2" s="105"/>
      <c r="D2" s="105"/>
      <c r="E2" s="105"/>
      <c r="F2" s="105"/>
      <c r="G2" s="105"/>
      <c r="H2" s="105"/>
      <c r="I2" s="105"/>
      <c r="J2" s="105"/>
      <c r="K2" s="106"/>
      <c r="L2" s="107"/>
      <c r="M2" s="107"/>
      <c r="N2" s="107"/>
      <c r="O2" s="107"/>
      <c r="P2" s="107"/>
      <c r="Q2" s="107"/>
      <c r="R2" s="105">
        <v>8.13255E8</v>
      </c>
      <c r="S2" s="105">
        <v>7.85446E8</v>
      </c>
      <c r="T2" s="105">
        <v>7.47914E8</v>
      </c>
      <c r="U2" s="105">
        <v>7.49076E8</v>
      </c>
      <c r="V2" s="105">
        <v>7.46687E8</v>
      </c>
      <c r="W2" s="108">
        <v>8.12396E8</v>
      </c>
      <c r="X2" s="54">
        <f t="shared" ref="X2:X3" si="1">W2</f>
        <v>812396000</v>
      </c>
    </row>
    <row r="3">
      <c r="A3" s="109" t="s">
        <v>41</v>
      </c>
      <c r="B3" s="110"/>
      <c r="C3" s="110"/>
      <c r="D3" s="110"/>
      <c r="E3" s="110"/>
      <c r="F3" s="110"/>
      <c r="G3" s="110"/>
      <c r="H3" s="110"/>
      <c r="I3" s="110"/>
      <c r="J3" s="110"/>
      <c r="K3" s="106"/>
      <c r="L3" s="111"/>
      <c r="M3" s="111"/>
      <c r="N3" s="111"/>
      <c r="O3" s="111"/>
      <c r="P3" s="111"/>
      <c r="Q3" s="111"/>
      <c r="R3" s="110">
        <v>2.55985E8</v>
      </c>
      <c r="S3" s="110">
        <v>2.87765E8</v>
      </c>
      <c r="T3" s="110">
        <v>3.35875E8</v>
      </c>
      <c r="U3" s="110">
        <v>3.98297E8</v>
      </c>
      <c r="V3" s="110">
        <v>4.00946E8</v>
      </c>
      <c r="W3" s="112">
        <v>4.70215E8</v>
      </c>
      <c r="X3" s="54">
        <f t="shared" si="1"/>
        <v>470215000</v>
      </c>
    </row>
    <row r="4">
      <c r="A4" s="113" t="s">
        <v>42</v>
      </c>
      <c r="B4" s="114"/>
      <c r="C4" s="114"/>
      <c r="D4" s="114"/>
      <c r="E4" s="114"/>
      <c r="F4" s="114"/>
      <c r="G4" s="114"/>
      <c r="H4" s="114"/>
      <c r="I4" s="114"/>
      <c r="J4" s="114"/>
      <c r="K4" s="115"/>
      <c r="L4" s="116"/>
      <c r="M4" s="116"/>
      <c r="N4" s="116"/>
      <c r="O4" s="116"/>
      <c r="P4" s="116"/>
      <c r="Q4" s="116"/>
      <c r="R4" s="117">
        <v>1.021</v>
      </c>
      <c r="S4" s="117">
        <v>0.976</v>
      </c>
      <c r="T4" s="117">
        <v>1.42</v>
      </c>
      <c r="U4" s="117">
        <v>2.739</v>
      </c>
      <c r="V4" s="117">
        <v>1.73</v>
      </c>
      <c r="W4" s="118">
        <v>3.49</v>
      </c>
      <c r="X4" s="119">
        <v>1.2</v>
      </c>
    </row>
    <row r="5">
      <c r="A5" s="120" t="s">
        <v>43</v>
      </c>
      <c r="B5" s="121"/>
      <c r="C5" s="121"/>
      <c r="D5" s="121"/>
      <c r="E5" s="121"/>
      <c r="F5" s="121"/>
      <c r="G5" s="121"/>
      <c r="H5" s="121"/>
      <c r="I5" s="121"/>
      <c r="J5" s="121"/>
      <c r="K5" s="115"/>
      <c r="L5" s="122"/>
      <c r="M5" s="122"/>
      <c r="N5" s="122"/>
      <c r="O5" s="122"/>
      <c r="P5" s="122"/>
      <c r="Q5" s="122"/>
      <c r="R5" s="123">
        <v>1.897</v>
      </c>
      <c r="S5" s="123">
        <v>1.876</v>
      </c>
      <c r="T5" s="123">
        <v>1.932</v>
      </c>
      <c r="U5" s="123">
        <v>2.403</v>
      </c>
      <c r="V5" s="123">
        <v>2.309</v>
      </c>
      <c r="W5" s="124">
        <v>2.519</v>
      </c>
      <c r="X5" s="119">
        <v>1.9</v>
      </c>
    </row>
    <row r="6">
      <c r="A6" s="3" t="s">
        <v>44</v>
      </c>
      <c r="B6" s="19">
        <v>3.95433E8</v>
      </c>
      <c r="C6" s="19">
        <v>2.2528E8</v>
      </c>
      <c r="D6" s="19">
        <v>2.80599E8</v>
      </c>
      <c r="E6" s="19">
        <v>4.13619E8</v>
      </c>
      <c r="F6" s="19">
        <v>3.72245E8</v>
      </c>
      <c r="G6" s="19">
        <v>4.84736E8</v>
      </c>
      <c r="H6" s="19">
        <v>6.16891E8</v>
      </c>
      <c r="I6" s="19">
        <v>1.016438E9</v>
      </c>
      <c r="J6" s="19">
        <f>2835423000-I6-H6-G6</f>
        <v>717358000</v>
      </c>
      <c r="K6" s="125"/>
      <c r="L6" s="54">
        <f t="shared" ref="L6:X6" si="2">L2*L4</f>
        <v>0</v>
      </c>
      <c r="M6" s="54">
        <f t="shared" si="2"/>
        <v>0</v>
      </c>
      <c r="N6" s="54">
        <f t="shared" si="2"/>
        <v>0</v>
      </c>
      <c r="O6" s="54">
        <f t="shared" si="2"/>
        <v>0</v>
      </c>
      <c r="P6" s="54">
        <f t="shared" si="2"/>
        <v>0</v>
      </c>
      <c r="Q6" s="54">
        <f t="shared" si="2"/>
        <v>0</v>
      </c>
      <c r="R6" s="54">
        <f t="shared" si="2"/>
        <v>830333355</v>
      </c>
      <c r="S6" s="54">
        <f t="shared" si="2"/>
        <v>766595296</v>
      </c>
      <c r="T6" s="54">
        <f t="shared" si="2"/>
        <v>1062037880</v>
      </c>
      <c r="U6" s="54">
        <f t="shared" si="2"/>
        <v>2051719164</v>
      </c>
      <c r="V6" s="54">
        <f t="shared" si="2"/>
        <v>1291768510</v>
      </c>
      <c r="W6" s="55">
        <f t="shared" si="2"/>
        <v>2835262040</v>
      </c>
      <c r="X6" s="54">
        <f t="shared" si="2"/>
        <v>974875200</v>
      </c>
    </row>
    <row r="7">
      <c r="A7" s="3" t="s">
        <v>45</v>
      </c>
      <c r="B7" s="126">
        <v>2.5619E8</v>
      </c>
      <c r="C7" s="126">
        <v>2.08681E8</v>
      </c>
      <c r="D7" s="126">
        <v>2.17905E8</v>
      </c>
      <c r="E7" s="126">
        <v>2.62293E8</v>
      </c>
      <c r="F7" s="126">
        <v>2.36786E8</v>
      </c>
      <c r="G7" s="126">
        <v>2.56777E8</v>
      </c>
      <c r="H7" s="126">
        <v>2.8697E8</v>
      </c>
      <c r="I7" s="126">
        <v>3.28944E8</v>
      </c>
      <c r="J7" s="126">
        <f>1184487000-I7-H7-G7</f>
        <v>311796000</v>
      </c>
      <c r="K7" s="125"/>
      <c r="L7" s="127">
        <f t="shared" ref="L7:X7" si="3">L3*L5</f>
        <v>0</v>
      </c>
      <c r="M7" s="127">
        <f t="shared" si="3"/>
        <v>0</v>
      </c>
      <c r="N7" s="127">
        <f t="shared" si="3"/>
        <v>0</v>
      </c>
      <c r="O7" s="127">
        <f t="shared" si="3"/>
        <v>0</v>
      </c>
      <c r="P7" s="127">
        <f t="shared" si="3"/>
        <v>0</v>
      </c>
      <c r="Q7" s="127">
        <f t="shared" si="3"/>
        <v>0</v>
      </c>
      <c r="R7" s="127">
        <f t="shared" si="3"/>
        <v>485603545</v>
      </c>
      <c r="S7" s="127">
        <f t="shared" si="3"/>
        <v>539847140</v>
      </c>
      <c r="T7" s="127">
        <f t="shared" si="3"/>
        <v>648910500</v>
      </c>
      <c r="U7" s="127">
        <f t="shared" si="3"/>
        <v>957107691</v>
      </c>
      <c r="V7" s="127">
        <f t="shared" si="3"/>
        <v>925784314</v>
      </c>
      <c r="W7" s="128">
        <f t="shared" si="3"/>
        <v>1184471585</v>
      </c>
      <c r="X7" s="54">
        <f t="shared" si="3"/>
        <v>893408500</v>
      </c>
    </row>
    <row r="8">
      <c r="A8" s="3" t="s">
        <v>46</v>
      </c>
      <c r="B8" s="19">
        <v>3.3996E7</v>
      </c>
      <c r="C8" s="19">
        <v>2.2223E7</v>
      </c>
      <c r="D8" s="19">
        <v>2.0012E7</v>
      </c>
      <c r="E8" s="19">
        <v>2.1759E7</v>
      </c>
      <c r="F8" s="19">
        <v>2.5015E7</v>
      </c>
      <c r="G8" s="19">
        <v>3.5175E7</v>
      </c>
      <c r="H8" s="19">
        <v>4.0651E7</v>
      </c>
      <c r="I8" s="19">
        <v>6.1024E7</v>
      </c>
      <c r="J8" s="19">
        <f>198833300-I8-H8-G8</f>
        <v>61983300</v>
      </c>
      <c r="K8" s="125"/>
      <c r="L8" s="54"/>
      <c r="M8" s="54"/>
      <c r="N8" s="54"/>
      <c r="O8" s="54"/>
      <c r="P8" s="54"/>
      <c r="Q8" s="54"/>
      <c r="R8" s="19">
        <v>3.1414E7</v>
      </c>
      <c r="S8" s="19">
        <v>3.67333E7</v>
      </c>
      <c r="T8" s="19">
        <v>6.0004E7</v>
      </c>
      <c r="U8" s="19">
        <v>1.2227E8</v>
      </c>
      <c r="V8" s="19">
        <v>8.9009E7</v>
      </c>
      <c r="W8" s="20">
        <v>1.988333E8</v>
      </c>
      <c r="X8" s="19">
        <v>1.5E8</v>
      </c>
    </row>
    <row r="9">
      <c r="A9" s="3" t="s">
        <v>47</v>
      </c>
      <c r="B9" s="19">
        <v>3061000.0</v>
      </c>
      <c r="C9" s="19">
        <v>3160000.0</v>
      </c>
      <c r="D9" s="19">
        <v>4718000.0</v>
      </c>
      <c r="E9" s="19">
        <v>5405000.0</v>
      </c>
      <c r="F9" s="19">
        <v>6743000.0</v>
      </c>
      <c r="G9" s="19">
        <v>9183000.0</v>
      </c>
      <c r="H9" s="19">
        <v>1.0159E7</v>
      </c>
      <c r="I9" s="19">
        <v>1.1279E7</v>
      </c>
      <c r="J9" s="19">
        <f>43142000-I9-H9-G9</f>
        <v>12521000</v>
      </c>
      <c r="K9" s="125"/>
      <c r="L9" s="54"/>
      <c r="M9" s="54"/>
      <c r="N9" s="54"/>
      <c r="O9" s="54"/>
      <c r="P9" s="54"/>
      <c r="Q9" s="54"/>
      <c r="R9" s="19">
        <v>4452000.0</v>
      </c>
      <c r="S9" s="19">
        <v>6.3627E7</v>
      </c>
      <c r="T9" s="19">
        <v>6322000.0</v>
      </c>
      <c r="U9" s="19">
        <v>1.4993E7</v>
      </c>
      <c r="V9" s="19">
        <v>2.0026E7</v>
      </c>
      <c r="W9" s="20">
        <v>4.3142E7</v>
      </c>
      <c r="X9" s="19">
        <v>4.0E7</v>
      </c>
    </row>
    <row r="10">
      <c r="A10" s="129" t="s">
        <v>48</v>
      </c>
      <c r="B10" s="130">
        <f>SUM(B6:B9)</f>
        <v>688680000</v>
      </c>
      <c r="C10" s="130">
        <v>4.59344E8</v>
      </c>
      <c r="D10" s="130">
        <v>5.23234E8</v>
      </c>
      <c r="E10" s="130">
        <v>7.03076E8</v>
      </c>
      <c r="F10" s="131">
        <f>2326443000-E10-D10-C10</f>
        <v>640789000</v>
      </c>
      <c r="G10" s="130">
        <v>7.85871E8</v>
      </c>
      <c r="H10" s="130">
        <v>9.54671E8</v>
      </c>
      <c r="I10" s="130">
        <v>1.417685E9</v>
      </c>
      <c r="J10" s="130">
        <f>4261885000-I10-H10-G10</f>
        <v>1103658000</v>
      </c>
      <c r="K10" s="132"/>
      <c r="L10" s="130"/>
      <c r="M10" s="130"/>
      <c r="N10" s="130"/>
      <c r="O10" s="130"/>
      <c r="P10" s="130"/>
      <c r="Q10" s="130"/>
      <c r="R10" s="130">
        <v>1.351609E9</v>
      </c>
      <c r="S10" s="130">
        <v>1.348987E9</v>
      </c>
      <c r="T10" s="130">
        <v>1.777159E9</v>
      </c>
      <c r="U10" s="130">
        <v>3.146217E9</v>
      </c>
      <c r="V10" s="130">
        <v>2.316443E9</v>
      </c>
      <c r="W10" s="133">
        <v>4.261885E9</v>
      </c>
      <c r="X10" s="134">
        <f>SUM(X6:X9)</f>
        <v>2058283700</v>
      </c>
      <c r="Y10" s="98"/>
    </row>
    <row r="11">
      <c r="A11" s="135" t="s">
        <v>49</v>
      </c>
      <c r="B11" s="19"/>
      <c r="C11" s="19">
        <v>4.13911E8</v>
      </c>
      <c r="D11" s="19">
        <v>4.32104E8</v>
      </c>
      <c r="E11" s="19">
        <v>4.84504E8</v>
      </c>
      <c r="F11" s="54">
        <f>1784872000-E11-D11-C11</f>
        <v>454353000</v>
      </c>
      <c r="G11" s="19">
        <v>5.38653E8</v>
      </c>
      <c r="H11" s="19">
        <v>5.98629E8</v>
      </c>
      <c r="I11" s="19">
        <v>7.0157E8</v>
      </c>
      <c r="J11" s="19">
        <f>2411000000-I11-H11-G11</f>
        <v>572148000</v>
      </c>
      <c r="K11" s="125"/>
      <c r="L11" s="19"/>
      <c r="M11" s="19"/>
      <c r="N11" s="19"/>
      <c r="O11" s="19"/>
      <c r="P11" s="19"/>
      <c r="Q11" s="19"/>
      <c r="R11" s="19">
        <v>1.172021E9</v>
      </c>
      <c r="S11" s="19">
        <v>1.188326E9</v>
      </c>
      <c r="T11" s="19">
        <v>1.4401E9</v>
      </c>
      <c r="U11" s="19">
        <v>1.94976E9</v>
      </c>
      <c r="V11" s="19">
        <v>1.784872E9</v>
      </c>
      <c r="W11" s="20">
        <v>2.411E9</v>
      </c>
      <c r="X11" s="19">
        <v>1.4401E9</v>
      </c>
    </row>
    <row r="12">
      <c r="A12" s="129" t="s">
        <v>50</v>
      </c>
      <c r="B12" s="131"/>
      <c r="C12" s="131">
        <f t="shared" ref="C12:J12" si="4">C10-C11</f>
        <v>45433000</v>
      </c>
      <c r="D12" s="131">
        <f t="shared" si="4"/>
        <v>91130000</v>
      </c>
      <c r="E12" s="131">
        <f t="shared" si="4"/>
        <v>218572000</v>
      </c>
      <c r="F12" s="131">
        <f t="shared" si="4"/>
        <v>186436000</v>
      </c>
      <c r="G12" s="131">
        <f t="shared" si="4"/>
        <v>247218000</v>
      </c>
      <c r="H12" s="131">
        <f t="shared" si="4"/>
        <v>356042000</v>
      </c>
      <c r="I12" s="131">
        <f t="shared" si="4"/>
        <v>716115000</v>
      </c>
      <c r="J12" s="131">
        <f t="shared" si="4"/>
        <v>531510000</v>
      </c>
      <c r="K12" s="136"/>
      <c r="L12" s="131">
        <f t="shared" ref="L12:X12" si="5">L10-L11</f>
        <v>0</v>
      </c>
      <c r="M12" s="131">
        <f t="shared" si="5"/>
        <v>0</v>
      </c>
      <c r="N12" s="131">
        <f t="shared" si="5"/>
        <v>0</v>
      </c>
      <c r="O12" s="131">
        <f t="shared" si="5"/>
        <v>0</v>
      </c>
      <c r="P12" s="131">
        <f t="shared" si="5"/>
        <v>0</v>
      </c>
      <c r="Q12" s="131">
        <f t="shared" si="5"/>
        <v>0</v>
      </c>
      <c r="R12" s="131">
        <f t="shared" si="5"/>
        <v>179588000</v>
      </c>
      <c r="S12" s="131">
        <f t="shared" si="5"/>
        <v>160661000</v>
      </c>
      <c r="T12" s="131">
        <f t="shared" si="5"/>
        <v>337059000</v>
      </c>
      <c r="U12" s="131">
        <f t="shared" si="5"/>
        <v>1196457000</v>
      </c>
      <c r="V12" s="131">
        <f t="shared" si="5"/>
        <v>531571000</v>
      </c>
      <c r="W12" s="137">
        <f t="shared" si="5"/>
        <v>1850885000</v>
      </c>
      <c r="X12" s="134">
        <f t="shared" si="5"/>
        <v>618183700</v>
      </c>
      <c r="Y12" s="98"/>
    </row>
    <row r="13">
      <c r="A13" s="3" t="s">
        <v>51</v>
      </c>
      <c r="B13" s="19"/>
      <c r="C13" s="19">
        <v>5.2246E7</v>
      </c>
      <c r="D13" s="19">
        <v>7.6578E7</v>
      </c>
      <c r="E13" s="19">
        <v>6.602E7</v>
      </c>
      <c r="F13" s="54">
        <f>252625000-E13-D13-C13</f>
        <v>57781000</v>
      </c>
      <c r="G13" s="19">
        <v>6.1932E7</v>
      </c>
      <c r="H13" s="19">
        <v>7.7633E7</v>
      </c>
      <c r="I13" s="19">
        <v>7.9967E7</v>
      </c>
      <c r="J13" s="19">
        <f>314449000-I13-H13-G13</f>
        <v>94917000</v>
      </c>
      <c r="K13" s="125"/>
      <c r="L13" s="19"/>
      <c r="M13" s="19"/>
      <c r="N13" s="19"/>
      <c r="O13" s="19"/>
      <c r="P13" s="19"/>
      <c r="Q13" s="19"/>
      <c r="R13" s="19">
        <v>1.78237E8</v>
      </c>
      <c r="S13" s="19">
        <v>1.83943E8</v>
      </c>
      <c r="T13" s="19">
        <v>1.98631E8</v>
      </c>
      <c r="U13" s="19">
        <v>2.32207E8</v>
      </c>
      <c r="V13" s="19">
        <v>2.52625E8</v>
      </c>
      <c r="W13" s="138">
        <v>3.14449E8</v>
      </c>
      <c r="X13" s="54">
        <f t="shared" ref="X13:X15" si="6">W13</f>
        <v>314449000</v>
      </c>
    </row>
    <row r="14">
      <c r="A14" s="3" t="s">
        <v>52</v>
      </c>
      <c r="B14" s="19"/>
      <c r="C14" s="19">
        <v>0.0</v>
      </c>
      <c r="D14" s="19">
        <v>0.0</v>
      </c>
      <c r="E14" s="19">
        <v>-9929000.0</v>
      </c>
      <c r="F14" s="19">
        <f>-23532000-E14</f>
        <v>-13603000</v>
      </c>
      <c r="G14" s="19">
        <v>146000.0</v>
      </c>
      <c r="H14" s="19">
        <v>10000.0</v>
      </c>
      <c r="I14" s="19">
        <v>0.0</v>
      </c>
      <c r="J14" s="19">
        <f>156000-I14-H14-G14</f>
        <v>0</v>
      </c>
      <c r="K14" s="125"/>
      <c r="L14" s="19"/>
      <c r="M14" s="19"/>
      <c r="N14" s="19"/>
      <c r="O14" s="19"/>
      <c r="P14" s="19"/>
      <c r="Q14" s="19"/>
      <c r="R14" s="19">
        <v>0.0</v>
      </c>
      <c r="S14" s="19">
        <v>0.0</v>
      </c>
      <c r="T14" s="19">
        <v>0.0</v>
      </c>
      <c r="U14" s="19">
        <v>-3345000.0</v>
      </c>
      <c r="V14" s="19">
        <v>-2.3532E7</v>
      </c>
      <c r="W14" s="20">
        <v>156000.0</v>
      </c>
      <c r="X14" s="54">
        <f t="shared" si="6"/>
        <v>156000</v>
      </c>
    </row>
    <row r="15">
      <c r="A15" s="3" t="s">
        <v>53</v>
      </c>
      <c r="B15" s="19"/>
      <c r="C15" s="19">
        <v>-56000.0</v>
      </c>
      <c r="D15" s="19">
        <v>318000.0</v>
      </c>
      <c r="E15" s="19">
        <v>-306000.0</v>
      </c>
      <c r="F15" s="54">
        <f>26000-E15-D15-C15</f>
        <v>70000</v>
      </c>
      <c r="G15" s="19">
        <v>-1817000.0</v>
      </c>
      <c r="H15" s="19">
        <v>338000.0</v>
      </c>
      <c r="I15" s="19">
        <v>-478000.0</v>
      </c>
      <c r="J15" s="19">
        <f>-259000-I15-H15-G15</f>
        <v>1698000</v>
      </c>
      <c r="K15" s="125"/>
      <c r="L15" s="19"/>
      <c r="M15" s="19"/>
      <c r="N15" s="19"/>
      <c r="O15" s="19"/>
      <c r="P15" s="19"/>
      <c r="Q15" s="19"/>
      <c r="R15" s="19">
        <v>82000.0</v>
      </c>
      <c r="S15" s="19">
        <v>2982000.0</v>
      </c>
      <c r="T15" s="19">
        <v>-5109000.0</v>
      </c>
      <c r="U15" s="19">
        <v>-131000.0</v>
      </c>
      <c r="V15" s="19">
        <v>26000.0</v>
      </c>
      <c r="W15" s="20">
        <v>-259000.0</v>
      </c>
      <c r="X15" s="54">
        <f t="shared" si="6"/>
        <v>-259000</v>
      </c>
    </row>
    <row r="16">
      <c r="A16" s="139" t="s">
        <v>54</v>
      </c>
      <c r="B16" s="47"/>
      <c r="C16" s="47">
        <f t="shared" ref="C16:J16" si="7">+C13+C14+C15</f>
        <v>52190000</v>
      </c>
      <c r="D16" s="47">
        <f t="shared" si="7"/>
        <v>76896000</v>
      </c>
      <c r="E16" s="47">
        <f t="shared" si="7"/>
        <v>55785000</v>
      </c>
      <c r="F16" s="47">
        <f t="shared" si="7"/>
        <v>44248000</v>
      </c>
      <c r="G16" s="47">
        <f t="shared" si="7"/>
        <v>60261000</v>
      </c>
      <c r="H16" s="47">
        <f t="shared" si="7"/>
        <v>77981000</v>
      </c>
      <c r="I16" s="47">
        <f t="shared" si="7"/>
        <v>79489000</v>
      </c>
      <c r="J16" s="47">
        <f t="shared" si="7"/>
        <v>96615000</v>
      </c>
      <c r="K16" s="140"/>
      <c r="L16" s="47">
        <f t="shared" ref="L16:X16" si="8">SUM(L13:L15)</f>
        <v>0</v>
      </c>
      <c r="M16" s="47">
        <f t="shared" si="8"/>
        <v>0</v>
      </c>
      <c r="N16" s="47">
        <f t="shared" si="8"/>
        <v>0</v>
      </c>
      <c r="O16" s="47">
        <f t="shared" si="8"/>
        <v>0</v>
      </c>
      <c r="P16" s="47">
        <f t="shared" si="8"/>
        <v>0</v>
      </c>
      <c r="Q16" s="47">
        <f t="shared" si="8"/>
        <v>0</v>
      </c>
      <c r="R16" s="47">
        <f t="shared" si="8"/>
        <v>178319000</v>
      </c>
      <c r="S16" s="47">
        <f t="shared" si="8"/>
        <v>186925000</v>
      </c>
      <c r="T16" s="47">
        <f t="shared" si="8"/>
        <v>193522000</v>
      </c>
      <c r="U16" s="47">
        <f t="shared" si="8"/>
        <v>228731000</v>
      </c>
      <c r="V16" s="47">
        <f t="shared" si="8"/>
        <v>229119000</v>
      </c>
      <c r="W16" s="48">
        <f t="shared" si="8"/>
        <v>314346000</v>
      </c>
      <c r="X16" s="54">
        <f t="shared" si="8"/>
        <v>314346000</v>
      </c>
    </row>
    <row r="17">
      <c r="A17" s="141" t="s">
        <v>55</v>
      </c>
      <c r="B17" s="142"/>
      <c r="C17" s="142">
        <f t="shared" ref="C17:J17" si="9">C12-C16</f>
        <v>-6757000</v>
      </c>
      <c r="D17" s="142">
        <f t="shared" si="9"/>
        <v>14234000</v>
      </c>
      <c r="E17" s="142">
        <f t="shared" si="9"/>
        <v>162787000</v>
      </c>
      <c r="F17" s="142">
        <f t="shared" si="9"/>
        <v>142188000</v>
      </c>
      <c r="G17" s="142">
        <f t="shared" si="9"/>
        <v>186957000</v>
      </c>
      <c r="H17" s="142">
        <f t="shared" si="9"/>
        <v>278061000</v>
      </c>
      <c r="I17" s="142">
        <f t="shared" si="9"/>
        <v>636626000</v>
      </c>
      <c r="J17" s="142">
        <f t="shared" si="9"/>
        <v>434895000</v>
      </c>
      <c r="K17" s="132"/>
      <c r="L17" s="143">
        <f t="shared" ref="L17:X17" si="10">L12-L16</f>
        <v>0</v>
      </c>
      <c r="M17" s="143">
        <f t="shared" si="10"/>
        <v>0</v>
      </c>
      <c r="N17" s="143">
        <f t="shared" si="10"/>
        <v>0</v>
      </c>
      <c r="O17" s="143">
        <f t="shared" si="10"/>
        <v>0</v>
      </c>
      <c r="P17" s="143">
        <f t="shared" si="10"/>
        <v>0</v>
      </c>
      <c r="Q17" s="143">
        <f t="shared" si="10"/>
        <v>0</v>
      </c>
      <c r="R17" s="143">
        <f t="shared" si="10"/>
        <v>1269000</v>
      </c>
      <c r="S17" s="143">
        <f t="shared" si="10"/>
        <v>-26264000</v>
      </c>
      <c r="T17" s="143">
        <f t="shared" si="10"/>
        <v>143537000</v>
      </c>
      <c r="U17" s="143">
        <f t="shared" si="10"/>
        <v>967726000</v>
      </c>
      <c r="V17" s="143">
        <f t="shared" si="10"/>
        <v>302452000</v>
      </c>
      <c r="W17" s="144">
        <f t="shared" si="10"/>
        <v>1536539000</v>
      </c>
      <c r="X17" s="134">
        <f t="shared" si="10"/>
        <v>303837700</v>
      </c>
      <c r="Y17" s="98"/>
    </row>
    <row r="18" ht="15.0" customHeight="1">
      <c r="A18" s="3" t="s">
        <v>56</v>
      </c>
      <c r="B18" s="19"/>
      <c r="C18" s="19">
        <v>0.0</v>
      </c>
      <c r="D18" s="19">
        <v>0.0</v>
      </c>
      <c r="E18" s="19">
        <v>0.0</v>
      </c>
      <c r="F18" s="19">
        <v>-549000.0</v>
      </c>
      <c r="G18" s="19">
        <v>0.0</v>
      </c>
      <c r="H18" s="19">
        <v>0.0</v>
      </c>
      <c r="I18" s="19">
        <v>0.0</v>
      </c>
      <c r="J18" s="19">
        <f>-612000-I18-H18-G18</f>
        <v>-612000</v>
      </c>
      <c r="K18" s="125"/>
      <c r="L18" s="19"/>
      <c r="M18" s="19"/>
      <c r="N18" s="19"/>
      <c r="O18" s="19"/>
      <c r="P18" s="19"/>
      <c r="Q18" s="19"/>
      <c r="R18" s="19">
        <v>-498000.0</v>
      </c>
      <c r="S18" s="19">
        <v>-213000.0</v>
      </c>
      <c r="T18" s="19">
        <v>-403000.0</v>
      </c>
      <c r="U18" s="19">
        <v>-583000.0</v>
      </c>
      <c r="V18" s="19">
        <v>-549000.0</v>
      </c>
      <c r="W18" s="20">
        <v>-612000.0</v>
      </c>
      <c r="X18" s="54">
        <f t="shared" ref="X18:X22" si="11">T18</f>
        <v>-403000</v>
      </c>
    </row>
    <row r="19" ht="15.0" customHeight="1">
      <c r="A19" s="3" t="s">
        <v>57</v>
      </c>
      <c r="B19" s="19"/>
      <c r="C19" s="19">
        <v>7346000.0</v>
      </c>
      <c r="D19" s="19">
        <v>6987000.0</v>
      </c>
      <c r="E19" s="19">
        <v>7554000.0</v>
      </c>
      <c r="F19" s="19">
        <f>32275000-E19-D19-C19</f>
        <v>10388000</v>
      </c>
      <c r="G19" s="19">
        <v>9785000.0</v>
      </c>
      <c r="H19" s="19">
        <v>9770000.0</v>
      </c>
      <c r="I19" s="19">
        <v>1.2628E7</v>
      </c>
      <c r="J19" s="19">
        <f>48671000-I19-H19-G19</f>
        <v>16488000</v>
      </c>
      <c r="K19" s="125"/>
      <c r="L19" s="19"/>
      <c r="M19" s="19"/>
      <c r="N19" s="19"/>
      <c r="O19" s="19"/>
      <c r="P19" s="19"/>
      <c r="Q19" s="19"/>
      <c r="R19" s="19">
        <v>4962000.0</v>
      </c>
      <c r="S19" s="19">
        <v>2928000.0</v>
      </c>
      <c r="T19" s="19">
        <v>988000.0</v>
      </c>
      <c r="U19" s="19">
        <v>1.8553E7</v>
      </c>
      <c r="V19" s="19">
        <v>3.2275E7</v>
      </c>
      <c r="W19" s="20">
        <v>4.8671E7</v>
      </c>
      <c r="X19" s="54">
        <f t="shared" si="11"/>
        <v>988000</v>
      </c>
    </row>
    <row r="20">
      <c r="A20" s="3" t="s">
        <v>58</v>
      </c>
      <c r="B20" s="19"/>
      <c r="C20" s="19"/>
      <c r="D20" s="19"/>
      <c r="E20" s="19"/>
      <c r="F20" s="19"/>
      <c r="G20" s="19"/>
      <c r="H20" s="19"/>
      <c r="I20" s="19"/>
      <c r="J20" s="19">
        <v>6221000.0</v>
      </c>
      <c r="K20" s="125"/>
      <c r="L20" s="19"/>
      <c r="M20" s="19"/>
      <c r="N20" s="19"/>
      <c r="O20" s="19"/>
      <c r="P20" s="19"/>
      <c r="Q20" s="19"/>
      <c r="R20" s="19">
        <v>534000.0</v>
      </c>
      <c r="S20" s="19">
        <v>622000.0</v>
      </c>
      <c r="T20" s="19">
        <v>1943000.0</v>
      </c>
      <c r="U20" s="19">
        <v>1.0239E7</v>
      </c>
      <c r="V20" s="19">
        <v>1.1331E7</v>
      </c>
      <c r="W20" s="20">
        <v>1.1197E7</v>
      </c>
      <c r="X20" s="54">
        <f t="shared" si="11"/>
        <v>1943000</v>
      </c>
    </row>
    <row r="21">
      <c r="A21" s="3" t="s">
        <v>59</v>
      </c>
      <c r="B21" s="19"/>
      <c r="C21" s="19">
        <v>0.0</v>
      </c>
      <c r="D21" s="19">
        <v>0.0</v>
      </c>
      <c r="E21" s="19">
        <v>1.1298E7</v>
      </c>
      <c r="F21" s="19">
        <f>11331000-E21-D21-C21</f>
        <v>33000</v>
      </c>
      <c r="G21" s="19">
        <v>1211000.0</v>
      </c>
      <c r="H21" s="19">
        <v>0.0</v>
      </c>
      <c r="I21" s="19">
        <v>1.1197E7</v>
      </c>
      <c r="J21" s="19">
        <f>11197000-I21-H21-G21</f>
        <v>-1211000</v>
      </c>
      <c r="K21" s="125"/>
      <c r="L21" s="19"/>
      <c r="M21" s="19"/>
      <c r="N21" s="19"/>
      <c r="O21" s="19"/>
      <c r="P21" s="19"/>
      <c r="Q21" s="19"/>
      <c r="R21" s="19">
        <v>1.0096E7</v>
      </c>
      <c r="S21" s="19">
        <v>9004000.0</v>
      </c>
      <c r="T21" s="19">
        <v>1.013E7</v>
      </c>
      <c r="U21" s="19">
        <v>749000.0</v>
      </c>
      <c r="V21" s="19">
        <v>1420000.0</v>
      </c>
      <c r="W21" s="20">
        <v>6221000.0</v>
      </c>
      <c r="X21" s="54">
        <f t="shared" si="11"/>
        <v>10130000</v>
      </c>
    </row>
    <row r="22">
      <c r="A22" s="3" t="s">
        <v>47</v>
      </c>
      <c r="B22" s="19"/>
      <c r="C22" s="19">
        <v>144000.0</v>
      </c>
      <c r="D22" s="19">
        <v>867000.0</v>
      </c>
      <c r="E22" s="19">
        <v>3520000.0</v>
      </c>
      <c r="F22" s="19">
        <f>3042000-E22-D22-C22</f>
        <v>-1489000</v>
      </c>
      <c r="G22" s="19">
        <v>0.0</v>
      </c>
      <c r="H22" s="19">
        <v>1130000.0</v>
      </c>
      <c r="I22" s="19">
        <v>3534000.0</v>
      </c>
      <c r="J22" s="19">
        <f>1126000-I22-H22-G22</f>
        <v>-3538000</v>
      </c>
      <c r="K22" s="125"/>
      <c r="L22" s="19"/>
      <c r="M22" s="19"/>
      <c r="N22" s="19"/>
      <c r="O22" s="19"/>
      <c r="P22" s="19"/>
      <c r="Q22" s="19"/>
      <c r="R22" s="19">
        <v>3696000.0</v>
      </c>
      <c r="S22" s="19">
        <v>4074000.0</v>
      </c>
      <c r="T22" s="19">
        <v>9820000.0</v>
      </c>
      <c r="U22" s="19">
        <v>1869000.0</v>
      </c>
      <c r="V22" s="19">
        <v>3042000.0</v>
      </c>
      <c r="W22" s="20">
        <v>1126000.0</v>
      </c>
      <c r="X22" s="54">
        <f t="shared" si="11"/>
        <v>9820000</v>
      </c>
    </row>
    <row r="23">
      <c r="A23" s="129" t="s">
        <v>60</v>
      </c>
      <c r="B23" s="130">
        <f t="shared" ref="B23:J23" si="12">B17++B18+B19+B20+B21+B22</f>
        <v>0</v>
      </c>
      <c r="C23" s="130">
        <f t="shared" si="12"/>
        <v>733000</v>
      </c>
      <c r="D23" s="130">
        <f t="shared" si="12"/>
        <v>22088000</v>
      </c>
      <c r="E23" s="130">
        <f t="shared" si="12"/>
        <v>185159000</v>
      </c>
      <c r="F23" s="130">
        <f t="shared" si="12"/>
        <v>150571000</v>
      </c>
      <c r="G23" s="130">
        <f t="shared" si="12"/>
        <v>197953000</v>
      </c>
      <c r="H23" s="130">
        <f t="shared" si="12"/>
        <v>288961000</v>
      </c>
      <c r="I23" s="130">
        <f t="shared" si="12"/>
        <v>663985000</v>
      </c>
      <c r="J23" s="130">
        <f t="shared" si="12"/>
        <v>452243000</v>
      </c>
      <c r="K23" s="132"/>
      <c r="L23" s="131">
        <f t="shared" ref="L23:W23" si="13">L17++L18+L19+L20+L21+L22</f>
        <v>0</v>
      </c>
      <c r="M23" s="131">
        <f t="shared" si="13"/>
        <v>0</v>
      </c>
      <c r="N23" s="131">
        <f t="shared" si="13"/>
        <v>0</v>
      </c>
      <c r="O23" s="131">
        <f t="shared" si="13"/>
        <v>0</v>
      </c>
      <c r="P23" s="131">
        <f t="shared" si="13"/>
        <v>0</v>
      </c>
      <c r="Q23" s="131">
        <f t="shared" si="13"/>
        <v>0</v>
      </c>
      <c r="R23" s="131">
        <f t="shared" si="13"/>
        <v>20059000</v>
      </c>
      <c r="S23" s="131">
        <f t="shared" si="13"/>
        <v>-9849000</v>
      </c>
      <c r="T23" s="131">
        <f t="shared" si="13"/>
        <v>166015000</v>
      </c>
      <c r="U23" s="131">
        <f t="shared" si="13"/>
        <v>998553000</v>
      </c>
      <c r="V23" s="131">
        <f t="shared" si="13"/>
        <v>349971000</v>
      </c>
      <c r="W23" s="137">
        <f t="shared" si="13"/>
        <v>1603142000</v>
      </c>
      <c r="X23" s="134">
        <f>X17-SUM(X18:X22)</f>
        <v>281359700</v>
      </c>
      <c r="Y23" s="98"/>
    </row>
    <row r="24">
      <c r="A24" s="3" t="s">
        <v>61</v>
      </c>
      <c r="B24" s="19"/>
      <c r="C24" s="19">
        <v>322000.0</v>
      </c>
      <c r="D24" s="19">
        <v>5540000.0</v>
      </c>
      <c r="E24" s="19">
        <v>3.8796E7</v>
      </c>
      <c r="F24" s="54">
        <f>83689000-E24-D24-C24</f>
        <v>39031000</v>
      </c>
      <c r="G24" s="19">
        <v>4.8363E7</v>
      </c>
      <c r="H24" s="19">
        <v>7.0602E7</v>
      </c>
      <c r="I24" s="19">
        <v>1.54876E8</v>
      </c>
      <c r="J24" s="19">
        <f>384910000-I24-H24-G24</f>
        <v>111069000</v>
      </c>
      <c r="K24" s="125"/>
      <c r="L24" s="19"/>
      <c r="M24" s="19"/>
      <c r="N24" s="19"/>
      <c r="O24" s="19"/>
      <c r="P24" s="19"/>
      <c r="Q24" s="19"/>
      <c r="R24" s="19">
        <v>1731000.0</v>
      </c>
      <c r="S24" s="19">
        <v>-1.2009E7</v>
      </c>
      <c r="T24" s="19">
        <v>3.3574E7</v>
      </c>
      <c r="U24" s="19">
        <v>2.41818E8</v>
      </c>
      <c r="V24" s="19">
        <v>8.3689E7</v>
      </c>
      <c r="W24" s="20">
        <v>3.8491E8</v>
      </c>
      <c r="X24" s="19">
        <f>(T24/T23)*X23</f>
        <v>56900705.16</v>
      </c>
    </row>
    <row r="25">
      <c r="A25" s="129" t="s">
        <v>62</v>
      </c>
      <c r="B25" s="131"/>
      <c r="C25" s="131">
        <f t="shared" ref="C25:J25" si="14">C23-C24</f>
        <v>411000</v>
      </c>
      <c r="D25" s="131">
        <f t="shared" si="14"/>
        <v>16548000</v>
      </c>
      <c r="E25" s="131">
        <f t="shared" si="14"/>
        <v>146363000</v>
      </c>
      <c r="F25" s="131">
        <f t="shared" si="14"/>
        <v>111540000</v>
      </c>
      <c r="G25" s="131">
        <f t="shared" si="14"/>
        <v>149590000</v>
      </c>
      <c r="H25" s="131">
        <f t="shared" si="14"/>
        <v>218359000</v>
      </c>
      <c r="I25" s="131">
        <f t="shared" si="14"/>
        <v>509109000</v>
      </c>
      <c r="J25" s="131">
        <f t="shared" si="14"/>
        <v>341174000</v>
      </c>
      <c r="K25" s="145"/>
      <c r="L25" s="131">
        <f t="shared" ref="L25:X25" si="15">L23-L24</f>
        <v>0</v>
      </c>
      <c r="M25" s="131">
        <f t="shared" si="15"/>
        <v>0</v>
      </c>
      <c r="N25" s="131">
        <f t="shared" si="15"/>
        <v>0</v>
      </c>
      <c r="O25" s="131">
        <f t="shared" si="15"/>
        <v>0</v>
      </c>
      <c r="P25" s="131">
        <f t="shared" si="15"/>
        <v>0</v>
      </c>
      <c r="Q25" s="131">
        <f t="shared" si="15"/>
        <v>0</v>
      </c>
      <c r="R25" s="131">
        <f t="shared" si="15"/>
        <v>18328000</v>
      </c>
      <c r="S25" s="131">
        <f t="shared" si="15"/>
        <v>2160000</v>
      </c>
      <c r="T25" s="131">
        <f t="shared" si="15"/>
        <v>132441000</v>
      </c>
      <c r="U25" s="131">
        <f t="shared" si="15"/>
        <v>756735000</v>
      </c>
      <c r="V25" s="131">
        <f t="shared" si="15"/>
        <v>266282000</v>
      </c>
      <c r="W25" s="137">
        <f t="shared" si="15"/>
        <v>1218232000</v>
      </c>
      <c r="X25" s="134">
        <f t="shared" si="15"/>
        <v>224458994.8</v>
      </c>
      <c r="Y25" s="98"/>
    </row>
    <row r="26">
      <c r="A26" s="3" t="s">
        <v>63</v>
      </c>
      <c r="B26" s="146"/>
      <c r="C26" s="146" t="str">
        <f t="shared" ref="C26:J26" si="16">C25/C27</f>
        <v>#DIV/0!</v>
      </c>
      <c r="D26" s="146" t="str">
        <f t="shared" si="16"/>
        <v>#DIV/0!</v>
      </c>
      <c r="E26" s="146">
        <f t="shared" si="16"/>
        <v>3.014685891</v>
      </c>
      <c r="F26" s="146">
        <f t="shared" si="16"/>
        <v>2.274527055</v>
      </c>
      <c r="G26" s="146">
        <f t="shared" si="16"/>
        <v>3.050579667</v>
      </c>
      <c r="H26" s="146">
        <f t="shared" si="16"/>
        <v>4.453117418</v>
      </c>
      <c r="I26" s="146">
        <f t="shared" si="16"/>
        <v>10.38024441</v>
      </c>
      <c r="J26" s="146">
        <f t="shared" si="16"/>
        <v>7.034881423</v>
      </c>
      <c r="K26" s="147"/>
      <c r="L26" s="54">
        <f t="shared" ref="L26:W26" si="17">L25/L27</f>
        <v>0</v>
      </c>
      <c r="M26" s="54">
        <f t="shared" si="17"/>
        <v>0</v>
      </c>
      <c r="N26" s="54">
        <f t="shared" si="17"/>
        <v>0</v>
      </c>
      <c r="O26" s="54">
        <f t="shared" si="17"/>
        <v>0</v>
      </c>
      <c r="P26" s="54">
        <f t="shared" si="17"/>
        <v>0</v>
      </c>
      <c r="Q26" s="54">
        <f t="shared" si="17"/>
        <v>0</v>
      </c>
      <c r="R26" s="54">
        <f t="shared" si="17"/>
        <v>0.3778969072</v>
      </c>
      <c r="S26" s="54">
        <f t="shared" si="17"/>
        <v>0.04421699079</v>
      </c>
      <c r="T26" s="54">
        <f t="shared" si="17"/>
        <v>2.724002468</v>
      </c>
      <c r="U26" s="54">
        <f t="shared" si="17"/>
        <v>15.54189772</v>
      </c>
      <c r="V26" s="54">
        <f t="shared" si="17"/>
        <v>5.430030601</v>
      </c>
      <c r="W26" s="55">
        <f t="shared" si="17"/>
        <v>25.1194923</v>
      </c>
    </row>
    <row r="27">
      <c r="A27" s="3" t="s">
        <v>64</v>
      </c>
      <c r="B27" s="146"/>
      <c r="C27" s="146" t="str">
        <f>Main!C4</f>
        <v/>
      </c>
      <c r="D27" s="146" t="str">
        <f>Main!D4</f>
        <v/>
      </c>
      <c r="E27" s="146">
        <f>Main!E4</f>
        <v>48550000</v>
      </c>
      <c r="F27" s="146">
        <f>Main!F4</f>
        <v>49038766</v>
      </c>
      <c r="G27" s="146">
        <f>Main!G4</f>
        <v>49036582</v>
      </c>
      <c r="H27" s="146">
        <f>Main!H4</f>
        <v>49035087</v>
      </c>
      <c r="I27" s="146">
        <f>Main!I4</f>
        <v>49045955</v>
      </c>
      <c r="J27" s="146">
        <f>Main!J4</f>
        <v>48497477</v>
      </c>
      <c r="K27" s="147"/>
      <c r="L27" s="54">
        <f>Main!L4</f>
        <v>48000000</v>
      </c>
      <c r="M27" s="54">
        <f>Main!M4</f>
        <v>48400000</v>
      </c>
      <c r="N27" s="54">
        <f>Main!N4</f>
        <v>48400000</v>
      </c>
      <c r="O27" s="54">
        <f>Main!O4</f>
        <v>48360000</v>
      </c>
      <c r="P27" s="54">
        <f>Main!P4</f>
        <v>48470000</v>
      </c>
      <c r="Q27" s="54">
        <f>Main!Q4</f>
        <v>48590000</v>
      </c>
      <c r="R27" s="54">
        <f>Main!R4</f>
        <v>48500000</v>
      </c>
      <c r="S27" s="54">
        <f>Main!S4</f>
        <v>48850000</v>
      </c>
      <c r="T27" s="54">
        <f>Main!T4</f>
        <v>48620000</v>
      </c>
      <c r="U27" s="54">
        <f>Main!U4</f>
        <v>48690000</v>
      </c>
      <c r="V27" s="54">
        <f>Main!V4</f>
        <v>49038766</v>
      </c>
      <c r="W27" s="55">
        <f>Main!W4</f>
        <v>48497477</v>
      </c>
    </row>
    <row r="28">
      <c r="B28" s="54"/>
      <c r="C28" s="54"/>
      <c r="D28" s="54"/>
      <c r="E28" s="54"/>
      <c r="F28" s="54"/>
      <c r="G28" s="54"/>
      <c r="H28" s="54"/>
      <c r="I28" s="54"/>
      <c r="J28" s="54"/>
      <c r="K28" s="147"/>
      <c r="S28" s="54"/>
      <c r="T28" s="54"/>
      <c r="U28" s="54"/>
      <c r="V28" s="54"/>
      <c r="W28" s="55"/>
    </row>
    <row r="29">
      <c r="A29" s="148" t="s">
        <v>65</v>
      </c>
      <c r="B29" s="149"/>
      <c r="C29" s="149">
        <f t="shared" ref="C29:J29" si="18">(C10-B10)/ABS(B10)</f>
        <v>-0.3330080734</v>
      </c>
      <c r="D29" s="149">
        <f t="shared" si="18"/>
        <v>0.1390896583</v>
      </c>
      <c r="E29" s="149">
        <f t="shared" si="18"/>
        <v>0.3437123734</v>
      </c>
      <c r="F29" s="149">
        <f t="shared" si="18"/>
        <v>-0.08859212944</v>
      </c>
      <c r="G29" s="149">
        <f t="shared" si="18"/>
        <v>0.2264115021</v>
      </c>
      <c r="H29" s="149">
        <f t="shared" si="18"/>
        <v>0.2147935221</v>
      </c>
      <c r="I29" s="149">
        <f t="shared" si="18"/>
        <v>0.4849984969</v>
      </c>
      <c r="J29" s="149">
        <f t="shared" si="18"/>
        <v>-0.2215068933</v>
      </c>
      <c r="K29" s="150"/>
      <c r="L29" s="149" t="str">
        <f t="shared" ref="L29:W29" si="19">(L10-K10)/ABS(K10)</f>
        <v>#DIV/0!</v>
      </c>
      <c r="M29" s="149" t="str">
        <f t="shared" si="19"/>
        <v>#DIV/0!</v>
      </c>
      <c r="N29" s="149" t="str">
        <f t="shared" si="19"/>
        <v>#DIV/0!</v>
      </c>
      <c r="O29" s="149" t="str">
        <f t="shared" si="19"/>
        <v>#DIV/0!</v>
      </c>
      <c r="P29" s="149" t="str">
        <f t="shared" si="19"/>
        <v>#DIV/0!</v>
      </c>
      <c r="Q29" s="149" t="str">
        <f t="shared" si="19"/>
        <v>#DIV/0!</v>
      </c>
      <c r="R29" s="149" t="str">
        <f t="shared" si="19"/>
        <v>#DIV/0!</v>
      </c>
      <c r="S29" s="149">
        <f t="shared" si="19"/>
        <v>-0.001939910137</v>
      </c>
      <c r="T29" s="149">
        <f t="shared" si="19"/>
        <v>0.317402614</v>
      </c>
      <c r="U29" s="149">
        <f t="shared" si="19"/>
        <v>0.7703632596</v>
      </c>
      <c r="V29" s="149">
        <f t="shared" si="19"/>
        <v>-0.2637370531</v>
      </c>
      <c r="W29" s="151">
        <f t="shared" si="19"/>
        <v>0.8398402205</v>
      </c>
    </row>
    <row r="30">
      <c r="A30" s="88" t="s">
        <v>66</v>
      </c>
      <c r="B30" s="62"/>
      <c r="C30" s="62">
        <f t="shared" ref="C30:J30" si="20">C12/C10</f>
        <v>0.09890844335</v>
      </c>
      <c r="D30" s="62">
        <f t="shared" si="20"/>
        <v>0.1741668164</v>
      </c>
      <c r="E30" s="62">
        <f t="shared" si="20"/>
        <v>0.3108796204</v>
      </c>
      <c r="F30" s="62">
        <f t="shared" si="20"/>
        <v>0.2909475662</v>
      </c>
      <c r="G30" s="62">
        <f t="shared" si="20"/>
        <v>0.3145783468</v>
      </c>
      <c r="H30" s="62">
        <f t="shared" si="20"/>
        <v>0.3729473295</v>
      </c>
      <c r="I30" s="62">
        <f t="shared" si="20"/>
        <v>0.505129842</v>
      </c>
      <c r="J30" s="62">
        <f t="shared" si="20"/>
        <v>0.4815894054</v>
      </c>
      <c r="K30" s="150"/>
      <c r="L30" s="62" t="str">
        <f t="shared" ref="L30:W30" si="21">L12/L10</f>
        <v>#DIV/0!</v>
      </c>
      <c r="M30" s="62" t="str">
        <f t="shared" si="21"/>
        <v>#DIV/0!</v>
      </c>
      <c r="N30" s="62" t="str">
        <f t="shared" si="21"/>
        <v>#DIV/0!</v>
      </c>
      <c r="O30" s="62" t="str">
        <f t="shared" si="21"/>
        <v>#DIV/0!</v>
      </c>
      <c r="P30" s="62" t="str">
        <f t="shared" si="21"/>
        <v>#DIV/0!</v>
      </c>
      <c r="Q30" s="62" t="str">
        <f t="shared" si="21"/>
        <v>#DIV/0!</v>
      </c>
      <c r="R30" s="62">
        <f t="shared" si="21"/>
        <v>0.132869787</v>
      </c>
      <c r="S30" s="62">
        <f t="shared" si="21"/>
        <v>0.1190975154</v>
      </c>
      <c r="T30" s="62">
        <f t="shared" si="21"/>
        <v>0.1896617016</v>
      </c>
      <c r="U30" s="62">
        <f t="shared" si="21"/>
        <v>0.3802843224</v>
      </c>
      <c r="V30" s="62">
        <f t="shared" si="21"/>
        <v>0.2294772632</v>
      </c>
      <c r="W30" s="63">
        <f t="shared" si="21"/>
        <v>0.4342878797</v>
      </c>
    </row>
    <row r="31">
      <c r="A31" s="88" t="s">
        <v>67</v>
      </c>
      <c r="B31" s="62"/>
      <c r="C31" s="62">
        <f t="shared" ref="C31:J31" si="22">C17/C10</f>
        <v>-0.01471010833</v>
      </c>
      <c r="D31" s="62">
        <f t="shared" si="22"/>
        <v>0.02720388966</v>
      </c>
      <c r="E31" s="62">
        <f t="shared" si="22"/>
        <v>0.2315354243</v>
      </c>
      <c r="F31" s="62">
        <f t="shared" si="22"/>
        <v>0.2218951948</v>
      </c>
      <c r="G31" s="62">
        <f t="shared" si="22"/>
        <v>0.2378978229</v>
      </c>
      <c r="H31" s="62">
        <f t="shared" si="22"/>
        <v>0.2912636919</v>
      </c>
      <c r="I31" s="62">
        <f t="shared" si="22"/>
        <v>0.4490602637</v>
      </c>
      <c r="J31" s="62">
        <f t="shared" si="22"/>
        <v>0.3940486999</v>
      </c>
      <c r="K31" s="150"/>
      <c r="L31" s="62" t="str">
        <f t="shared" ref="L31:W31" si="23">L17/L10</f>
        <v>#DIV/0!</v>
      </c>
      <c r="M31" s="62" t="str">
        <f t="shared" si="23"/>
        <v>#DIV/0!</v>
      </c>
      <c r="N31" s="62" t="str">
        <f t="shared" si="23"/>
        <v>#DIV/0!</v>
      </c>
      <c r="O31" s="62" t="str">
        <f t="shared" si="23"/>
        <v>#DIV/0!</v>
      </c>
      <c r="P31" s="62" t="str">
        <f t="shared" si="23"/>
        <v>#DIV/0!</v>
      </c>
      <c r="Q31" s="62" t="str">
        <f t="shared" si="23"/>
        <v>#DIV/0!</v>
      </c>
      <c r="R31" s="62">
        <f t="shared" si="23"/>
        <v>0.0009388809929</v>
      </c>
      <c r="S31" s="62">
        <f t="shared" si="23"/>
        <v>-0.01946942409</v>
      </c>
      <c r="T31" s="62">
        <f t="shared" si="23"/>
        <v>0.0807676747</v>
      </c>
      <c r="U31" s="62">
        <f t="shared" si="23"/>
        <v>0.3075839969</v>
      </c>
      <c r="V31" s="62">
        <f t="shared" si="23"/>
        <v>0.130567426</v>
      </c>
      <c r="W31" s="63">
        <f t="shared" si="23"/>
        <v>0.3605303756</v>
      </c>
    </row>
    <row r="32">
      <c r="A32" s="91" t="s">
        <v>68</v>
      </c>
      <c r="B32" s="66"/>
      <c r="C32" s="66">
        <f t="shared" ref="C32:J32" si="24">C25/C10</f>
        <v>0.0008947542582</v>
      </c>
      <c r="D32" s="66">
        <f t="shared" si="24"/>
        <v>0.03162638514</v>
      </c>
      <c r="E32" s="66">
        <f t="shared" si="24"/>
        <v>0.2081752186</v>
      </c>
      <c r="F32" s="66">
        <f t="shared" si="24"/>
        <v>0.1740666584</v>
      </c>
      <c r="G32" s="66">
        <f t="shared" si="24"/>
        <v>0.1903493067</v>
      </c>
      <c r="H32" s="66">
        <f t="shared" si="24"/>
        <v>0.2287269646</v>
      </c>
      <c r="I32" s="66">
        <f t="shared" si="24"/>
        <v>0.35911292</v>
      </c>
      <c r="J32" s="66">
        <f t="shared" si="24"/>
        <v>0.3091301834</v>
      </c>
      <c r="K32" s="150"/>
      <c r="L32" s="66" t="str">
        <f t="shared" ref="L32:W32" si="25">L25/L10</f>
        <v>#DIV/0!</v>
      </c>
      <c r="M32" s="66" t="str">
        <f t="shared" si="25"/>
        <v>#DIV/0!</v>
      </c>
      <c r="N32" s="66" t="str">
        <f t="shared" si="25"/>
        <v>#DIV/0!</v>
      </c>
      <c r="O32" s="66" t="str">
        <f t="shared" si="25"/>
        <v>#DIV/0!</v>
      </c>
      <c r="P32" s="66" t="str">
        <f t="shared" si="25"/>
        <v>#DIV/0!</v>
      </c>
      <c r="Q32" s="66" t="str">
        <f t="shared" si="25"/>
        <v>#DIV/0!</v>
      </c>
      <c r="R32" s="66">
        <f t="shared" si="25"/>
        <v>0.01356013462</v>
      </c>
      <c r="S32" s="66">
        <f t="shared" si="25"/>
        <v>0.001601201494</v>
      </c>
      <c r="T32" s="66">
        <f t="shared" si="25"/>
        <v>0.07452400151</v>
      </c>
      <c r="U32" s="66">
        <f t="shared" si="25"/>
        <v>0.240522189</v>
      </c>
      <c r="V32" s="66">
        <f t="shared" si="25"/>
        <v>0.1149529688</v>
      </c>
      <c r="W32" s="67">
        <f t="shared" si="25"/>
        <v>0.2858434707</v>
      </c>
    </row>
    <row r="33">
      <c r="A33" s="152" t="s">
        <v>69</v>
      </c>
      <c r="B33" s="153"/>
      <c r="C33" s="66"/>
      <c r="D33" s="66">
        <f t="shared" ref="D33:J33" si="26">(D25-C25)/ABS(C25)</f>
        <v>39.26277372</v>
      </c>
      <c r="E33" s="66">
        <f t="shared" si="26"/>
        <v>7.844754653</v>
      </c>
      <c r="F33" s="66">
        <f t="shared" si="26"/>
        <v>-0.2379221525</v>
      </c>
      <c r="G33" s="66">
        <f t="shared" si="26"/>
        <v>0.3411332257</v>
      </c>
      <c r="H33" s="66">
        <f t="shared" si="26"/>
        <v>0.4597165586</v>
      </c>
      <c r="I33" s="66">
        <f t="shared" si="26"/>
        <v>1.331522859</v>
      </c>
      <c r="J33" s="66">
        <f t="shared" si="26"/>
        <v>-0.3298605996</v>
      </c>
      <c r="K33" s="147"/>
      <c r="L33" s="66" t="str">
        <f t="shared" ref="L33:W33" si="27">(L25-K25)/ABS(K25)</f>
        <v>#DIV/0!</v>
      </c>
      <c r="M33" s="66" t="str">
        <f t="shared" si="27"/>
        <v>#DIV/0!</v>
      </c>
      <c r="N33" s="66" t="str">
        <f t="shared" si="27"/>
        <v>#DIV/0!</v>
      </c>
      <c r="O33" s="66" t="str">
        <f t="shared" si="27"/>
        <v>#DIV/0!</v>
      </c>
      <c r="P33" s="66" t="str">
        <f t="shared" si="27"/>
        <v>#DIV/0!</v>
      </c>
      <c r="Q33" s="66" t="str">
        <f t="shared" si="27"/>
        <v>#DIV/0!</v>
      </c>
      <c r="R33" s="66" t="str">
        <f t="shared" si="27"/>
        <v>#DIV/0!</v>
      </c>
      <c r="S33" s="66">
        <f t="shared" si="27"/>
        <v>-0.8821475338</v>
      </c>
      <c r="T33" s="66">
        <f t="shared" si="27"/>
        <v>60.31527778</v>
      </c>
      <c r="U33" s="66">
        <f t="shared" si="27"/>
        <v>4.713751784</v>
      </c>
      <c r="V33" s="66">
        <f t="shared" si="27"/>
        <v>-0.6481172405</v>
      </c>
      <c r="W33" s="67">
        <f t="shared" si="27"/>
        <v>3.574969393</v>
      </c>
    </row>
    <row r="34">
      <c r="K34" s="147"/>
      <c r="S34" s="54"/>
      <c r="T34" s="54"/>
      <c r="U34" s="54"/>
      <c r="V34" s="54"/>
      <c r="W34" s="55"/>
    </row>
    <row r="35">
      <c r="A35" s="154"/>
      <c r="B35" s="154"/>
      <c r="C35" s="154"/>
      <c r="D35" s="154"/>
      <c r="E35" s="154"/>
      <c r="F35" s="154"/>
      <c r="G35" s="154"/>
      <c r="H35" s="154"/>
      <c r="I35" s="154"/>
      <c r="J35" s="154"/>
      <c r="K35" s="147"/>
      <c r="L35" s="154"/>
      <c r="M35" s="154"/>
      <c r="N35" s="154"/>
      <c r="O35" s="154"/>
      <c r="P35" s="154"/>
      <c r="Q35" s="154"/>
      <c r="R35" s="154"/>
      <c r="S35" s="155"/>
      <c r="T35" s="155"/>
      <c r="U35" s="155"/>
      <c r="V35" s="155"/>
      <c r="W35" s="156"/>
    </row>
    <row r="36">
      <c r="A36" s="95" t="s">
        <v>70</v>
      </c>
      <c r="B36" s="157"/>
      <c r="C36" s="157">
        <v>411000.0</v>
      </c>
      <c r="D36" s="157">
        <v>1.6989E7</v>
      </c>
      <c r="E36" s="157">
        <v>1.63352E8</v>
      </c>
      <c r="F36" s="157"/>
      <c r="G36" s="157">
        <v>1.4959E8</v>
      </c>
      <c r="H36" s="157">
        <v>3.67949E8</v>
      </c>
      <c r="I36" s="157">
        <v>8.76102E8</v>
      </c>
      <c r="J36" s="157"/>
      <c r="K36" s="132"/>
      <c r="L36" s="157"/>
      <c r="M36" s="157"/>
      <c r="N36" s="157"/>
      <c r="O36" s="157"/>
      <c r="P36" s="157"/>
      <c r="Q36" s="157"/>
      <c r="R36" s="157">
        <v>1.8328E7</v>
      </c>
      <c r="S36" s="157">
        <v>2060000.0</v>
      </c>
      <c r="T36" s="157">
        <v>1.32441E8</v>
      </c>
      <c r="U36" s="157">
        <v>7.56732E8</v>
      </c>
      <c r="V36" s="157">
        <v>2.76282E8</v>
      </c>
      <c r="W36" s="158">
        <v>1.218232E9</v>
      </c>
      <c r="X36" s="54">
        <f>X25</f>
        <v>224458994.8</v>
      </c>
    </row>
    <row r="37">
      <c r="A37" s="3" t="s">
        <v>71</v>
      </c>
      <c r="B37" s="19"/>
      <c r="C37" s="19">
        <v>1.934E7</v>
      </c>
      <c r="D37" s="19">
        <v>3.9394E7</v>
      </c>
      <c r="E37" s="19">
        <v>5.9151E7</v>
      </c>
      <c r="F37" s="19"/>
      <c r="G37" s="19">
        <v>2.2048E7</v>
      </c>
      <c r="H37" s="19">
        <v>4.5818E7</v>
      </c>
      <c r="I37" s="19">
        <v>6.943E7</v>
      </c>
      <c r="J37" s="19"/>
      <c r="K37" s="125"/>
      <c r="L37" s="19"/>
      <c r="M37" s="19"/>
      <c r="N37" s="19"/>
      <c r="O37" s="19"/>
      <c r="P37" s="19"/>
      <c r="Q37" s="19"/>
      <c r="R37" s="19">
        <v>-5.8103E7</v>
      </c>
      <c r="S37" s="19">
        <v>5.9477E7</v>
      </c>
      <c r="T37" s="19">
        <v>6.8395E7</v>
      </c>
      <c r="U37" s="19">
        <v>7.2234E7</v>
      </c>
      <c r="V37" s="19">
        <v>8.0241E7</v>
      </c>
      <c r="W37" s="20">
        <v>9.4021E7</v>
      </c>
      <c r="X37" s="19">
        <v>9.4021E7</v>
      </c>
    </row>
    <row r="38">
      <c r="A38" s="3" t="s">
        <v>72</v>
      </c>
      <c r="B38" s="19"/>
      <c r="C38" s="19">
        <v>322000.0</v>
      </c>
      <c r="D38" s="19">
        <v>5862000.0</v>
      </c>
      <c r="E38" s="19">
        <v>1.3488E7</v>
      </c>
      <c r="F38" s="19"/>
      <c r="G38" s="19">
        <v>-1.4605E7</v>
      </c>
      <c r="H38" s="19">
        <v>-1.3825E7</v>
      </c>
      <c r="I38" s="19">
        <v>-1.4749E7</v>
      </c>
      <c r="J38" s="19"/>
      <c r="K38" s="125"/>
      <c r="L38" s="54"/>
      <c r="M38" s="54"/>
      <c r="N38" s="54"/>
      <c r="O38" s="54"/>
      <c r="P38" s="54"/>
      <c r="Q38" s="54"/>
      <c r="R38" s="54"/>
      <c r="S38" s="54"/>
      <c r="T38" s="54"/>
      <c r="U38" s="54"/>
      <c r="V38" s="54"/>
      <c r="W38" s="55"/>
      <c r="X38" s="54"/>
    </row>
    <row r="39">
      <c r="A39" s="3" t="s">
        <v>73</v>
      </c>
      <c r="B39" s="19"/>
      <c r="C39" s="19">
        <v>3612000.0</v>
      </c>
      <c r="D39" s="19">
        <v>1.1407E7</v>
      </c>
      <c r="E39" s="19">
        <v>1613000.0</v>
      </c>
      <c r="F39" s="19"/>
      <c r="G39" s="19">
        <v>-3.9581E7</v>
      </c>
      <c r="H39" s="19">
        <v>-1.59791E8</v>
      </c>
      <c r="I39" s="19">
        <v>-1.19057E8</v>
      </c>
      <c r="J39" s="19"/>
      <c r="K39" s="125"/>
      <c r="L39" s="54"/>
      <c r="M39" s="54"/>
      <c r="N39" s="54"/>
      <c r="O39" s="54"/>
      <c r="P39" s="54"/>
      <c r="Q39" s="54"/>
      <c r="R39" s="54"/>
      <c r="S39" s="54"/>
      <c r="T39" s="54"/>
      <c r="U39" s="54"/>
      <c r="V39" s="54"/>
      <c r="W39" s="55"/>
      <c r="X39" s="54"/>
    </row>
    <row r="40">
      <c r="A40" s="129" t="s">
        <v>74</v>
      </c>
      <c r="B40" s="131"/>
      <c r="C40" s="131">
        <f t="shared" ref="C40:E40" si="28">SUM(C36:C39)</f>
        <v>23685000</v>
      </c>
      <c r="D40" s="131">
        <f t="shared" si="28"/>
        <v>73652000</v>
      </c>
      <c r="E40" s="131">
        <f t="shared" si="28"/>
        <v>237604000</v>
      </c>
      <c r="F40" s="131"/>
      <c r="G40" s="131">
        <f t="shared" ref="G40:J40" si="29">SUM(G36:G39)</f>
        <v>117452000</v>
      </c>
      <c r="H40" s="131">
        <f t="shared" si="29"/>
        <v>240151000</v>
      </c>
      <c r="I40" s="131">
        <f t="shared" si="29"/>
        <v>811726000</v>
      </c>
      <c r="J40" s="131">
        <f t="shared" si="29"/>
        <v>0</v>
      </c>
      <c r="K40" s="136"/>
      <c r="L40" s="130"/>
      <c r="M40" s="130"/>
      <c r="N40" s="130"/>
      <c r="O40" s="130"/>
      <c r="P40" s="130"/>
      <c r="Q40" s="130"/>
      <c r="R40" s="130">
        <v>7.3609E7</v>
      </c>
      <c r="S40" s="130">
        <v>2.6136E7</v>
      </c>
      <c r="T40" s="130">
        <v>1.26206E8</v>
      </c>
      <c r="U40" s="130">
        <v>8.6301E8</v>
      </c>
      <c r="V40" s="130">
        <v>4.51398E8</v>
      </c>
      <c r="W40" s="133">
        <v>1.224734E9</v>
      </c>
      <c r="X40" s="134"/>
      <c r="Y40" s="98"/>
    </row>
    <row r="41">
      <c r="B41" s="54"/>
      <c r="C41" s="54"/>
      <c r="D41" s="54"/>
      <c r="E41" s="54"/>
      <c r="F41" s="54"/>
      <c r="G41" s="54"/>
      <c r="H41" s="54"/>
      <c r="I41" s="54"/>
      <c r="J41" s="54"/>
      <c r="K41" s="140"/>
      <c r="L41" s="54"/>
      <c r="M41" s="54"/>
      <c r="N41" s="54"/>
      <c r="O41" s="54"/>
      <c r="P41" s="54"/>
      <c r="Q41" s="54"/>
      <c r="R41" s="54"/>
      <c r="S41" s="54"/>
      <c r="T41" s="54"/>
      <c r="U41" s="54"/>
      <c r="V41" s="54"/>
      <c r="W41" s="55"/>
      <c r="X41" s="54"/>
    </row>
    <row r="42">
      <c r="A42" s="3" t="s">
        <v>75</v>
      </c>
      <c r="B42" s="19"/>
      <c r="C42" s="19">
        <v>-2.8296E7</v>
      </c>
      <c r="D42" s="19">
        <v>-4.3569E7</v>
      </c>
      <c r="E42" s="19">
        <v>-2.43518E8</v>
      </c>
      <c r="F42" s="19"/>
      <c r="G42" s="19">
        <v>-2.02196E8</v>
      </c>
      <c r="H42" s="19">
        <v>-5.01567E8</v>
      </c>
      <c r="I42" s="19">
        <v>-8.1313E8</v>
      </c>
      <c r="J42" s="19"/>
      <c r="K42" s="125"/>
      <c r="L42" s="54"/>
      <c r="M42" s="54"/>
      <c r="N42" s="54"/>
      <c r="O42" s="54"/>
      <c r="P42" s="54"/>
      <c r="Q42" s="54"/>
      <c r="R42" s="54"/>
      <c r="S42" s="54"/>
      <c r="T42" s="54"/>
      <c r="U42" s="54"/>
      <c r="V42" s="54"/>
      <c r="W42" s="55"/>
      <c r="X42" s="54"/>
    </row>
    <row r="43">
      <c r="A43" s="3" t="s">
        <v>76</v>
      </c>
      <c r="B43" s="19"/>
      <c r="C43" s="19">
        <v>1.35768E8</v>
      </c>
      <c r="D43" s="19">
        <v>1.96104E8</v>
      </c>
      <c r="E43" s="19">
        <v>2.73915E8</v>
      </c>
      <c r="F43" s="19"/>
      <c r="G43" s="19">
        <v>2.09673E8</v>
      </c>
      <c r="H43" s="19">
        <v>4.265E8</v>
      </c>
      <c r="I43" s="19">
        <v>6.54392E8</v>
      </c>
      <c r="J43" s="19"/>
      <c r="K43" s="125"/>
      <c r="L43" s="54"/>
      <c r="M43" s="54"/>
      <c r="N43" s="54"/>
      <c r="O43" s="54"/>
      <c r="P43" s="54"/>
      <c r="Q43" s="54"/>
      <c r="R43" s="54"/>
      <c r="S43" s="54"/>
      <c r="T43" s="54"/>
      <c r="U43" s="54"/>
      <c r="V43" s="54"/>
      <c r="W43" s="55"/>
      <c r="X43" s="54"/>
    </row>
    <row r="44">
      <c r="A44" s="3" t="s">
        <v>77</v>
      </c>
      <c r="B44" s="19"/>
      <c r="C44" s="19">
        <v>0.0</v>
      </c>
      <c r="D44" s="19">
        <v>-363000.0</v>
      </c>
      <c r="E44" s="19">
        <v>-363000.0</v>
      </c>
      <c r="F44" s="19"/>
      <c r="G44" s="19">
        <v>0.0</v>
      </c>
      <c r="H44" s="19">
        <v>0.0</v>
      </c>
      <c r="I44" s="19">
        <v>0.0</v>
      </c>
      <c r="J44" s="19"/>
      <c r="K44" s="125"/>
      <c r="L44" s="54"/>
      <c r="M44" s="54"/>
      <c r="N44" s="54"/>
      <c r="O44" s="54"/>
      <c r="P44" s="54"/>
      <c r="Q44" s="54"/>
      <c r="R44" s="54"/>
      <c r="S44" s="54"/>
      <c r="T44" s="54"/>
      <c r="U44" s="54"/>
      <c r="V44" s="54"/>
      <c r="W44" s="55"/>
      <c r="X44" s="54"/>
    </row>
    <row r="45">
      <c r="A45" s="3" t="s">
        <v>78</v>
      </c>
      <c r="B45" s="3"/>
      <c r="C45" s="3">
        <v>0.0</v>
      </c>
      <c r="D45" s="19">
        <v>0.0</v>
      </c>
      <c r="E45" s="19">
        <v>1000000.0</v>
      </c>
      <c r="F45" s="19"/>
      <c r="G45" s="19">
        <v>0.0</v>
      </c>
      <c r="H45" s="19">
        <v>750000.0</v>
      </c>
      <c r="I45" s="19">
        <v>1550000.0</v>
      </c>
      <c r="J45" s="19"/>
      <c r="K45" s="125"/>
      <c r="L45" s="54"/>
      <c r="M45" s="54"/>
      <c r="N45" s="54"/>
      <c r="O45" s="54"/>
      <c r="P45" s="54"/>
      <c r="Q45" s="54"/>
      <c r="R45" s="54"/>
      <c r="S45" s="54"/>
      <c r="T45" s="54"/>
      <c r="U45" s="54"/>
      <c r="V45" s="54"/>
      <c r="W45" s="55"/>
      <c r="X45" s="54"/>
    </row>
    <row r="46">
      <c r="A46" s="3" t="s">
        <v>79</v>
      </c>
      <c r="B46" s="3"/>
      <c r="C46" s="3">
        <v>0.0</v>
      </c>
      <c r="D46" s="19">
        <v>-5.3746E7</v>
      </c>
      <c r="E46" s="19">
        <v>-5.3746E7</v>
      </c>
      <c r="F46" s="19"/>
      <c r="G46" s="19">
        <v>-1.11521E8</v>
      </c>
      <c r="H46" s="19">
        <v>-1.11521E8</v>
      </c>
      <c r="I46" s="19">
        <v>-1.16193E8</v>
      </c>
      <c r="J46" s="19"/>
      <c r="K46" s="125"/>
      <c r="L46" s="54"/>
      <c r="M46" s="54"/>
      <c r="N46" s="54"/>
      <c r="O46" s="54"/>
      <c r="P46" s="54"/>
      <c r="Q46" s="54"/>
      <c r="R46" s="54"/>
      <c r="S46" s="54"/>
      <c r="T46" s="54"/>
      <c r="U46" s="54"/>
      <c r="V46" s="54"/>
      <c r="W46" s="55"/>
      <c r="X46" s="54"/>
    </row>
    <row r="47">
      <c r="A47" s="3" t="s">
        <v>80</v>
      </c>
      <c r="B47" s="19"/>
      <c r="C47" s="19">
        <v>-2.6666E7</v>
      </c>
      <c r="D47" s="19">
        <v>-6.5774E7</v>
      </c>
      <c r="E47" s="19">
        <v>-9.5969E7</v>
      </c>
      <c r="F47" s="19"/>
      <c r="G47" s="19">
        <v>-3.5773E7</v>
      </c>
      <c r="H47" s="19">
        <v>-6.5588E7</v>
      </c>
      <c r="I47" s="19">
        <v>-1.15395E8</v>
      </c>
      <c r="J47" s="19"/>
      <c r="K47" s="125"/>
      <c r="L47" s="19"/>
      <c r="M47" s="19"/>
      <c r="N47" s="19"/>
      <c r="O47" s="19"/>
      <c r="P47" s="19"/>
      <c r="Q47" s="19"/>
      <c r="R47" s="19">
        <v>-1.24178E8</v>
      </c>
      <c r="S47" s="19">
        <v>-9.5069E7</v>
      </c>
      <c r="T47" s="19">
        <v>-7.2399E7</v>
      </c>
      <c r="U47" s="19">
        <v>-1.36569E8</v>
      </c>
      <c r="V47" s="19">
        <v>-1.47116E8</v>
      </c>
      <c r="W47" s="20">
        <v>-1.61255E8</v>
      </c>
      <c r="X47" s="54"/>
    </row>
    <row r="48">
      <c r="A48" s="3" t="s">
        <v>81</v>
      </c>
      <c r="B48" s="19"/>
      <c r="C48" s="19">
        <v>74000.0</v>
      </c>
      <c r="D48" s="19">
        <v>150000.0</v>
      </c>
      <c r="E48" s="19">
        <v>243000.0</v>
      </c>
      <c r="F48" s="19"/>
      <c r="G48" s="19">
        <v>3946000.0</v>
      </c>
      <c r="H48" s="19">
        <v>4004000.0</v>
      </c>
      <c r="I48" s="19">
        <v>3650000.0</v>
      </c>
      <c r="J48" s="19"/>
      <c r="K48" s="125"/>
      <c r="L48" s="54"/>
      <c r="M48" s="54"/>
      <c r="N48" s="54"/>
      <c r="O48" s="54"/>
      <c r="P48" s="54"/>
      <c r="Q48" s="54"/>
      <c r="R48" s="54"/>
      <c r="S48" s="54"/>
      <c r="T48" s="54"/>
      <c r="U48" s="54"/>
      <c r="V48" s="54"/>
      <c r="W48" s="55"/>
      <c r="X48" s="54"/>
    </row>
    <row r="49">
      <c r="A49" s="129" t="s">
        <v>82</v>
      </c>
      <c r="B49" s="131"/>
      <c r="C49" s="131">
        <f t="shared" ref="C49:E49" si="30">SUM(C42:C48)</f>
        <v>80880000</v>
      </c>
      <c r="D49" s="131">
        <f t="shared" si="30"/>
        <v>32802000</v>
      </c>
      <c r="E49" s="131">
        <f t="shared" si="30"/>
        <v>-118438000</v>
      </c>
      <c r="F49" s="131"/>
      <c r="G49" s="131">
        <f t="shared" ref="G49:J49" si="31">SUM(G42:G48)</f>
        <v>-135871000</v>
      </c>
      <c r="H49" s="131">
        <f t="shared" si="31"/>
        <v>-247422000</v>
      </c>
      <c r="I49" s="131">
        <f t="shared" si="31"/>
        <v>-385126000</v>
      </c>
      <c r="J49" s="131">
        <f t="shared" si="31"/>
        <v>0</v>
      </c>
      <c r="K49" s="136"/>
      <c r="L49" s="130"/>
      <c r="M49" s="130"/>
      <c r="N49" s="130"/>
      <c r="O49" s="130"/>
      <c r="P49" s="130"/>
      <c r="Q49" s="130"/>
      <c r="R49" s="130">
        <v>-6.1365E7</v>
      </c>
      <c r="S49" s="130">
        <v>-4.4191E7</v>
      </c>
      <c r="T49" s="130">
        <v>-1.17021E8</v>
      </c>
      <c r="U49" s="130">
        <v>-3.75111E8</v>
      </c>
      <c r="V49" s="130">
        <v>-4.12586E8</v>
      </c>
      <c r="W49" s="133">
        <v>-5.75469E8</v>
      </c>
      <c r="X49" s="134"/>
      <c r="Y49" s="98"/>
    </row>
    <row r="50">
      <c r="B50" s="54"/>
      <c r="C50" s="54"/>
      <c r="D50" s="54"/>
      <c r="E50" s="54"/>
      <c r="F50" s="54"/>
      <c r="G50" s="54"/>
      <c r="H50" s="54"/>
      <c r="I50" s="54"/>
      <c r="J50" s="54"/>
      <c r="K50" s="140"/>
      <c r="L50" s="54"/>
      <c r="M50" s="54"/>
      <c r="N50" s="54"/>
      <c r="O50" s="54"/>
      <c r="P50" s="54"/>
      <c r="Q50" s="54"/>
      <c r="R50" s="54"/>
      <c r="S50" s="54"/>
      <c r="T50" s="54"/>
      <c r="U50" s="54"/>
      <c r="V50" s="54"/>
      <c r="W50" s="55"/>
      <c r="X50" s="54"/>
    </row>
    <row r="51">
      <c r="A51" s="3" t="s">
        <v>83</v>
      </c>
      <c r="B51" s="19"/>
      <c r="C51" s="19">
        <v>-3.6983E7</v>
      </c>
      <c r="D51" s="19">
        <v>-3.7276E7</v>
      </c>
      <c r="E51" s="19">
        <v>-4.2965E7</v>
      </c>
      <c r="F51" s="19"/>
      <c r="G51" s="19">
        <v>-3.7758E7</v>
      </c>
      <c r="H51" s="19">
        <v>-8.7774E7</v>
      </c>
      <c r="I51" s="19">
        <v>-1.60805E8</v>
      </c>
      <c r="J51" s="19"/>
      <c r="K51" s="125"/>
      <c r="L51" s="19"/>
      <c r="M51" s="19"/>
      <c r="N51" s="19"/>
      <c r="O51" s="19"/>
      <c r="P51" s="19"/>
      <c r="Q51" s="19"/>
      <c r="R51" s="19">
        <v>0.0</v>
      </c>
      <c r="S51" s="19">
        <v>-1652000.0</v>
      </c>
      <c r="T51" s="19">
        <v>-6117000.0</v>
      </c>
      <c r="U51" s="19">
        <v>-2.52292E8</v>
      </c>
      <c r="V51" s="19">
        <v>-9.1856E7</v>
      </c>
      <c r="W51" s="20">
        <v>-3.3029E8</v>
      </c>
      <c r="X51" s="54"/>
    </row>
    <row r="52">
      <c r="A52" s="3" t="s">
        <v>84</v>
      </c>
      <c r="B52" s="19"/>
      <c r="C52" s="19">
        <v>-5000.0</v>
      </c>
      <c r="D52" s="19">
        <v>-5000.0</v>
      </c>
      <c r="E52" s="19">
        <v>-1688000.0</v>
      </c>
      <c r="F52" s="19"/>
      <c r="G52" s="19">
        <v>-34000.0</v>
      </c>
      <c r="H52" s="19">
        <v>-60000.0</v>
      </c>
      <c r="I52" s="19">
        <v>-3953000.0</v>
      </c>
      <c r="J52" s="19"/>
      <c r="K52" s="125"/>
      <c r="L52" s="54"/>
      <c r="M52" s="54"/>
      <c r="N52" s="54"/>
      <c r="O52" s="54"/>
      <c r="P52" s="54"/>
      <c r="Q52" s="54"/>
      <c r="R52" s="54"/>
      <c r="S52" s="54"/>
      <c r="T52" s="54"/>
      <c r="U52" s="54"/>
      <c r="V52" s="54"/>
      <c r="W52" s="55"/>
      <c r="X52" s="54"/>
    </row>
    <row r="53">
      <c r="A53" s="3" t="s">
        <v>85</v>
      </c>
      <c r="B53" s="3"/>
      <c r="C53" s="3">
        <v>0.0</v>
      </c>
      <c r="D53" s="19">
        <v>0.0</v>
      </c>
      <c r="E53" s="19">
        <v>0.0</v>
      </c>
      <c r="F53" s="19"/>
      <c r="G53" s="19">
        <v>0.0</v>
      </c>
      <c r="H53" s="19">
        <v>-2477000.0</v>
      </c>
      <c r="I53" s="19">
        <v>-2481000.0</v>
      </c>
      <c r="J53" s="19"/>
      <c r="K53" s="125"/>
      <c r="L53" s="54"/>
      <c r="M53" s="54"/>
      <c r="N53" s="54"/>
      <c r="O53" s="54"/>
      <c r="P53" s="54"/>
      <c r="Q53" s="54"/>
      <c r="R53" s="54"/>
      <c r="S53" s="54"/>
      <c r="T53" s="54"/>
      <c r="U53" s="54"/>
      <c r="V53" s="54"/>
      <c r="W53" s="55"/>
      <c r="X53" s="54"/>
    </row>
    <row r="54">
      <c r="A54" s="3" t="s">
        <v>86</v>
      </c>
      <c r="B54" s="19"/>
      <c r="C54" s="19">
        <v>-58000.0</v>
      </c>
      <c r="D54" s="19">
        <v>-214000.0</v>
      </c>
      <c r="E54" s="19">
        <v>-214000.0</v>
      </c>
      <c r="F54" s="19"/>
      <c r="G54" s="19">
        <v>0.0</v>
      </c>
      <c r="H54" s="19">
        <v>0.0</v>
      </c>
      <c r="I54" s="19">
        <v>0.0</v>
      </c>
      <c r="J54" s="19"/>
      <c r="K54" s="125"/>
      <c r="L54" s="54"/>
      <c r="M54" s="54"/>
      <c r="N54" s="54"/>
      <c r="O54" s="54"/>
      <c r="P54" s="54"/>
      <c r="Q54" s="54"/>
      <c r="R54" s="54"/>
      <c r="S54" s="54"/>
      <c r="T54" s="54"/>
      <c r="U54" s="54"/>
      <c r="V54" s="54"/>
      <c r="W54" s="55"/>
      <c r="X54" s="54"/>
    </row>
    <row r="55">
      <c r="A55" s="129" t="s">
        <v>87</v>
      </c>
      <c r="B55" s="131"/>
      <c r="C55" s="131">
        <f t="shared" ref="C55:E55" si="32">SUM(C51:C54)</f>
        <v>-37046000</v>
      </c>
      <c r="D55" s="131">
        <f t="shared" si="32"/>
        <v>-37495000</v>
      </c>
      <c r="E55" s="131">
        <f t="shared" si="32"/>
        <v>-44867000</v>
      </c>
      <c r="F55" s="131"/>
      <c r="G55" s="131">
        <f t="shared" ref="G55:J55" si="33">SUM(G51:G54)</f>
        <v>-37792000</v>
      </c>
      <c r="H55" s="131">
        <f t="shared" si="33"/>
        <v>-90311000</v>
      </c>
      <c r="I55" s="131">
        <f t="shared" si="33"/>
        <v>-167239000</v>
      </c>
      <c r="J55" s="131">
        <f t="shared" si="33"/>
        <v>0</v>
      </c>
      <c r="K55" s="136"/>
      <c r="L55" s="130"/>
      <c r="M55" s="130"/>
      <c r="N55" s="130"/>
      <c r="O55" s="130"/>
      <c r="P55" s="130"/>
      <c r="Q55" s="130"/>
      <c r="R55" s="130">
        <v>-3361000.0</v>
      </c>
      <c r="S55" s="130">
        <v>-2723000.0</v>
      </c>
      <c r="T55" s="130">
        <v>-7456000.0</v>
      </c>
      <c r="U55" s="130">
        <v>-2.54159E8</v>
      </c>
      <c r="V55" s="130">
        <v>-9.3758E7</v>
      </c>
      <c r="W55" s="133">
        <v>-3.86724E8</v>
      </c>
      <c r="X55" s="134"/>
      <c r="Y55" s="98"/>
    </row>
    <row r="56">
      <c r="B56" s="54"/>
      <c r="C56" s="54"/>
      <c r="D56" s="54"/>
      <c r="E56" s="54"/>
      <c r="F56" s="54"/>
      <c r="G56" s="54"/>
      <c r="H56" s="54"/>
      <c r="I56" s="54"/>
      <c r="J56" s="54"/>
      <c r="K56" s="140"/>
      <c r="L56" s="54"/>
      <c r="M56" s="54"/>
      <c r="N56" s="54"/>
      <c r="O56" s="54"/>
      <c r="P56" s="54"/>
      <c r="Q56" s="54"/>
      <c r="R56" s="54"/>
      <c r="S56" s="54"/>
      <c r="T56" s="54"/>
      <c r="U56" s="54"/>
      <c r="V56" s="54"/>
      <c r="W56" s="55"/>
      <c r="X56" s="54"/>
    </row>
    <row r="57">
      <c r="A57" s="129" t="s">
        <v>88</v>
      </c>
      <c r="B57" s="130"/>
      <c r="C57" s="130">
        <f t="shared" ref="C57:J57" si="34">+C40+C49+C55</f>
        <v>67519000</v>
      </c>
      <c r="D57" s="130">
        <f t="shared" si="34"/>
        <v>68959000</v>
      </c>
      <c r="E57" s="130">
        <f t="shared" si="34"/>
        <v>74299000</v>
      </c>
      <c r="F57" s="130">
        <f t="shared" si="34"/>
        <v>0</v>
      </c>
      <c r="G57" s="130">
        <f t="shared" si="34"/>
        <v>-56211000</v>
      </c>
      <c r="H57" s="130">
        <f t="shared" si="34"/>
        <v>-97582000</v>
      </c>
      <c r="I57" s="130">
        <f t="shared" si="34"/>
        <v>259361000</v>
      </c>
      <c r="J57" s="130">
        <f t="shared" si="34"/>
        <v>0</v>
      </c>
      <c r="K57" s="132"/>
      <c r="L57" s="130">
        <f t="shared" ref="L57:W57" si="35">L40+L49+L55</f>
        <v>0</v>
      </c>
      <c r="M57" s="130">
        <f t="shared" si="35"/>
        <v>0</v>
      </c>
      <c r="N57" s="130">
        <f t="shared" si="35"/>
        <v>0</v>
      </c>
      <c r="O57" s="130">
        <f t="shared" si="35"/>
        <v>0</v>
      </c>
      <c r="P57" s="130">
        <f t="shared" si="35"/>
        <v>0</v>
      </c>
      <c r="Q57" s="130">
        <f t="shared" si="35"/>
        <v>0</v>
      </c>
      <c r="R57" s="130">
        <f t="shared" si="35"/>
        <v>8883000</v>
      </c>
      <c r="S57" s="130">
        <f t="shared" si="35"/>
        <v>-20778000</v>
      </c>
      <c r="T57" s="130">
        <f t="shared" si="35"/>
        <v>1729000</v>
      </c>
      <c r="U57" s="130">
        <f t="shared" si="35"/>
        <v>233740000</v>
      </c>
      <c r="V57" s="130">
        <f t="shared" si="35"/>
        <v>-54946000</v>
      </c>
      <c r="W57" s="133">
        <f t="shared" si="35"/>
        <v>262541000</v>
      </c>
      <c r="X57" s="134"/>
      <c r="Y57" s="98"/>
    </row>
    <row r="58">
      <c r="B58" s="54"/>
      <c r="C58" s="54"/>
      <c r="D58" s="54"/>
      <c r="E58" s="54"/>
      <c r="F58" s="54"/>
      <c r="G58" s="54"/>
      <c r="H58" s="54"/>
      <c r="I58" s="54"/>
      <c r="J58" s="54"/>
      <c r="K58" s="140"/>
      <c r="L58" s="54"/>
      <c r="M58" s="54"/>
      <c r="N58" s="54"/>
      <c r="O58" s="54"/>
      <c r="P58" s="54"/>
      <c r="Q58" s="54"/>
      <c r="R58" s="54"/>
      <c r="S58" s="54"/>
      <c r="T58" s="54"/>
      <c r="U58" s="54"/>
      <c r="V58" s="54"/>
      <c r="W58" s="20"/>
      <c r="X58" s="54"/>
    </row>
    <row r="59">
      <c r="A59" s="84" t="s">
        <v>89</v>
      </c>
      <c r="B59" s="46"/>
      <c r="C59" s="46">
        <v>2.92824E8</v>
      </c>
      <c r="D59" s="46">
        <v>2.92824E8</v>
      </c>
      <c r="E59" s="47">
        <v>2.92824E8</v>
      </c>
      <c r="F59" s="46">
        <v>2.37878E8</v>
      </c>
      <c r="G59" s="46">
        <v>2.37878E8</v>
      </c>
      <c r="H59" s="46">
        <v>2.37878E8</v>
      </c>
      <c r="I59" s="47">
        <f>237878000</f>
        <v>237878000</v>
      </c>
      <c r="J59" s="47"/>
      <c r="K59" s="140"/>
      <c r="L59" s="46"/>
      <c r="M59" s="46"/>
      <c r="N59" s="46"/>
      <c r="O59" s="46"/>
      <c r="P59" s="46"/>
      <c r="Q59" s="46"/>
      <c r="R59" s="46">
        <v>6.9247E7</v>
      </c>
      <c r="S59" s="46">
        <v>7.813E7</v>
      </c>
      <c r="T59" s="46">
        <v>5.7352E7</v>
      </c>
      <c r="U59" s="46">
        <v>5.9084E7</v>
      </c>
      <c r="V59" s="46">
        <v>2.92824E8</v>
      </c>
      <c r="W59" s="159">
        <v>2.37878E8</v>
      </c>
      <c r="X59" s="54"/>
    </row>
    <row r="60">
      <c r="A60" s="91" t="s">
        <v>90</v>
      </c>
      <c r="B60" s="160"/>
      <c r="C60" s="160">
        <f t="shared" ref="C60:J60" si="36">+C57+C59</f>
        <v>360343000</v>
      </c>
      <c r="D60" s="160">
        <f t="shared" si="36"/>
        <v>361783000</v>
      </c>
      <c r="E60" s="160">
        <f t="shared" si="36"/>
        <v>367123000</v>
      </c>
      <c r="F60" s="160">
        <f t="shared" si="36"/>
        <v>237878000</v>
      </c>
      <c r="G60" s="160">
        <f t="shared" si="36"/>
        <v>181667000</v>
      </c>
      <c r="H60" s="160">
        <f t="shared" si="36"/>
        <v>140296000</v>
      </c>
      <c r="I60" s="160">
        <f t="shared" si="36"/>
        <v>497239000</v>
      </c>
      <c r="J60" s="160">
        <f t="shared" si="36"/>
        <v>0</v>
      </c>
      <c r="K60" s="140"/>
      <c r="L60" s="160">
        <f t="shared" ref="L60:W60" si="37">+L57+L59</f>
        <v>0</v>
      </c>
      <c r="M60" s="160">
        <f t="shared" si="37"/>
        <v>0</v>
      </c>
      <c r="N60" s="160">
        <f t="shared" si="37"/>
        <v>0</v>
      </c>
      <c r="O60" s="160">
        <f t="shared" si="37"/>
        <v>0</v>
      </c>
      <c r="P60" s="160">
        <f t="shared" si="37"/>
        <v>0</v>
      </c>
      <c r="Q60" s="160">
        <f t="shared" si="37"/>
        <v>0</v>
      </c>
      <c r="R60" s="160">
        <f t="shared" si="37"/>
        <v>78130000</v>
      </c>
      <c r="S60" s="160">
        <f t="shared" si="37"/>
        <v>57352000</v>
      </c>
      <c r="T60" s="160">
        <f t="shared" si="37"/>
        <v>59081000</v>
      </c>
      <c r="U60" s="160">
        <f t="shared" si="37"/>
        <v>292824000</v>
      </c>
      <c r="V60" s="160">
        <f t="shared" si="37"/>
        <v>237878000</v>
      </c>
      <c r="W60" s="161">
        <f t="shared" si="37"/>
        <v>500419000</v>
      </c>
      <c r="X60" s="54"/>
    </row>
    <row r="61">
      <c r="K61" s="147"/>
      <c r="L61" s="54"/>
      <c r="M61" s="54"/>
      <c r="N61" s="54"/>
      <c r="O61" s="54"/>
      <c r="P61" s="54"/>
      <c r="Q61" s="54"/>
      <c r="R61" s="54"/>
      <c r="S61" s="54"/>
      <c r="T61" s="54"/>
      <c r="U61" s="54"/>
      <c r="V61" s="54"/>
      <c r="W61" s="55"/>
      <c r="X61" s="54"/>
    </row>
    <row r="62">
      <c r="A62" s="162" t="s">
        <v>91</v>
      </c>
      <c r="B62" s="163"/>
      <c r="C62" s="47">
        <f t="shared" ref="C62:J62" si="38">+C47</f>
        <v>-26666000</v>
      </c>
      <c r="D62" s="47">
        <f t="shared" si="38"/>
        <v>-65774000</v>
      </c>
      <c r="E62" s="47">
        <f t="shared" si="38"/>
        <v>-95969000</v>
      </c>
      <c r="F62" s="47" t="str">
        <f t="shared" si="38"/>
        <v/>
      </c>
      <c r="G62" s="47">
        <f t="shared" si="38"/>
        <v>-35773000</v>
      </c>
      <c r="H62" s="47">
        <f t="shared" si="38"/>
        <v>-65588000</v>
      </c>
      <c r="I62" s="47">
        <f t="shared" si="38"/>
        <v>-115395000</v>
      </c>
      <c r="J62" s="47" t="str">
        <f t="shared" si="38"/>
        <v/>
      </c>
      <c r="K62" s="140"/>
      <c r="L62" s="47" t="str">
        <f t="shared" ref="L62:W62" si="39">+L47</f>
        <v/>
      </c>
      <c r="M62" s="47" t="str">
        <f t="shared" si="39"/>
        <v/>
      </c>
      <c r="N62" s="47" t="str">
        <f t="shared" si="39"/>
        <v/>
      </c>
      <c r="O62" s="47" t="str">
        <f t="shared" si="39"/>
        <v/>
      </c>
      <c r="P62" s="47" t="str">
        <f t="shared" si="39"/>
        <v/>
      </c>
      <c r="Q62" s="47" t="str">
        <f t="shared" si="39"/>
        <v/>
      </c>
      <c r="R62" s="47">
        <f t="shared" si="39"/>
        <v>-124178000</v>
      </c>
      <c r="S62" s="47">
        <f t="shared" si="39"/>
        <v>-95069000</v>
      </c>
      <c r="T62" s="47">
        <f t="shared" si="39"/>
        <v>-72399000</v>
      </c>
      <c r="U62" s="47">
        <f t="shared" si="39"/>
        <v>-136569000</v>
      </c>
      <c r="V62" s="47">
        <f t="shared" si="39"/>
        <v>-147116000</v>
      </c>
      <c r="W62" s="48">
        <f t="shared" si="39"/>
        <v>-161255000</v>
      </c>
      <c r="X62" s="54"/>
    </row>
    <row r="63">
      <c r="A63" s="164" t="s">
        <v>92</v>
      </c>
      <c r="C63" s="54">
        <f t="shared" ref="C63:J63" si="40">+C40+C62</f>
        <v>-2981000</v>
      </c>
      <c r="D63" s="54">
        <f t="shared" si="40"/>
        <v>7878000</v>
      </c>
      <c r="E63" s="54">
        <f t="shared" si="40"/>
        <v>141635000</v>
      </c>
      <c r="F63" s="54">
        <f t="shared" si="40"/>
        <v>0</v>
      </c>
      <c r="G63" s="54">
        <f t="shared" si="40"/>
        <v>81679000</v>
      </c>
      <c r="H63" s="54">
        <f t="shared" si="40"/>
        <v>174563000</v>
      </c>
      <c r="I63" s="54">
        <f t="shared" si="40"/>
        <v>696331000</v>
      </c>
      <c r="J63" s="54">
        <f t="shared" si="40"/>
        <v>0</v>
      </c>
      <c r="K63" s="140"/>
      <c r="L63" s="54">
        <f t="shared" ref="L63:W63" si="41">+L40+L62</f>
        <v>0</v>
      </c>
      <c r="M63" s="54">
        <f t="shared" si="41"/>
        <v>0</v>
      </c>
      <c r="N63" s="54">
        <f t="shared" si="41"/>
        <v>0</v>
      </c>
      <c r="O63" s="54">
        <f t="shared" si="41"/>
        <v>0</v>
      </c>
      <c r="P63" s="54">
        <f t="shared" si="41"/>
        <v>0</v>
      </c>
      <c r="Q63" s="54">
        <f t="shared" si="41"/>
        <v>0</v>
      </c>
      <c r="R63" s="54">
        <f t="shared" si="41"/>
        <v>-50569000</v>
      </c>
      <c r="S63" s="54">
        <f t="shared" si="41"/>
        <v>-68933000</v>
      </c>
      <c r="T63" s="54">
        <f t="shared" si="41"/>
        <v>53807000</v>
      </c>
      <c r="U63" s="54">
        <f t="shared" si="41"/>
        <v>726441000</v>
      </c>
      <c r="V63" s="54">
        <f t="shared" si="41"/>
        <v>304282000</v>
      </c>
      <c r="W63" s="55">
        <f t="shared" si="41"/>
        <v>1063479000</v>
      </c>
      <c r="X63" s="19">
        <v>3.0E8</v>
      </c>
    </row>
    <row r="64">
      <c r="A64" s="165" t="s">
        <v>93</v>
      </c>
      <c r="B64" s="149"/>
      <c r="C64" s="149" t="str">
        <f t="shared" ref="C64:J64" si="42">(C63-B63)/ABS(B63)</f>
        <v>#DIV/0!</v>
      </c>
      <c r="D64" s="149">
        <f t="shared" si="42"/>
        <v>3.642737336</v>
      </c>
      <c r="E64" s="149">
        <f t="shared" si="42"/>
        <v>16.97854785</v>
      </c>
      <c r="F64" s="149">
        <f t="shared" si="42"/>
        <v>-1</v>
      </c>
      <c r="G64" s="149" t="str">
        <f t="shared" si="42"/>
        <v>#DIV/0!</v>
      </c>
      <c r="H64" s="149">
        <f t="shared" si="42"/>
        <v>1.137183364</v>
      </c>
      <c r="I64" s="149">
        <f t="shared" si="42"/>
        <v>2.988995377</v>
      </c>
      <c r="J64" s="149">
        <f t="shared" si="42"/>
        <v>-1</v>
      </c>
      <c r="K64" s="150"/>
      <c r="L64" s="149" t="str">
        <f t="shared" ref="L64:W64" si="43">(L63-K63)/ABS(K63)</f>
        <v>#DIV/0!</v>
      </c>
      <c r="M64" s="149" t="str">
        <f t="shared" si="43"/>
        <v>#DIV/0!</v>
      </c>
      <c r="N64" s="149" t="str">
        <f t="shared" si="43"/>
        <v>#DIV/0!</v>
      </c>
      <c r="O64" s="149" t="str">
        <f t="shared" si="43"/>
        <v>#DIV/0!</v>
      </c>
      <c r="P64" s="149" t="str">
        <f t="shared" si="43"/>
        <v>#DIV/0!</v>
      </c>
      <c r="Q64" s="149" t="str">
        <f t="shared" si="43"/>
        <v>#DIV/0!</v>
      </c>
      <c r="R64" s="149" t="str">
        <f t="shared" si="43"/>
        <v>#DIV/0!</v>
      </c>
      <c r="S64" s="149">
        <f t="shared" si="43"/>
        <v>-0.3631473828</v>
      </c>
      <c r="T64" s="149">
        <f t="shared" si="43"/>
        <v>1.780569539</v>
      </c>
      <c r="U64" s="149">
        <f t="shared" si="43"/>
        <v>12.5008642</v>
      </c>
      <c r="V64" s="149">
        <f t="shared" si="43"/>
        <v>-0.5811332235</v>
      </c>
      <c r="W64" s="151">
        <f t="shared" si="43"/>
        <v>2.495044071</v>
      </c>
      <c r="X64" s="54"/>
    </row>
    <row r="65">
      <c r="A65" s="166" t="s">
        <v>94</v>
      </c>
      <c r="B65" s="66"/>
      <c r="C65" s="66" t="str">
        <f>C63/Main!C3</f>
        <v>#DIV/0!</v>
      </c>
      <c r="D65" s="66" t="str">
        <f>D63/Main!D3</f>
        <v>#DIV/0!</v>
      </c>
      <c r="E65" s="66">
        <f>E63/Main!E3</f>
        <v>0.0442609375</v>
      </c>
      <c r="F65" s="66">
        <f>F63/Main!F3</f>
        <v>0</v>
      </c>
      <c r="G65" s="66">
        <f>G63/Main!G3</f>
        <v>0.0252095679</v>
      </c>
      <c r="H65" s="66">
        <f>H63/Main!H3</f>
        <v>0.03922764045</v>
      </c>
      <c r="I65" s="66">
        <f>I63/Main!I3</f>
        <v>0.1665863636</v>
      </c>
      <c r="J65" s="66">
        <f>J63/Main!J3</f>
        <v>0</v>
      </c>
      <c r="K65" s="150"/>
      <c r="L65" s="66">
        <f>L63/Main!L3</f>
        <v>0</v>
      </c>
      <c r="M65" s="66">
        <f>M63/Main!M3</f>
        <v>0</v>
      </c>
      <c r="N65" s="66">
        <f>N63/Main!N3</f>
        <v>0</v>
      </c>
      <c r="O65" s="66">
        <f>O63/Main!O3</f>
        <v>0</v>
      </c>
      <c r="P65" s="66">
        <f>P63/Main!P3</f>
        <v>0</v>
      </c>
      <c r="Q65" s="66">
        <f>Q63/Main!Q3</f>
        <v>0</v>
      </c>
      <c r="R65" s="66">
        <f>R63/Main!R3</f>
        <v>-0.02763333333</v>
      </c>
      <c r="S65" s="66">
        <f>S63/Main!S3</f>
        <v>-0.03766830601</v>
      </c>
      <c r="T65" s="66">
        <f>T63/Main!T3</f>
        <v>0.02989277778</v>
      </c>
      <c r="U65" s="66">
        <f>U63/Main!U3</f>
        <v>0.2585199288</v>
      </c>
      <c r="V65" s="66">
        <f>V63/Main!V3</f>
        <v>0.1118683824</v>
      </c>
      <c r="W65" s="67">
        <f>W63/Main!W3</f>
        <v>0.2287051613</v>
      </c>
      <c r="X65" s="54"/>
    </row>
    <row r="66">
      <c r="K66" s="125"/>
    </row>
    <row r="67">
      <c r="K67" s="125"/>
    </row>
    <row r="68">
      <c r="K68" s="125"/>
    </row>
    <row r="69">
      <c r="K69" s="125"/>
    </row>
    <row r="70">
      <c r="K70" s="125"/>
    </row>
    <row r="71">
      <c r="K71" s="125"/>
    </row>
    <row r="72">
      <c r="K72" s="125"/>
    </row>
    <row r="73">
      <c r="K73" s="125"/>
    </row>
    <row r="74">
      <c r="K74" s="125"/>
    </row>
    <row r="75">
      <c r="K75" s="125"/>
    </row>
    <row r="76">
      <c r="K76" s="125"/>
    </row>
    <row r="77">
      <c r="K77" s="125"/>
    </row>
    <row r="78">
      <c r="K78" s="125"/>
    </row>
    <row r="79">
      <c r="K79" s="125"/>
    </row>
    <row r="80">
      <c r="J80" s="19"/>
      <c r="K80" s="125"/>
    </row>
    <row r="81">
      <c r="J81" s="19"/>
      <c r="K81" s="125"/>
    </row>
    <row r="82">
      <c r="J82" s="19"/>
      <c r="K82" s="125"/>
    </row>
    <row r="83">
      <c r="J83" s="19"/>
      <c r="K83" s="125"/>
    </row>
    <row r="84">
      <c r="J84" s="167"/>
      <c r="K84" s="147"/>
    </row>
    <row r="85">
      <c r="J85" s="167"/>
      <c r="K85" s="147"/>
    </row>
    <row r="86">
      <c r="J86" s="167"/>
      <c r="K86" s="147"/>
    </row>
    <row r="87">
      <c r="J87" s="167"/>
      <c r="K87" s="147"/>
    </row>
    <row r="88">
      <c r="J88" s="167"/>
      <c r="K88" s="147"/>
    </row>
    <row r="89">
      <c r="J89" s="167"/>
      <c r="K89" s="147"/>
    </row>
    <row r="90">
      <c r="J90" s="167"/>
      <c r="K90" s="147"/>
    </row>
    <row r="91">
      <c r="J91" s="167"/>
      <c r="K91" s="147"/>
    </row>
    <row r="92">
      <c r="J92" s="167"/>
      <c r="K92" s="147"/>
    </row>
    <row r="93">
      <c r="J93" s="167"/>
      <c r="K93" s="147"/>
    </row>
    <row r="94">
      <c r="J94" s="167"/>
      <c r="K94" s="147"/>
    </row>
    <row r="95">
      <c r="J95" s="167"/>
      <c r="K95" s="147"/>
    </row>
    <row r="96">
      <c r="J96" s="167"/>
      <c r="K96" s="147"/>
    </row>
    <row r="97">
      <c r="J97" s="167"/>
      <c r="K97" s="147"/>
    </row>
    <row r="98">
      <c r="J98" s="167"/>
      <c r="K98" s="147"/>
    </row>
    <row r="99">
      <c r="J99" s="167"/>
      <c r="K99" s="147"/>
    </row>
    <row r="100">
      <c r="J100" s="167"/>
      <c r="K100" s="147"/>
    </row>
    <row r="101">
      <c r="J101" s="167"/>
      <c r="K101" s="147"/>
    </row>
    <row r="102">
      <c r="J102" s="167"/>
      <c r="K102" s="147"/>
    </row>
    <row r="103">
      <c r="J103" s="167"/>
      <c r="K103" s="147"/>
    </row>
    <row r="104">
      <c r="J104" s="167"/>
      <c r="K104" s="147"/>
    </row>
    <row r="105">
      <c r="J105" s="167"/>
      <c r="K105" s="147"/>
    </row>
    <row r="106">
      <c r="J106" s="167"/>
      <c r="K106" s="147"/>
    </row>
    <row r="107">
      <c r="J107" s="167"/>
      <c r="K107" s="147"/>
    </row>
    <row r="108">
      <c r="J108" s="167"/>
      <c r="K108" s="147"/>
    </row>
    <row r="109">
      <c r="J109" s="167"/>
      <c r="K109" s="147"/>
    </row>
    <row r="110">
      <c r="J110" s="167"/>
      <c r="K110" s="147"/>
    </row>
    <row r="111">
      <c r="J111" s="167"/>
      <c r="K111" s="147"/>
    </row>
    <row r="112">
      <c r="J112" s="167"/>
      <c r="K112" s="147"/>
    </row>
    <row r="113">
      <c r="J113" s="167"/>
      <c r="K113" s="147"/>
    </row>
    <row r="114">
      <c r="J114" s="167"/>
      <c r="K114" s="147"/>
    </row>
    <row r="115">
      <c r="J115" s="167"/>
      <c r="K115" s="147"/>
    </row>
    <row r="116">
      <c r="J116" s="167"/>
      <c r="K116" s="147"/>
    </row>
    <row r="117">
      <c r="J117" s="167"/>
      <c r="K117" s="147"/>
    </row>
    <row r="118">
      <c r="J118" s="167"/>
      <c r="K118" s="147"/>
    </row>
    <row r="119">
      <c r="J119" s="167"/>
      <c r="K119" s="147"/>
    </row>
    <row r="120">
      <c r="J120" s="167"/>
      <c r="K120" s="147"/>
    </row>
    <row r="121">
      <c r="J121" s="167"/>
      <c r="K121" s="147"/>
    </row>
    <row r="122">
      <c r="J122" s="167"/>
      <c r="K122" s="147"/>
    </row>
    <row r="123">
      <c r="J123" s="167"/>
      <c r="K123" s="147"/>
    </row>
    <row r="124">
      <c r="J124" s="167"/>
      <c r="K124" s="147"/>
    </row>
    <row r="125">
      <c r="J125" s="167"/>
      <c r="K125" s="147"/>
    </row>
    <row r="126">
      <c r="J126" s="167"/>
      <c r="K126" s="147"/>
    </row>
    <row r="127">
      <c r="J127" s="167"/>
      <c r="K127" s="147"/>
    </row>
    <row r="128">
      <c r="J128" s="167"/>
      <c r="K128" s="147"/>
    </row>
    <row r="129">
      <c r="J129" s="167"/>
      <c r="K129" s="147"/>
    </row>
    <row r="130">
      <c r="J130" s="167"/>
      <c r="K130" s="147"/>
    </row>
    <row r="131">
      <c r="J131" s="167"/>
      <c r="K131" s="147"/>
    </row>
    <row r="132">
      <c r="J132" s="167"/>
      <c r="K132" s="147"/>
    </row>
    <row r="133">
      <c r="J133" s="167"/>
      <c r="K133" s="147"/>
    </row>
    <row r="134">
      <c r="J134" s="167"/>
      <c r="K134" s="147"/>
    </row>
    <row r="135">
      <c r="J135" s="167"/>
      <c r="K135" s="147"/>
    </row>
    <row r="136">
      <c r="J136" s="167"/>
      <c r="K136" s="147"/>
    </row>
    <row r="137">
      <c r="J137" s="167"/>
      <c r="K137" s="147"/>
    </row>
    <row r="138">
      <c r="J138" s="167"/>
      <c r="K138" s="147"/>
    </row>
    <row r="139">
      <c r="J139" s="167"/>
      <c r="K139" s="147"/>
    </row>
    <row r="140">
      <c r="J140" s="167"/>
      <c r="K140" s="147"/>
    </row>
    <row r="141">
      <c r="J141" s="167"/>
      <c r="K141" s="147"/>
    </row>
    <row r="142">
      <c r="J142" s="167"/>
      <c r="K142" s="147"/>
    </row>
    <row r="143">
      <c r="J143" s="167"/>
      <c r="K143" s="147"/>
    </row>
    <row r="144">
      <c r="J144" s="167"/>
      <c r="K144" s="147"/>
    </row>
    <row r="145">
      <c r="J145" s="167"/>
      <c r="K145" s="147"/>
    </row>
    <row r="146">
      <c r="J146" s="167"/>
      <c r="K146" s="147"/>
    </row>
    <row r="147">
      <c r="J147" s="167"/>
      <c r="K147" s="147"/>
    </row>
    <row r="148">
      <c r="J148" s="167"/>
      <c r="K148" s="147"/>
    </row>
    <row r="149">
      <c r="J149" s="167"/>
      <c r="K149" s="147"/>
    </row>
    <row r="150">
      <c r="J150" s="167"/>
      <c r="K150" s="147"/>
    </row>
    <row r="151">
      <c r="J151" s="167"/>
      <c r="K151" s="147"/>
    </row>
    <row r="152">
      <c r="J152" s="167"/>
      <c r="K152" s="147"/>
    </row>
    <row r="153">
      <c r="J153" s="167"/>
      <c r="K153" s="147"/>
    </row>
    <row r="154">
      <c r="J154" s="167"/>
      <c r="K154" s="147"/>
    </row>
    <row r="155">
      <c r="J155" s="167"/>
      <c r="K155" s="147"/>
    </row>
    <row r="156">
      <c r="J156" s="167"/>
      <c r="K156" s="147"/>
    </row>
    <row r="157">
      <c r="J157" s="167"/>
      <c r="K157" s="147"/>
    </row>
    <row r="158">
      <c r="J158" s="167"/>
      <c r="K158" s="147"/>
    </row>
    <row r="159">
      <c r="J159" s="167"/>
      <c r="K159" s="147"/>
    </row>
    <row r="160">
      <c r="J160" s="167"/>
      <c r="K160" s="147"/>
    </row>
    <row r="161">
      <c r="J161" s="167"/>
      <c r="K161" s="147"/>
    </row>
    <row r="162">
      <c r="J162" s="167"/>
      <c r="K162" s="147"/>
    </row>
    <row r="163">
      <c r="J163" s="167"/>
      <c r="K163" s="147"/>
    </row>
    <row r="164">
      <c r="J164" s="167"/>
      <c r="K164" s="147"/>
    </row>
    <row r="165">
      <c r="J165" s="167"/>
      <c r="K165" s="147"/>
    </row>
    <row r="166">
      <c r="J166" s="167"/>
      <c r="K166" s="147"/>
    </row>
    <row r="167">
      <c r="J167" s="167"/>
      <c r="K167" s="147"/>
    </row>
    <row r="168">
      <c r="J168" s="167"/>
      <c r="K168" s="147"/>
    </row>
    <row r="169">
      <c r="J169" s="167"/>
      <c r="K169" s="147"/>
    </row>
    <row r="170">
      <c r="J170" s="167"/>
      <c r="K170" s="147"/>
    </row>
    <row r="171">
      <c r="J171" s="167"/>
      <c r="K171" s="147"/>
    </row>
    <row r="172">
      <c r="J172" s="167"/>
      <c r="K172" s="147"/>
    </row>
    <row r="173">
      <c r="J173" s="167"/>
      <c r="K173" s="147"/>
    </row>
    <row r="174">
      <c r="J174" s="167"/>
      <c r="K174" s="147"/>
    </row>
    <row r="175">
      <c r="J175" s="167"/>
      <c r="K175" s="147"/>
    </row>
    <row r="176">
      <c r="J176" s="167"/>
      <c r="K176" s="147"/>
    </row>
    <row r="177">
      <c r="J177" s="167"/>
      <c r="K177" s="147"/>
    </row>
    <row r="178">
      <c r="J178" s="167"/>
      <c r="K178" s="147"/>
    </row>
    <row r="179">
      <c r="J179" s="167"/>
      <c r="K179" s="147"/>
    </row>
    <row r="180">
      <c r="J180" s="167"/>
      <c r="K180" s="147"/>
    </row>
    <row r="181">
      <c r="J181" s="167"/>
      <c r="K181" s="147"/>
    </row>
    <row r="182">
      <c r="J182" s="167"/>
      <c r="K182" s="147"/>
    </row>
    <row r="183">
      <c r="J183" s="167"/>
      <c r="K183" s="147"/>
    </row>
    <row r="184">
      <c r="J184" s="167"/>
      <c r="K184" s="147"/>
    </row>
    <row r="185">
      <c r="J185" s="167"/>
      <c r="K185" s="147"/>
    </row>
    <row r="186">
      <c r="J186" s="167"/>
      <c r="K186" s="147"/>
    </row>
    <row r="187">
      <c r="J187" s="167"/>
      <c r="K187" s="147"/>
    </row>
    <row r="188">
      <c r="J188" s="167"/>
      <c r="K188" s="147"/>
    </row>
    <row r="189">
      <c r="J189" s="167"/>
      <c r="K189" s="147"/>
    </row>
    <row r="190">
      <c r="J190" s="167"/>
      <c r="K190" s="147"/>
    </row>
    <row r="191">
      <c r="J191" s="167"/>
      <c r="K191" s="147"/>
    </row>
    <row r="192">
      <c r="J192" s="167"/>
      <c r="K192" s="147"/>
    </row>
    <row r="193">
      <c r="J193" s="167"/>
      <c r="K193" s="147"/>
    </row>
    <row r="194">
      <c r="J194" s="167"/>
      <c r="K194" s="147"/>
    </row>
    <row r="195">
      <c r="J195" s="167"/>
      <c r="K195" s="147"/>
    </row>
    <row r="196">
      <c r="J196" s="167"/>
      <c r="K196" s="147"/>
    </row>
    <row r="197">
      <c r="J197" s="167"/>
      <c r="K197" s="147"/>
    </row>
    <row r="198">
      <c r="J198" s="167"/>
      <c r="K198" s="147"/>
    </row>
    <row r="199">
      <c r="J199" s="167"/>
      <c r="K199" s="147"/>
    </row>
    <row r="200">
      <c r="J200" s="167"/>
      <c r="K200" s="147"/>
    </row>
    <row r="201">
      <c r="J201" s="167"/>
      <c r="K201" s="147"/>
    </row>
    <row r="202">
      <c r="J202" s="167"/>
      <c r="K202" s="147"/>
    </row>
    <row r="203">
      <c r="J203" s="167"/>
      <c r="K203" s="147"/>
    </row>
    <row r="204">
      <c r="J204" s="167"/>
      <c r="K204" s="147"/>
    </row>
    <row r="205">
      <c r="J205" s="167"/>
      <c r="K205" s="147"/>
    </row>
    <row r="206">
      <c r="J206" s="167"/>
      <c r="K206" s="147"/>
    </row>
    <row r="207">
      <c r="J207" s="167"/>
      <c r="K207" s="147"/>
    </row>
    <row r="208">
      <c r="J208" s="167"/>
      <c r="K208" s="147"/>
    </row>
    <row r="209">
      <c r="J209" s="167"/>
      <c r="K209" s="147"/>
    </row>
    <row r="210">
      <c r="J210" s="167"/>
      <c r="K210" s="147"/>
    </row>
    <row r="211">
      <c r="J211" s="167"/>
      <c r="K211" s="147"/>
    </row>
    <row r="212">
      <c r="J212" s="167"/>
      <c r="K212" s="147"/>
    </row>
    <row r="213">
      <c r="J213" s="167"/>
      <c r="K213" s="147"/>
    </row>
    <row r="214">
      <c r="J214" s="167"/>
      <c r="K214" s="147"/>
    </row>
    <row r="215">
      <c r="J215" s="167"/>
      <c r="K215" s="147"/>
    </row>
    <row r="216">
      <c r="J216" s="167"/>
      <c r="K216" s="147"/>
    </row>
    <row r="217">
      <c r="J217" s="167"/>
      <c r="K217" s="147"/>
    </row>
    <row r="218">
      <c r="J218" s="167"/>
      <c r="K218" s="147"/>
    </row>
    <row r="219">
      <c r="J219" s="167"/>
      <c r="K219" s="147"/>
    </row>
    <row r="220">
      <c r="J220" s="167"/>
      <c r="K220" s="147"/>
    </row>
    <row r="221">
      <c r="J221" s="167"/>
      <c r="K221" s="147"/>
    </row>
    <row r="222">
      <c r="J222" s="167"/>
      <c r="K222" s="147"/>
    </row>
    <row r="223">
      <c r="J223" s="167"/>
      <c r="K223" s="147"/>
    </row>
    <row r="224">
      <c r="J224" s="167"/>
      <c r="K224" s="147"/>
    </row>
    <row r="225">
      <c r="J225" s="167"/>
      <c r="K225" s="147"/>
    </row>
    <row r="226">
      <c r="J226" s="167"/>
      <c r="K226" s="147"/>
    </row>
    <row r="227">
      <c r="J227" s="167"/>
      <c r="K227" s="147"/>
    </row>
    <row r="228">
      <c r="J228" s="167"/>
      <c r="K228" s="147"/>
    </row>
    <row r="229">
      <c r="J229" s="167"/>
      <c r="K229" s="147"/>
    </row>
    <row r="230">
      <c r="J230" s="167"/>
      <c r="K230" s="147"/>
    </row>
    <row r="231">
      <c r="J231" s="167"/>
      <c r="K231" s="147"/>
    </row>
    <row r="232">
      <c r="J232" s="167"/>
      <c r="K232" s="147"/>
    </row>
    <row r="233">
      <c r="J233" s="167"/>
      <c r="K233" s="147"/>
    </row>
    <row r="234">
      <c r="J234" s="167"/>
      <c r="K234" s="147"/>
    </row>
    <row r="235">
      <c r="J235" s="167"/>
      <c r="K235" s="147"/>
    </row>
    <row r="236">
      <c r="J236" s="167"/>
      <c r="K236" s="147"/>
    </row>
    <row r="237">
      <c r="J237" s="167"/>
      <c r="K237" s="147"/>
    </row>
    <row r="238">
      <c r="J238" s="167"/>
      <c r="K238" s="147"/>
    </row>
    <row r="239">
      <c r="J239" s="167"/>
      <c r="K239" s="147"/>
    </row>
    <row r="240">
      <c r="J240" s="167"/>
      <c r="K240" s="147"/>
    </row>
    <row r="241">
      <c r="J241" s="167"/>
      <c r="K241" s="147"/>
    </row>
    <row r="242">
      <c r="J242" s="167"/>
      <c r="K242" s="147"/>
    </row>
    <row r="243">
      <c r="J243" s="167"/>
      <c r="K243" s="147"/>
    </row>
    <row r="244">
      <c r="J244" s="167"/>
      <c r="K244" s="147"/>
    </row>
    <row r="245">
      <c r="J245" s="167"/>
      <c r="K245" s="147"/>
    </row>
    <row r="246">
      <c r="J246" s="167"/>
      <c r="K246" s="147"/>
    </row>
    <row r="247">
      <c r="J247" s="167"/>
      <c r="K247" s="147"/>
    </row>
    <row r="248">
      <c r="J248" s="167"/>
      <c r="K248" s="147"/>
    </row>
    <row r="249">
      <c r="J249" s="167"/>
      <c r="K249" s="147"/>
    </row>
    <row r="250">
      <c r="J250" s="167"/>
      <c r="K250" s="147"/>
    </row>
    <row r="251">
      <c r="J251" s="167"/>
      <c r="K251" s="147"/>
    </row>
    <row r="252">
      <c r="J252" s="167"/>
      <c r="K252" s="147"/>
    </row>
    <row r="253">
      <c r="J253" s="167"/>
      <c r="K253" s="147"/>
    </row>
    <row r="254">
      <c r="J254" s="167"/>
      <c r="K254" s="147"/>
    </row>
    <row r="255">
      <c r="J255" s="167"/>
      <c r="K255" s="147"/>
    </row>
    <row r="256">
      <c r="J256" s="167"/>
      <c r="K256" s="147"/>
    </row>
    <row r="257">
      <c r="J257" s="167"/>
      <c r="K257" s="147"/>
    </row>
    <row r="258">
      <c r="J258" s="167"/>
      <c r="K258" s="147"/>
    </row>
    <row r="259">
      <c r="J259" s="167"/>
      <c r="K259" s="147"/>
    </row>
    <row r="260">
      <c r="J260" s="167"/>
      <c r="K260" s="147"/>
    </row>
    <row r="261">
      <c r="J261" s="167"/>
      <c r="K261" s="147"/>
    </row>
    <row r="262">
      <c r="J262" s="167"/>
      <c r="K262" s="147"/>
    </row>
    <row r="263">
      <c r="J263" s="167"/>
      <c r="K263" s="147"/>
    </row>
    <row r="264">
      <c r="J264" s="167"/>
      <c r="K264" s="147"/>
    </row>
    <row r="265">
      <c r="J265" s="167"/>
      <c r="K265" s="147"/>
    </row>
    <row r="266">
      <c r="J266" s="167"/>
      <c r="K266" s="147"/>
    </row>
    <row r="267">
      <c r="J267" s="167"/>
      <c r="K267" s="147"/>
    </row>
    <row r="268">
      <c r="J268" s="167"/>
      <c r="K268" s="147"/>
    </row>
    <row r="269">
      <c r="J269" s="167"/>
      <c r="K269" s="147"/>
    </row>
    <row r="270">
      <c r="J270" s="167"/>
      <c r="K270" s="147"/>
    </row>
    <row r="271">
      <c r="J271" s="167"/>
      <c r="K271" s="147"/>
    </row>
    <row r="272">
      <c r="J272" s="167"/>
      <c r="K272" s="147"/>
    </row>
    <row r="273">
      <c r="J273" s="167"/>
      <c r="K273" s="147"/>
    </row>
    <row r="274">
      <c r="J274" s="167"/>
      <c r="K274" s="147"/>
    </row>
    <row r="275">
      <c r="J275" s="167"/>
      <c r="K275" s="147"/>
    </row>
    <row r="276">
      <c r="J276" s="167"/>
      <c r="K276" s="147"/>
    </row>
    <row r="277">
      <c r="J277" s="167"/>
      <c r="K277" s="147"/>
    </row>
    <row r="278">
      <c r="J278" s="167"/>
      <c r="K278" s="147"/>
    </row>
    <row r="279">
      <c r="J279" s="167"/>
      <c r="K279" s="147"/>
    </row>
    <row r="280">
      <c r="J280" s="167"/>
      <c r="K280" s="147"/>
    </row>
    <row r="281">
      <c r="J281" s="167"/>
      <c r="K281" s="147"/>
    </row>
    <row r="282">
      <c r="J282" s="167"/>
      <c r="K282" s="147"/>
    </row>
    <row r="283">
      <c r="J283" s="167"/>
      <c r="K283" s="147"/>
    </row>
    <row r="284">
      <c r="J284" s="167"/>
      <c r="K284" s="147"/>
    </row>
    <row r="285">
      <c r="J285" s="167"/>
      <c r="K285" s="147"/>
    </row>
    <row r="286">
      <c r="J286" s="167"/>
      <c r="K286" s="147"/>
    </row>
    <row r="287">
      <c r="J287" s="167"/>
      <c r="K287" s="147"/>
    </row>
    <row r="288">
      <c r="J288" s="167"/>
      <c r="K288" s="147"/>
    </row>
    <row r="289">
      <c r="J289" s="167"/>
      <c r="K289" s="147"/>
    </row>
    <row r="290">
      <c r="J290" s="167"/>
      <c r="K290" s="147"/>
    </row>
    <row r="291">
      <c r="J291" s="167"/>
      <c r="K291" s="147"/>
    </row>
    <row r="292">
      <c r="J292" s="167"/>
      <c r="K292" s="147"/>
    </row>
    <row r="293">
      <c r="J293" s="167"/>
      <c r="K293" s="147"/>
    </row>
    <row r="294">
      <c r="J294" s="167"/>
      <c r="K294" s="147"/>
    </row>
    <row r="295">
      <c r="J295" s="167"/>
      <c r="K295" s="147"/>
    </row>
    <row r="296">
      <c r="J296" s="167"/>
      <c r="K296" s="147"/>
    </row>
    <row r="297">
      <c r="J297" s="167"/>
      <c r="K297" s="147"/>
    </row>
    <row r="298">
      <c r="J298" s="167"/>
      <c r="K298" s="147"/>
    </row>
    <row r="299">
      <c r="J299" s="167"/>
      <c r="K299" s="147"/>
    </row>
    <row r="300">
      <c r="J300" s="167"/>
      <c r="K300" s="147"/>
    </row>
    <row r="301">
      <c r="J301" s="167"/>
      <c r="K301" s="147"/>
    </row>
    <row r="302">
      <c r="J302" s="167"/>
      <c r="K302" s="147"/>
    </row>
    <row r="303">
      <c r="J303" s="167"/>
      <c r="K303" s="147"/>
    </row>
    <row r="304">
      <c r="J304" s="167"/>
      <c r="K304" s="147"/>
    </row>
    <row r="305">
      <c r="J305" s="167"/>
      <c r="K305" s="147"/>
    </row>
    <row r="306">
      <c r="J306" s="167"/>
      <c r="K306" s="147"/>
    </row>
    <row r="307">
      <c r="J307" s="167"/>
      <c r="K307" s="147"/>
    </row>
    <row r="308">
      <c r="J308" s="167"/>
      <c r="K308" s="147"/>
    </row>
    <row r="309">
      <c r="J309" s="167"/>
      <c r="K309" s="147"/>
    </row>
    <row r="310">
      <c r="J310" s="167"/>
      <c r="K310" s="147"/>
    </row>
    <row r="311">
      <c r="J311" s="167"/>
      <c r="K311" s="147"/>
    </row>
    <row r="312">
      <c r="J312" s="167"/>
      <c r="K312" s="147"/>
    </row>
    <row r="313">
      <c r="J313" s="167"/>
      <c r="K313" s="147"/>
    </row>
    <row r="314">
      <c r="J314" s="167"/>
      <c r="K314" s="147"/>
    </row>
    <row r="315">
      <c r="J315" s="167"/>
      <c r="K315" s="147"/>
    </row>
    <row r="316">
      <c r="J316" s="167"/>
      <c r="K316" s="147"/>
    </row>
    <row r="317">
      <c r="J317" s="167"/>
      <c r="K317" s="147"/>
    </row>
    <row r="318">
      <c r="J318" s="167"/>
      <c r="K318" s="147"/>
    </row>
    <row r="319">
      <c r="J319" s="167"/>
      <c r="K319" s="147"/>
    </row>
    <row r="320">
      <c r="J320" s="167"/>
      <c r="K320" s="147"/>
    </row>
    <row r="321">
      <c r="J321" s="167"/>
      <c r="K321" s="147"/>
    </row>
    <row r="322">
      <c r="J322" s="167"/>
      <c r="K322" s="147"/>
    </row>
    <row r="323">
      <c r="J323" s="167"/>
      <c r="K323" s="147"/>
    </row>
    <row r="324">
      <c r="J324" s="167"/>
      <c r="K324" s="147"/>
    </row>
    <row r="325">
      <c r="J325" s="167"/>
      <c r="K325" s="147"/>
    </row>
    <row r="326">
      <c r="J326" s="167"/>
      <c r="K326" s="147"/>
    </row>
    <row r="327">
      <c r="J327" s="167"/>
      <c r="K327" s="147"/>
    </row>
    <row r="328">
      <c r="J328" s="167"/>
      <c r="K328" s="147"/>
    </row>
    <row r="329">
      <c r="J329" s="167"/>
      <c r="K329" s="147"/>
    </row>
    <row r="330">
      <c r="J330" s="167"/>
      <c r="K330" s="147"/>
    </row>
    <row r="331">
      <c r="J331" s="167"/>
      <c r="K331" s="147"/>
    </row>
    <row r="332">
      <c r="J332" s="167"/>
      <c r="K332" s="147"/>
    </row>
    <row r="333">
      <c r="J333" s="167"/>
      <c r="K333" s="147"/>
    </row>
    <row r="334">
      <c r="J334" s="167"/>
      <c r="K334" s="147"/>
    </row>
    <row r="335">
      <c r="J335" s="167"/>
      <c r="K335" s="147"/>
    </row>
    <row r="336">
      <c r="J336" s="167"/>
      <c r="K336" s="147"/>
    </row>
    <row r="337">
      <c r="J337" s="167"/>
      <c r="K337" s="147"/>
    </row>
    <row r="338">
      <c r="J338" s="167"/>
      <c r="K338" s="147"/>
    </row>
    <row r="339">
      <c r="J339" s="167"/>
      <c r="K339" s="147"/>
    </row>
    <row r="340">
      <c r="J340" s="167"/>
      <c r="K340" s="147"/>
    </row>
    <row r="341">
      <c r="J341" s="167"/>
      <c r="K341" s="147"/>
    </row>
    <row r="342">
      <c r="J342" s="167"/>
      <c r="K342" s="147"/>
    </row>
    <row r="343">
      <c r="J343" s="167"/>
      <c r="K343" s="147"/>
    </row>
    <row r="344">
      <c r="J344" s="167"/>
      <c r="K344" s="147"/>
    </row>
    <row r="345">
      <c r="J345" s="167"/>
      <c r="K345" s="147"/>
    </row>
    <row r="346">
      <c r="J346" s="167"/>
      <c r="K346" s="147"/>
    </row>
    <row r="347">
      <c r="J347" s="167"/>
      <c r="K347" s="147"/>
    </row>
    <row r="348">
      <c r="J348" s="167"/>
      <c r="K348" s="147"/>
    </row>
    <row r="349">
      <c r="J349" s="167"/>
      <c r="K349" s="147"/>
    </row>
    <row r="350">
      <c r="J350" s="167"/>
      <c r="K350" s="147"/>
    </row>
    <row r="351">
      <c r="J351" s="167"/>
      <c r="K351" s="147"/>
    </row>
    <row r="352">
      <c r="J352" s="167"/>
      <c r="K352" s="147"/>
    </row>
    <row r="353">
      <c r="J353" s="167"/>
      <c r="K353" s="147"/>
    </row>
    <row r="354">
      <c r="J354" s="167"/>
      <c r="K354" s="147"/>
    </row>
    <row r="355">
      <c r="J355" s="167"/>
      <c r="K355" s="147"/>
    </row>
    <row r="356">
      <c r="J356" s="167"/>
      <c r="K356" s="147"/>
    </row>
    <row r="357">
      <c r="J357" s="167"/>
      <c r="K357" s="147"/>
    </row>
    <row r="358">
      <c r="J358" s="167"/>
      <c r="K358" s="147"/>
    </row>
    <row r="359">
      <c r="J359" s="167"/>
      <c r="K359" s="147"/>
    </row>
    <row r="360">
      <c r="J360" s="167"/>
      <c r="K360" s="147"/>
    </row>
    <row r="361">
      <c r="J361" s="167"/>
      <c r="K361" s="147"/>
    </row>
    <row r="362">
      <c r="J362" s="167"/>
      <c r="K362" s="147"/>
    </row>
    <row r="363">
      <c r="J363" s="167"/>
      <c r="K363" s="147"/>
    </row>
    <row r="364">
      <c r="J364" s="167"/>
      <c r="K364" s="147"/>
    </row>
    <row r="365">
      <c r="J365" s="167"/>
      <c r="K365" s="147"/>
    </row>
    <row r="366">
      <c r="J366" s="167"/>
      <c r="K366" s="147"/>
    </row>
    <row r="367">
      <c r="J367" s="167"/>
      <c r="K367" s="147"/>
    </row>
    <row r="368">
      <c r="J368" s="167"/>
      <c r="K368" s="147"/>
    </row>
    <row r="369">
      <c r="J369" s="167"/>
      <c r="K369" s="147"/>
    </row>
    <row r="370">
      <c r="J370" s="167"/>
      <c r="K370" s="147"/>
    </row>
    <row r="371">
      <c r="J371" s="167"/>
      <c r="K371" s="147"/>
    </row>
    <row r="372">
      <c r="J372" s="167"/>
      <c r="K372" s="147"/>
    </row>
    <row r="373">
      <c r="J373" s="167"/>
      <c r="K373" s="147"/>
    </row>
    <row r="374">
      <c r="J374" s="167"/>
      <c r="K374" s="147"/>
    </row>
    <row r="375">
      <c r="J375" s="167"/>
      <c r="K375" s="147"/>
    </row>
    <row r="376">
      <c r="J376" s="167"/>
      <c r="K376" s="147"/>
    </row>
    <row r="377">
      <c r="J377" s="167"/>
      <c r="K377" s="147"/>
    </row>
    <row r="378">
      <c r="J378" s="167"/>
      <c r="K378" s="147"/>
    </row>
    <row r="379">
      <c r="J379" s="167"/>
      <c r="K379" s="147"/>
    </row>
    <row r="380">
      <c r="J380" s="167"/>
      <c r="K380" s="147"/>
    </row>
    <row r="381">
      <c r="J381" s="167"/>
      <c r="K381" s="147"/>
    </row>
    <row r="382">
      <c r="J382" s="167"/>
      <c r="K382" s="147"/>
    </row>
    <row r="383">
      <c r="J383" s="167"/>
      <c r="K383" s="147"/>
    </row>
    <row r="384">
      <c r="J384" s="167"/>
      <c r="K384" s="147"/>
    </row>
    <row r="385">
      <c r="J385" s="167"/>
      <c r="K385" s="147"/>
    </row>
    <row r="386">
      <c r="J386" s="167"/>
      <c r="K386" s="147"/>
    </row>
    <row r="387">
      <c r="J387" s="167"/>
      <c r="K387" s="147"/>
    </row>
    <row r="388">
      <c r="J388" s="167"/>
      <c r="K388" s="147"/>
    </row>
    <row r="389">
      <c r="J389" s="167"/>
      <c r="K389" s="147"/>
    </row>
    <row r="390">
      <c r="J390" s="167"/>
      <c r="K390" s="147"/>
    </row>
    <row r="391">
      <c r="J391" s="167"/>
      <c r="K391" s="147"/>
    </row>
    <row r="392">
      <c r="J392" s="167"/>
      <c r="K392" s="147"/>
    </row>
    <row r="393">
      <c r="J393" s="167"/>
      <c r="K393" s="147"/>
    </row>
    <row r="394">
      <c r="J394" s="167"/>
      <c r="K394" s="147"/>
    </row>
    <row r="395">
      <c r="J395" s="167"/>
      <c r="K395" s="147"/>
    </row>
    <row r="396">
      <c r="J396" s="167"/>
      <c r="K396" s="147"/>
    </row>
    <row r="397">
      <c r="J397" s="167"/>
      <c r="K397" s="147"/>
    </row>
    <row r="398">
      <c r="J398" s="167"/>
      <c r="K398" s="147"/>
    </row>
    <row r="399">
      <c r="J399" s="167"/>
      <c r="K399" s="147"/>
    </row>
    <row r="400">
      <c r="J400" s="167"/>
      <c r="K400" s="147"/>
    </row>
    <row r="401">
      <c r="J401" s="167"/>
      <c r="K401" s="147"/>
    </row>
    <row r="402">
      <c r="J402" s="167"/>
      <c r="K402" s="147"/>
    </row>
    <row r="403">
      <c r="J403" s="167"/>
      <c r="K403" s="147"/>
    </row>
    <row r="404">
      <c r="J404" s="167"/>
      <c r="K404" s="147"/>
    </row>
    <row r="405">
      <c r="J405" s="167"/>
      <c r="K405" s="147"/>
    </row>
    <row r="406">
      <c r="J406" s="167"/>
      <c r="K406" s="147"/>
    </row>
    <row r="407">
      <c r="J407" s="167"/>
      <c r="K407" s="147"/>
    </row>
    <row r="408">
      <c r="J408" s="167"/>
      <c r="K408" s="147"/>
    </row>
    <row r="409">
      <c r="J409" s="167"/>
      <c r="K409" s="147"/>
    </row>
    <row r="410">
      <c r="J410" s="167"/>
      <c r="K410" s="147"/>
    </row>
    <row r="411">
      <c r="J411" s="167"/>
      <c r="K411" s="147"/>
    </row>
    <row r="412">
      <c r="J412" s="167"/>
      <c r="K412" s="147"/>
    </row>
    <row r="413">
      <c r="J413" s="167"/>
      <c r="K413" s="147"/>
    </row>
    <row r="414">
      <c r="J414" s="167"/>
      <c r="K414" s="147"/>
    </row>
    <row r="415">
      <c r="J415" s="167"/>
      <c r="K415" s="147"/>
    </row>
    <row r="416">
      <c r="J416" s="167"/>
      <c r="K416" s="147"/>
    </row>
    <row r="417">
      <c r="J417" s="167"/>
      <c r="K417" s="147"/>
    </row>
    <row r="418">
      <c r="J418" s="167"/>
      <c r="K418" s="147"/>
    </row>
    <row r="419">
      <c r="J419" s="167"/>
      <c r="K419" s="147"/>
    </row>
    <row r="420">
      <c r="J420" s="167"/>
      <c r="K420" s="147"/>
    </row>
    <row r="421">
      <c r="J421" s="167"/>
      <c r="K421" s="147"/>
    </row>
    <row r="422">
      <c r="J422" s="167"/>
      <c r="K422" s="147"/>
    </row>
    <row r="423">
      <c r="J423" s="167"/>
      <c r="K423" s="147"/>
    </row>
    <row r="424">
      <c r="J424" s="167"/>
      <c r="K424" s="147"/>
    </row>
    <row r="425">
      <c r="J425" s="167"/>
      <c r="K425" s="147"/>
    </row>
    <row r="426">
      <c r="J426" s="167"/>
      <c r="K426" s="147"/>
    </row>
    <row r="427">
      <c r="J427" s="167"/>
      <c r="K427" s="147"/>
    </row>
    <row r="428">
      <c r="J428" s="167"/>
      <c r="K428" s="147"/>
    </row>
    <row r="429">
      <c r="J429" s="167"/>
      <c r="K429" s="147"/>
    </row>
    <row r="430">
      <c r="J430" s="167"/>
      <c r="K430" s="147"/>
    </row>
    <row r="431">
      <c r="J431" s="167"/>
      <c r="K431" s="147"/>
    </row>
    <row r="432">
      <c r="J432" s="167"/>
      <c r="K432" s="147"/>
    </row>
    <row r="433">
      <c r="J433" s="167"/>
      <c r="K433" s="147"/>
    </row>
    <row r="434">
      <c r="J434" s="167"/>
      <c r="K434" s="147"/>
    </row>
    <row r="435">
      <c r="J435" s="167"/>
      <c r="K435" s="147"/>
    </row>
    <row r="436">
      <c r="J436" s="167"/>
      <c r="K436" s="147"/>
    </row>
    <row r="437">
      <c r="J437" s="167"/>
      <c r="K437" s="147"/>
    </row>
    <row r="438">
      <c r="J438" s="167"/>
      <c r="K438" s="147"/>
    </row>
    <row r="439">
      <c r="J439" s="167"/>
      <c r="K439" s="147"/>
    </row>
    <row r="440">
      <c r="J440" s="167"/>
      <c r="K440" s="147"/>
    </row>
    <row r="441">
      <c r="J441" s="167"/>
      <c r="K441" s="147"/>
    </row>
    <row r="442">
      <c r="J442" s="167"/>
      <c r="K442" s="147"/>
    </row>
    <row r="443">
      <c r="J443" s="167"/>
      <c r="K443" s="147"/>
    </row>
    <row r="444">
      <c r="J444" s="167"/>
      <c r="K444" s="147"/>
    </row>
    <row r="445">
      <c r="J445" s="167"/>
      <c r="K445" s="147"/>
    </row>
    <row r="446">
      <c r="J446" s="167"/>
      <c r="K446" s="147"/>
    </row>
    <row r="447">
      <c r="J447" s="167"/>
      <c r="K447" s="147"/>
    </row>
    <row r="448">
      <c r="J448" s="167"/>
      <c r="K448" s="147"/>
    </row>
    <row r="449">
      <c r="J449" s="167"/>
      <c r="K449" s="147"/>
    </row>
    <row r="450">
      <c r="J450" s="167"/>
      <c r="K450" s="147"/>
    </row>
    <row r="451">
      <c r="J451" s="167"/>
      <c r="K451" s="147"/>
    </row>
    <row r="452">
      <c r="J452" s="167"/>
      <c r="K452" s="147"/>
    </row>
    <row r="453">
      <c r="J453" s="167"/>
      <c r="K453" s="147"/>
    </row>
    <row r="454">
      <c r="J454" s="167"/>
      <c r="K454" s="147"/>
    </row>
    <row r="455">
      <c r="J455" s="167"/>
      <c r="K455" s="147"/>
    </row>
    <row r="456">
      <c r="J456" s="167"/>
      <c r="K456" s="147"/>
    </row>
    <row r="457">
      <c r="J457" s="167"/>
      <c r="K457" s="147"/>
    </row>
    <row r="458">
      <c r="J458" s="167"/>
      <c r="K458" s="147"/>
    </row>
    <row r="459">
      <c r="J459" s="167"/>
      <c r="K459" s="147"/>
    </row>
    <row r="460">
      <c r="J460" s="167"/>
      <c r="K460" s="147"/>
    </row>
    <row r="461">
      <c r="J461" s="167"/>
      <c r="K461" s="147"/>
    </row>
    <row r="462">
      <c r="J462" s="167"/>
      <c r="K462" s="147"/>
    </row>
    <row r="463">
      <c r="J463" s="167"/>
      <c r="K463" s="147"/>
    </row>
    <row r="464">
      <c r="J464" s="167"/>
      <c r="K464" s="147"/>
    </row>
    <row r="465">
      <c r="J465" s="167"/>
      <c r="K465" s="147"/>
    </row>
    <row r="466">
      <c r="J466" s="167"/>
      <c r="K466" s="147"/>
    </row>
    <row r="467">
      <c r="J467" s="167"/>
      <c r="K467" s="147"/>
    </row>
    <row r="468">
      <c r="J468" s="167"/>
      <c r="K468" s="147"/>
    </row>
    <row r="469">
      <c r="J469" s="167"/>
      <c r="K469" s="147"/>
    </row>
    <row r="470">
      <c r="J470" s="167"/>
      <c r="K470" s="147"/>
    </row>
    <row r="471">
      <c r="J471" s="167"/>
      <c r="K471" s="147"/>
    </row>
    <row r="472">
      <c r="J472" s="167"/>
      <c r="K472" s="147"/>
    </row>
    <row r="473">
      <c r="J473" s="167"/>
      <c r="K473" s="147"/>
    </row>
    <row r="474">
      <c r="J474" s="167"/>
      <c r="K474" s="147"/>
    </row>
    <row r="475">
      <c r="J475" s="167"/>
      <c r="K475" s="147"/>
    </row>
    <row r="476">
      <c r="J476" s="167"/>
      <c r="K476" s="147"/>
    </row>
    <row r="477">
      <c r="J477" s="167"/>
      <c r="K477" s="147"/>
    </row>
    <row r="478">
      <c r="J478" s="167"/>
      <c r="K478" s="147"/>
    </row>
    <row r="479">
      <c r="J479" s="167"/>
      <c r="K479" s="147"/>
    </row>
    <row r="480">
      <c r="J480" s="167"/>
      <c r="K480" s="147"/>
    </row>
    <row r="481">
      <c r="J481" s="167"/>
      <c r="K481" s="147"/>
    </row>
    <row r="482">
      <c r="J482" s="167"/>
      <c r="K482" s="147"/>
    </row>
    <row r="483">
      <c r="J483" s="167"/>
      <c r="K483" s="147"/>
    </row>
    <row r="484">
      <c r="J484" s="167"/>
      <c r="K484" s="147"/>
    </row>
    <row r="485">
      <c r="J485" s="167"/>
      <c r="K485" s="147"/>
    </row>
    <row r="486">
      <c r="J486" s="167"/>
      <c r="K486" s="147"/>
    </row>
    <row r="487">
      <c r="J487" s="167"/>
      <c r="K487" s="147"/>
    </row>
    <row r="488">
      <c r="J488" s="167"/>
      <c r="K488" s="147"/>
    </row>
    <row r="489">
      <c r="J489" s="167"/>
      <c r="K489" s="147"/>
    </row>
    <row r="490">
      <c r="J490" s="167"/>
      <c r="K490" s="147"/>
    </row>
    <row r="491">
      <c r="J491" s="167"/>
      <c r="K491" s="147"/>
    </row>
    <row r="492">
      <c r="J492" s="167"/>
      <c r="K492" s="147"/>
    </row>
    <row r="493">
      <c r="J493" s="167"/>
      <c r="K493" s="147"/>
    </row>
    <row r="494">
      <c r="J494" s="167"/>
      <c r="K494" s="147"/>
    </row>
    <row r="495">
      <c r="J495" s="167"/>
      <c r="K495" s="147"/>
    </row>
    <row r="496">
      <c r="J496" s="167"/>
      <c r="K496" s="147"/>
    </row>
    <row r="497">
      <c r="J497" s="167"/>
      <c r="K497" s="147"/>
    </row>
    <row r="498">
      <c r="J498" s="167"/>
      <c r="K498" s="147"/>
    </row>
    <row r="499">
      <c r="J499" s="167"/>
      <c r="K499" s="147"/>
    </row>
    <row r="500">
      <c r="J500" s="167"/>
      <c r="K500" s="147"/>
    </row>
    <row r="501">
      <c r="J501" s="167"/>
      <c r="K501" s="147"/>
    </row>
    <row r="502">
      <c r="J502" s="167"/>
      <c r="K502" s="147"/>
    </row>
    <row r="503">
      <c r="J503" s="167"/>
      <c r="K503" s="147"/>
    </row>
    <row r="504">
      <c r="J504" s="167"/>
      <c r="K504" s="147"/>
    </row>
    <row r="505">
      <c r="J505" s="167"/>
      <c r="K505" s="147"/>
    </row>
    <row r="506">
      <c r="J506" s="167"/>
      <c r="K506" s="147"/>
    </row>
    <row r="507">
      <c r="J507" s="167"/>
      <c r="K507" s="147"/>
    </row>
    <row r="508">
      <c r="J508" s="167"/>
      <c r="K508" s="147"/>
    </row>
    <row r="509">
      <c r="J509" s="167"/>
      <c r="K509" s="147"/>
    </row>
    <row r="510">
      <c r="J510" s="167"/>
      <c r="K510" s="147"/>
    </row>
    <row r="511">
      <c r="J511" s="167"/>
      <c r="K511" s="147"/>
    </row>
    <row r="512">
      <c r="J512" s="167"/>
      <c r="K512" s="147"/>
    </row>
    <row r="513">
      <c r="J513" s="167"/>
      <c r="K513" s="147"/>
    </row>
    <row r="514">
      <c r="J514" s="167"/>
      <c r="K514" s="147"/>
    </row>
    <row r="515">
      <c r="J515" s="167"/>
      <c r="K515" s="147"/>
    </row>
    <row r="516">
      <c r="J516" s="167"/>
      <c r="K516" s="147"/>
    </row>
    <row r="517">
      <c r="J517" s="167"/>
      <c r="K517" s="147"/>
    </row>
    <row r="518">
      <c r="J518" s="167"/>
      <c r="K518" s="147"/>
    </row>
    <row r="519">
      <c r="J519" s="167"/>
      <c r="K519" s="147"/>
    </row>
    <row r="520">
      <c r="J520" s="167"/>
      <c r="K520" s="147"/>
    </row>
    <row r="521">
      <c r="J521" s="167"/>
      <c r="K521" s="147"/>
    </row>
    <row r="522">
      <c r="J522" s="167"/>
      <c r="K522" s="147"/>
    </row>
    <row r="523">
      <c r="J523" s="167"/>
      <c r="K523" s="147"/>
    </row>
    <row r="524">
      <c r="J524" s="167"/>
      <c r="K524" s="147"/>
    </row>
    <row r="525">
      <c r="J525" s="167"/>
      <c r="K525" s="147"/>
    </row>
    <row r="526">
      <c r="J526" s="167"/>
      <c r="K526" s="147"/>
    </row>
    <row r="527">
      <c r="J527" s="167"/>
      <c r="K527" s="147"/>
    </row>
    <row r="528">
      <c r="J528" s="167"/>
      <c r="K528" s="147"/>
    </row>
    <row r="529">
      <c r="J529" s="167"/>
      <c r="K529" s="147"/>
    </row>
    <row r="530">
      <c r="J530" s="167"/>
      <c r="K530" s="147"/>
    </row>
    <row r="531">
      <c r="J531" s="167"/>
      <c r="K531" s="147"/>
    </row>
    <row r="532">
      <c r="J532" s="167"/>
      <c r="K532" s="147"/>
    </row>
    <row r="533">
      <c r="J533" s="167"/>
      <c r="K533" s="147"/>
    </row>
    <row r="534">
      <c r="J534" s="167"/>
      <c r="K534" s="147"/>
    </row>
    <row r="535">
      <c r="J535" s="167"/>
      <c r="K535" s="147"/>
    </row>
    <row r="536">
      <c r="J536" s="167"/>
      <c r="K536" s="147"/>
    </row>
    <row r="537">
      <c r="J537" s="167"/>
      <c r="K537" s="147"/>
    </row>
    <row r="538">
      <c r="J538" s="167"/>
      <c r="K538" s="147"/>
    </row>
    <row r="539">
      <c r="J539" s="167"/>
      <c r="K539" s="147"/>
    </row>
    <row r="540">
      <c r="J540" s="167"/>
      <c r="K540" s="147"/>
    </row>
    <row r="541">
      <c r="J541" s="167"/>
      <c r="K541" s="147"/>
    </row>
    <row r="542">
      <c r="J542" s="167"/>
      <c r="K542" s="147"/>
    </row>
    <row r="543">
      <c r="J543" s="167"/>
      <c r="K543" s="147"/>
    </row>
    <row r="544">
      <c r="J544" s="167"/>
      <c r="K544" s="147"/>
    </row>
    <row r="545">
      <c r="J545" s="167"/>
      <c r="K545" s="147"/>
    </row>
    <row r="546">
      <c r="J546" s="167"/>
      <c r="K546" s="147"/>
    </row>
    <row r="547">
      <c r="J547" s="167"/>
      <c r="K547" s="147"/>
    </row>
    <row r="548">
      <c r="J548" s="167"/>
      <c r="K548" s="147"/>
    </row>
    <row r="549">
      <c r="J549" s="167"/>
      <c r="K549" s="147"/>
    </row>
    <row r="550">
      <c r="J550" s="167"/>
      <c r="K550" s="147"/>
    </row>
    <row r="551">
      <c r="J551" s="167"/>
      <c r="K551" s="147"/>
    </row>
    <row r="552">
      <c r="J552" s="167"/>
      <c r="K552" s="147"/>
    </row>
    <row r="553">
      <c r="J553" s="167"/>
      <c r="K553" s="147"/>
    </row>
    <row r="554">
      <c r="J554" s="167"/>
      <c r="K554" s="147"/>
    </row>
    <row r="555">
      <c r="J555" s="167"/>
      <c r="K555" s="147"/>
    </row>
    <row r="556">
      <c r="J556" s="167"/>
      <c r="K556" s="147"/>
    </row>
    <row r="557">
      <c r="J557" s="167"/>
      <c r="K557" s="147"/>
    </row>
    <row r="558">
      <c r="J558" s="167"/>
      <c r="K558" s="147"/>
    </row>
    <row r="559">
      <c r="J559" s="167"/>
      <c r="K559" s="147"/>
    </row>
    <row r="560">
      <c r="J560" s="167"/>
      <c r="K560" s="147"/>
    </row>
    <row r="561">
      <c r="J561" s="167"/>
      <c r="K561" s="147"/>
    </row>
    <row r="562">
      <c r="J562" s="167"/>
      <c r="K562" s="147"/>
    </row>
    <row r="563">
      <c r="J563" s="167"/>
      <c r="K563" s="147"/>
    </row>
    <row r="564">
      <c r="J564" s="167"/>
      <c r="K564" s="147"/>
    </row>
    <row r="565">
      <c r="J565" s="167"/>
      <c r="K565" s="147"/>
    </row>
    <row r="566">
      <c r="J566" s="167"/>
      <c r="K566" s="147"/>
    </row>
    <row r="567">
      <c r="J567" s="167"/>
      <c r="K567" s="147"/>
    </row>
    <row r="568">
      <c r="J568" s="167"/>
      <c r="K568" s="147"/>
    </row>
    <row r="569">
      <c r="J569" s="167"/>
      <c r="K569" s="147"/>
    </row>
    <row r="570">
      <c r="J570" s="167"/>
      <c r="K570" s="147"/>
    </row>
    <row r="571">
      <c r="J571" s="167"/>
      <c r="K571" s="147"/>
    </row>
    <row r="572">
      <c r="J572" s="167"/>
      <c r="K572" s="147"/>
    </row>
    <row r="573">
      <c r="J573" s="167"/>
      <c r="K573" s="147"/>
    </row>
    <row r="574">
      <c r="J574" s="167"/>
      <c r="K574" s="147"/>
    </row>
    <row r="575">
      <c r="J575" s="167"/>
      <c r="K575" s="147"/>
    </row>
    <row r="576">
      <c r="J576" s="167"/>
      <c r="K576" s="147"/>
    </row>
    <row r="577">
      <c r="J577" s="167"/>
      <c r="K577" s="147"/>
    </row>
    <row r="578">
      <c r="J578" s="167"/>
      <c r="K578" s="147"/>
    </row>
    <row r="579">
      <c r="J579" s="167"/>
      <c r="K579" s="147"/>
    </row>
    <row r="580">
      <c r="J580" s="167"/>
      <c r="K580" s="147"/>
    </row>
    <row r="581">
      <c r="J581" s="167"/>
      <c r="K581" s="147"/>
    </row>
    <row r="582">
      <c r="J582" s="167"/>
      <c r="K582" s="147"/>
    </row>
    <row r="583">
      <c r="J583" s="167"/>
      <c r="K583" s="147"/>
    </row>
    <row r="584">
      <c r="J584" s="167"/>
      <c r="K584" s="147"/>
    </row>
    <row r="585">
      <c r="J585" s="167"/>
      <c r="K585" s="147"/>
    </row>
    <row r="586">
      <c r="J586" s="167"/>
      <c r="K586" s="147"/>
    </row>
    <row r="587">
      <c r="J587" s="167"/>
      <c r="K587" s="147"/>
    </row>
    <row r="588">
      <c r="J588" s="167"/>
      <c r="K588" s="147"/>
    </row>
    <row r="589">
      <c r="J589" s="167"/>
      <c r="K589" s="147"/>
    </row>
    <row r="590">
      <c r="J590" s="167"/>
      <c r="K590" s="147"/>
    </row>
    <row r="591">
      <c r="J591" s="167"/>
      <c r="K591" s="147"/>
    </row>
    <row r="592">
      <c r="J592" s="167"/>
      <c r="K592" s="147"/>
    </row>
    <row r="593">
      <c r="J593" s="167"/>
      <c r="K593" s="147"/>
    </row>
    <row r="594">
      <c r="J594" s="167"/>
      <c r="K594" s="147"/>
    </row>
    <row r="595">
      <c r="J595" s="167"/>
      <c r="K595" s="147"/>
    </row>
    <row r="596">
      <c r="J596" s="167"/>
      <c r="K596" s="147"/>
    </row>
    <row r="597">
      <c r="J597" s="167"/>
      <c r="K597" s="147"/>
    </row>
    <row r="598">
      <c r="J598" s="167"/>
      <c r="K598" s="147"/>
    </row>
    <row r="599">
      <c r="J599" s="167"/>
      <c r="K599" s="147"/>
    </row>
    <row r="600">
      <c r="J600" s="167"/>
      <c r="K600" s="147"/>
    </row>
    <row r="601">
      <c r="J601" s="167"/>
      <c r="K601" s="147"/>
    </row>
    <row r="602">
      <c r="J602" s="167"/>
      <c r="K602" s="147"/>
    </row>
    <row r="603">
      <c r="J603" s="167"/>
      <c r="K603" s="147"/>
    </row>
    <row r="604">
      <c r="J604" s="167"/>
      <c r="K604" s="147"/>
    </row>
    <row r="605">
      <c r="J605" s="167"/>
      <c r="K605" s="147"/>
    </row>
    <row r="606">
      <c r="J606" s="167"/>
      <c r="K606" s="147"/>
    </row>
    <row r="607">
      <c r="J607" s="167"/>
      <c r="K607" s="147"/>
    </row>
    <row r="608">
      <c r="J608" s="167"/>
      <c r="K608" s="147"/>
    </row>
    <row r="609">
      <c r="J609" s="167"/>
      <c r="K609" s="147"/>
    </row>
    <row r="610">
      <c r="J610" s="167"/>
      <c r="K610" s="147"/>
    </row>
    <row r="611">
      <c r="J611" s="167"/>
      <c r="K611" s="147"/>
    </row>
    <row r="612">
      <c r="J612" s="167"/>
      <c r="K612" s="147"/>
    </row>
    <row r="613">
      <c r="J613" s="167"/>
      <c r="K613" s="147"/>
    </row>
    <row r="614">
      <c r="J614" s="167"/>
      <c r="K614" s="147"/>
    </row>
    <row r="615">
      <c r="J615" s="167"/>
      <c r="K615" s="147"/>
    </row>
    <row r="616">
      <c r="J616" s="167"/>
      <c r="K616" s="147"/>
    </row>
    <row r="617">
      <c r="J617" s="167"/>
      <c r="K617" s="147"/>
    </row>
    <row r="618">
      <c r="J618" s="167"/>
      <c r="K618" s="147"/>
    </row>
    <row r="619">
      <c r="J619" s="167"/>
      <c r="K619" s="147"/>
    </row>
    <row r="620">
      <c r="J620" s="167"/>
      <c r="K620" s="147"/>
    </row>
    <row r="621">
      <c r="J621" s="167"/>
      <c r="K621" s="147"/>
    </row>
    <row r="622">
      <c r="J622" s="167"/>
      <c r="K622" s="147"/>
    </row>
    <row r="623">
      <c r="J623" s="167"/>
      <c r="K623" s="147"/>
    </row>
    <row r="624">
      <c r="J624" s="167"/>
      <c r="K624" s="147"/>
    </row>
    <row r="625">
      <c r="J625" s="167"/>
      <c r="K625" s="147"/>
    </row>
    <row r="626">
      <c r="J626" s="167"/>
      <c r="K626" s="147"/>
    </row>
    <row r="627">
      <c r="J627" s="167"/>
      <c r="K627" s="147"/>
    </row>
    <row r="628">
      <c r="J628" s="167"/>
      <c r="K628" s="147"/>
    </row>
    <row r="629">
      <c r="J629" s="167"/>
      <c r="K629" s="147"/>
    </row>
    <row r="630">
      <c r="J630" s="167"/>
      <c r="K630" s="147"/>
    </row>
    <row r="631">
      <c r="J631" s="167"/>
      <c r="K631" s="147"/>
    </row>
    <row r="632">
      <c r="J632" s="167"/>
      <c r="K632" s="147"/>
    </row>
    <row r="633">
      <c r="J633" s="167"/>
      <c r="K633" s="147"/>
    </row>
    <row r="634">
      <c r="J634" s="167"/>
      <c r="K634" s="147"/>
    </row>
    <row r="635">
      <c r="J635" s="167"/>
      <c r="K635" s="147"/>
    </row>
    <row r="636">
      <c r="J636" s="167"/>
      <c r="K636" s="147"/>
    </row>
    <row r="637">
      <c r="J637" s="167"/>
      <c r="K637" s="147"/>
    </row>
    <row r="638">
      <c r="J638" s="167"/>
      <c r="K638" s="147"/>
    </row>
    <row r="639">
      <c r="J639" s="167"/>
      <c r="K639" s="147"/>
    </row>
    <row r="640">
      <c r="J640" s="167"/>
      <c r="K640" s="147"/>
    </row>
    <row r="641">
      <c r="J641" s="167"/>
      <c r="K641" s="147"/>
    </row>
    <row r="642">
      <c r="J642" s="167"/>
      <c r="K642" s="147"/>
    </row>
    <row r="643">
      <c r="J643" s="167"/>
      <c r="K643" s="147"/>
    </row>
    <row r="644">
      <c r="J644" s="167"/>
      <c r="K644" s="147"/>
    </row>
    <row r="645">
      <c r="J645" s="167"/>
      <c r="K645" s="147"/>
    </row>
    <row r="646">
      <c r="J646" s="167"/>
      <c r="K646" s="147"/>
    </row>
    <row r="647">
      <c r="J647" s="167"/>
      <c r="K647" s="147"/>
    </row>
    <row r="648">
      <c r="J648" s="167"/>
      <c r="K648" s="147"/>
    </row>
    <row r="649">
      <c r="J649" s="167"/>
      <c r="K649" s="147"/>
    </row>
    <row r="650">
      <c r="J650" s="167"/>
      <c r="K650" s="147"/>
    </row>
    <row r="651">
      <c r="J651" s="167"/>
      <c r="K651" s="147"/>
    </row>
    <row r="652">
      <c r="J652" s="167"/>
      <c r="K652" s="147"/>
    </row>
    <row r="653">
      <c r="J653" s="167"/>
      <c r="K653" s="147"/>
    </row>
    <row r="654">
      <c r="J654" s="167"/>
      <c r="K654" s="147"/>
    </row>
    <row r="655">
      <c r="J655" s="167"/>
      <c r="K655" s="147"/>
    </row>
    <row r="656">
      <c r="J656" s="167"/>
      <c r="K656" s="147"/>
    </row>
    <row r="657">
      <c r="J657" s="167"/>
      <c r="K657" s="147"/>
    </row>
    <row r="658">
      <c r="J658" s="167"/>
      <c r="K658" s="147"/>
    </row>
    <row r="659">
      <c r="J659" s="167"/>
      <c r="K659" s="147"/>
    </row>
    <row r="660">
      <c r="J660" s="167"/>
      <c r="K660" s="147"/>
    </row>
    <row r="661">
      <c r="J661" s="167"/>
      <c r="K661" s="147"/>
    </row>
    <row r="662">
      <c r="J662" s="167"/>
      <c r="K662" s="147"/>
    </row>
    <row r="663">
      <c r="J663" s="167"/>
      <c r="K663" s="147"/>
    </row>
    <row r="664">
      <c r="J664" s="167"/>
      <c r="K664" s="147"/>
    </row>
    <row r="665">
      <c r="J665" s="167"/>
      <c r="K665" s="147"/>
    </row>
    <row r="666">
      <c r="J666" s="167"/>
      <c r="K666" s="147"/>
    </row>
    <row r="667">
      <c r="J667" s="167"/>
      <c r="K667" s="147"/>
    </row>
    <row r="668">
      <c r="J668" s="167"/>
      <c r="K668" s="147"/>
    </row>
    <row r="669">
      <c r="J669" s="167"/>
      <c r="K669" s="147"/>
    </row>
    <row r="670">
      <c r="J670" s="167"/>
      <c r="K670" s="147"/>
    </row>
    <row r="671">
      <c r="J671" s="167"/>
      <c r="K671" s="147"/>
    </row>
    <row r="672">
      <c r="J672" s="167"/>
      <c r="K672" s="147"/>
    </row>
    <row r="673">
      <c r="J673" s="167"/>
      <c r="K673" s="147"/>
    </row>
    <row r="674">
      <c r="J674" s="167"/>
      <c r="K674" s="147"/>
    </row>
    <row r="675">
      <c r="J675" s="167"/>
      <c r="K675" s="147"/>
    </row>
    <row r="676">
      <c r="J676" s="167"/>
      <c r="K676" s="147"/>
    </row>
    <row r="677">
      <c r="J677" s="167"/>
      <c r="K677" s="147"/>
    </row>
    <row r="678">
      <c r="J678" s="167"/>
      <c r="K678" s="147"/>
    </row>
    <row r="679">
      <c r="J679" s="167"/>
      <c r="K679" s="147"/>
    </row>
    <row r="680">
      <c r="J680" s="167"/>
      <c r="K680" s="147"/>
    </row>
    <row r="681">
      <c r="J681" s="167"/>
      <c r="K681" s="147"/>
    </row>
    <row r="682">
      <c r="J682" s="167"/>
      <c r="K682" s="147"/>
    </row>
    <row r="683">
      <c r="J683" s="167"/>
      <c r="K683" s="147"/>
    </row>
    <row r="684">
      <c r="J684" s="167"/>
      <c r="K684" s="147"/>
    </row>
    <row r="685">
      <c r="J685" s="167"/>
      <c r="K685" s="147"/>
    </row>
    <row r="686">
      <c r="J686" s="167"/>
      <c r="K686" s="147"/>
    </row>
    <row r="687">
      <c r="J687" s="167"/>
      <c r="K687" s="147"/>
    </row>
    <row r="688">
      <c r="J688" s="167"/>
      <c r="K688" s="147"/>
    </row>
    <row r="689">
      <c r="J689" s="167"/>
      <c r="K689" s="147"/>
    </row>
    <row r="690">
      <c r="J690" s="167"/>
      <c r="K690" s="147"/>
    </row>
    <row r="691">
      <c r="J691" s="167"/>
      <c r="K691" s="147"/>
    </row>
    <row r="692">
      <c r="J692" s="167"/>
      <c r="K692" s="147"/>
    </row>
    <row r="693">
      <c r="J693" s="167"/>
      <c r="K693" s="147"/>
    </row>
    <row r="694">
      <c r="J694" s="167"/>
      <c r="K694" s="147"/>
    </row>
    <row r="695">
      <c r="J695" s="167"/>
      <c r="K695" s="147"/>
    </row>
    <row r="696">
      <c r="J696" s="167"/>
      <c r="K696" s="147"/>
    </row>
    <row r="697">
      <c r="J697" s="167"/>
      <c r="K697" s="147"/>
    </row>
    <row r="698">
      <c r="J698" s="167"/>
      <c r="K698" s="147"/>
    </row>
    <row r="699">
      <c r="J699" s="167"/>
      <c r="K699" s="147"/>
    </row>
    <row r="700">
      <c r="J700" s="167"/>
      <c r="K700" s="147"/>
    </row>
    <row r="701">
      <c r="J701" s="167"/>
      <c r="K701" s="147"/>
    </row>
    <row r="702">
      <c r="J702" s="167"/>
      <c r="K702" s="147"/>
    </row>
    <row r="703">
      <c r="J703" s="167"/>
      <c r="K703" s="147"/>
    </row>
    <row r="704">
      <c r="J704" s="167"/>
      <c r="K704" s="147"/>
    </row>
    <row r="705">
      <c r="J705" s="167"/>
      <c r="K705" s="147"/>
    </row>
    <row r="706">
      <c r="J706" s="167"/>
      <c r="K706" s="147"/>
    </row>
    <row r="707">
      <c r="J707" s="167"/>
      <c r="K707" s="147"/>
    </row>
    <row r="708">
      <c r="J708" s="167"/>
      <c r="K708" s="147"/>
    </row>
    <row r="709">
      <c r="J709" s="167"/>
      <c r="K709" s="147"/>
    </row>
    <row r="710">
      <c r="J710" s="167"/>
      <c r="K710" s="147"/>
    </row>
    <row r="711">
      <c r="J711" s="167"/>
      <c r="K711" s="147"/>
    </row>
    <row r="712">
      <c r="J712" s="167"/>
      <c r="K712" s="147"/>
    </row>
    <row r="713">
      <c r="J713" s="167"/>
      <c r="K713" s="147"/>
    </row>
    <row r="714">
      <c r="J714" s="167"/>
      <c r="K714" s="147"/>
    </row>
    <row r="715">
      <c r="J715" s="167"/>
      <c r="K715" s="147"/>
    </row>
    <row r="716">
      <c r="J716" s="167"/>
      <c r="K716" s="147"/>
    </row>
    <row r="717">
      <c r="J717" s="167"/>
      <c r="K717" s="147"/>
    </row>
    <row r="718">
      <c r="J718" s="167"/>
      <c r="K718" s="147"/>
    </row>
    <row r="719">
      <c r="J719" s="167"/>
      <c r="K719" s="147"/>
    </row>
    <row r="720">
      <c r="J720" s="167"/>
      <c r="K720" s="147"/>
    </row>
    <row r="721">
      <c r="J721" s="167"/>
      <c r="K721" s="147"/>
    </row>
    <row r="722">
      <c r="J722" s="167"/>
      <c r="K722" s="147"/>
    </row>
    <row r="723">
      <c r="J723" s="167"/>
      <c r="K723" s="147"/>
    </row>
    <row r="724">
      <c r="J724" s="167"/>
      <c r="K724" s="147"/>
    </row>
    <row r="725">
      <c r="J725" s="167"/>
      <c r="K725" s="147"/>
    </row>
    <row r="726">
      <c r="J726" s="167"/>
      <c r="K726" s="147"/>
    </row>
    <row r="727">
      <c r="J727" s="167"/>
      <c r="K727" s="147"/>
    </row>
    <row r="728">
      <c r="J728" s="167"/>
      <c r="K728" s="147"/>
    </row>
    <row r="729">
      <c r="J729" s="167"/>
      <c r="K729" s="147"/>
    </row>
    <row r="730">
      <c r="J730" s="167"/>
      <c r="K730" s="147"/>
    </row>
    <row r="731">
      <c r="J731" s="167"/>
      <c r="K731" s="147"/>
    </row>
    <row r="732">
      <c r="J732" s="167"/>
      <c r="K732" s="147"/>
    </row>
    <row r="733">
      <c r="J733" s="167"/>
      <c r="K733" s="147"/>
    </row>
    <row r="734">
      <c r="J734" s="167"/>
      <c r="K734" s="147"/>
    </row>
    <row r="735">
      <c r="J735" s="167"/>
      <c r="K735" s="147"/>
    </row>
    <row r="736">
      <c r="J736" s="167"/>
      <c r="K736" s="147"/>
    </row>
    <row r="737">
      <c r="J737" s="167"/>
      <c r="K737" s="147"/>
    </row>
    <row r="738">
      <c r="J738" s="167"/>
      <c r="K738" s="147"/>
    </row>
    <row r="739">
      <c r="J739" s="167"/>
      <c r="K739" s="147"/>
    </row>
    <row r="740">
      <c r="J740" s="167"/>
      <c r="K740" s="147"/>
    </row>
    <row r="741">
      <c r="J741" s="167"/>
      <c r="K741" s="147"/>
    </row>
    <row r="742">
      <c r="J742" s="167"/>
      <c r="K742" s="147"/>
    </row>
    <row r="743">
      <c r="J743" s="167"/>
      <c r="K743" s="147"/>
    </row>
    <row r="744">
      <c r="J744" s="167"/>
      <c r="K744" s="147"/>
    </row>
    <row r="745">
      <c r="J745" s="167"/>
      <c r="K745" s="147"/>
    </row>
    <row r="746">
      <c r="J746" s="167"/>
      <c r="K746" s="147"/>
    </row>
    <row r="747">
      <c r="J747" s="167"/>
      <c r="K747" s="147"/>
    </row>
    <row r="748">
      <c r="J748" s="167"/>
      <c r="K748" s="147"/>
    </row>
    <row r="749">
      <c r="J749" s="167"/>
      <c r="K749" s="147"/>
    </row>
    <row r="750">
      <c r="J750" s="167"/>
      <c r="K750" s="147"/>
    </row>
    <row r="751">
      <c r="J751" s="167"/>
      <c r="K751" s="147"/>
    </row>
    <row r="752">
      <c r="J752" s="167"/>
      <c r="K752" s="147"/>
    </row>
    <row r="753">
      <c r="J753" s="167"/>
      <c r="K753" s="147"/>
    </row>
    <row r="754">
      <c r="J754" s="167"/>
      <c r="K754" s="147"/>
    </row>
    <row r="755">
      <c r="J755" s="167"/>
      <c r="K755" s="147"/>
    </row>
    <row r="756">
      <c r="J756" s="167"/>
      <c r="K756" s="147"/>
    </row>
    <row r="757">
      <c r="J757" s="167"/>
      <c r="K757" s="147"/>
    </row>
    <row r="758">
      <c r="J758" s="167"/>
      <c r="K758" s="147"/>
    </row>
    <row r="759">
      <c r="J759" s="167"/>
      <c r="K759" s="147"/>
    </row>
    <row r="760">
      <c r="J760" s="167"/>
      <c r="K760" s="147"/>
    </row>
    <row r="761">
      <c r="J761" s="167"/>
      <c r="K761" s="147"/>
    </row>
    <row r="762">
      <c r="J762" s="167"/>
      <c r="K762" s="147"/>
    </row>
    <row r="763">
      <c r="J763" s="167"/>
      <c r="K763" s="147"/>
    </row>
    <row r="764">
      <c r="J764" s="167"/>
      <c r="K764" s="147"/>
    </row>
    <row r="765">
      <c r="J765" s="167"/>
      <c r="K765" s="147"/>
    </row>
    <row r="766">
      <c r="J766" s="167"/>
      <c r="K766" s="147"/>
    </row>
    <row r="767">
      <c r="J767" s="167"/>
      <c r="K767" s="147"/>
    </row>
    <row r="768">
      <c r="J768" s="167"/>
      <c r="K768" s="147"/>
    </row>
    <row r="769">
      <c r="J769" s="167"/>
      <c r="K769" s="147"/>
    </row>
    <row r="770">
      <c r="J770" s="167"/>
      <c r="K770" s="147"/>
    </row>
    <row r="771">
      <c r="J771" s="167"/>
      <c r="K771" s="147"/>
    </row>
    <row r="772">
      <c r="J772" s="167"/>
      <c r="K772" s="147"/>
    </row>
    <row r="773">
      <c r="J773" s="167"/>
      <c r="K773" s="147"/>
    </row>
    <row r="774">
      <c r="J774" s="167"/>
      <c r="K774" s="147"/>
    </row>
    <row r="775">
      <c r="J775" s="167"/>
      <c r="K775" s="147"/>
    </row>
    <row r="776">
      <c r="J776" s="167"/>
      <c r="K776" s="147"/>
    </row>
    <row r="777">
      <c r="J777" s="167"/>
      <c r="K777" s="147"/>
    </row>
    <row r="778">
      <c r="J778" s="167"/>
      <c r="K778" s="147"/>
    </row>
    <row r="779">
      <c r="J779" s="167"/>
      <c r="K779" s="147"/>
    </row>
    <row r="780">
      <c r="J780" s="167"/>
      <c r="K780" s="147"/>
    </row>
    <row r="781">
      <c r="J781" s="167"/>
      <c r="K781" s="147"/>
    </row>
    <row r="782">
      <c r="J782" s="167"/>
      <c r="K782" s="147"/>
    </row>
    <row r="783">
      <c r="J783" s="167"/>
      <c r="K783" s="147"/>
    </row>
    <row r="784">
      <c r="J784" s="167"/>
      <c r="K784" s="147"/>
    </row>
    <row r="785">
      <c r="J785" s="167"/>
      <c r="K785" s="147"/>
    </row>
    <row r="786">
      <c r="J786" s="167"/>
      <c r="K786" s="147"/>
    </row>
    <row r="787">
      <c r="J787" s="167"/>
      <c r="K787" s="147"/>
    </row>
    <row r="788">
      <c r="J788" s="167"/>
      <c r="K788" s="147"/>
    </row>
    <row r="789">
      <c r="J789" s="167"/>
      <c r="K789" s="147"/>
    </row>
    <row r="790">
      <c r="J790" s="167"/>
      <c r="K790" s="147"/>
    </row>
    <row r="791">
      <c r="J791" s="167"/>
      <c r="K791" s="147"/>
    </row>
    <row r="792">
      <c r="J792" s="167"/>
      <c r="K792" s="147"/>
    </row>
    <row r="793">
      <c r="J793" s="167"/>
      <c r="K793" s="147"/>
    </row>
    <row r="794">
      <c r="J794" s="167"/>
      <c r="K794" s="147"/>
    </row>
    <row r="795">
      <c r="J795" s="167"/>
      <c r="K795" s="147"/>
    </row>
    <row r="796">
      <c r="J796" s="167"/>
      <c r="K796" s="147"/>
    </row>
    <row r="797">
      <c r="J797" s="167"/>
      <c r="K797" s="147"/>
    </row>
    <row r="798">
      <c r="J798" s="167"/>
      <c r="K798" s="147"/>
    </row>
    <row r="799">
      <c r="J799" s="167"/>
      <c r="K799" s="147"/>
    </row>
    <row r="800">
      <c r="J800" s="167"/>
      <c r="K800" s="147"/>
    </row>
    <row r="801">
      <c r="J801" s="167"/>
      <c r="K801" s="147"/>
    </row>
    <row r="802">
      <c r="J802" s="167"/>
      <c r="K802" s="147"/>
    </row>
    <row r="803">
      <c r="J803" s="167"/>
      <c r="K803" s="147"/>
    </row>
    <row r="804">
      <c r="J804" s="167"/>
      <c r="K804" s="147"/>
    </row>
    <row r="805">
      <c r="J805" s="167"/>
      <c r="K805" s="147"/>
    </row>
    <row r="806">
      <c r="J806" s="167"/>
      <c r="K806" s="147"/>
    </row>
    <row r="807">
      <c r="J807" s="167"/>
      <c r="K807" s="147"/>
    </row>
    <row r="808">
      <c r="J808" s="167"/>
      <c r="K808" s="147"/>
    </row>
    <row r="809">
      <c r="J809" s="167"/>
      <c r="K809" s="147"/>
    </row>
    <row r="810">
      <c r="J810" s="167"/>
      <c r="K810" s="147"/>
    </row>
    <row r="811">
      <c r="J811" s="167"/>
      <c r="K811" s="147"/>
    </row>
    <row r="812">
      <c r="J812" s="167"/>
      <c r="K812" s="147"/>
    </row>
    <row r="813">
      <c r="J813" s="167"/>
      <c r="K813" s="147"/>
    </row>
    <row r="814">
      <c r="J814" s="167"/>
      <c r="K814" s="147"/>
    </row>
    <row r="815">
      <c r="J815" s="167"/>
      <c r="K815" s="147"/>
    </row>
    <row r="816">
      <c r="J816" s="167"/>
      <c r="K816" s="147"/>
    </row>
    <row r="817">
      <c r="J817" s="167"/>
      <c r="K817" s="147"/>
    </row>
    <row r="818">
      <c r="J818" s="167"/>
      <c r="K818" s="147"/>
    </row>
    <row r="819">
      <c r="J819" s="167"/>
      <c r="K819" s="147"/>
    </row>
    <row r="820">
      <c r="J820" s="167"/>
      <c r="K820" s="147"/>
    </row>
    <row r="821">
      <c r="J821" s="167"/>
      <c r="K821" s="147"/>
    </row>
    <row r="822">
      <c r="J822" s="167"/>
      <c r="K822" s="147"/>
    </row>
    <row r="823">
      <c r="J823" s="167"/>
      <c r="K823" s="147"/>
    </row>
    <row r="824">
      <c r="J824" s="167"/>
      <c r="K824" s="147"/>
    </row>
    <row r="825">
      <c r="J825" s="167"/>
      <c r="K825" s="147"/>
    </row>
    <row r="826">
      <c r="J826" s="167"/>
      <c r="K826" s="147"/>
    </row>
    <row r="827">
      <c r="J827" s="167"/>
      <c r="K827" s="147"/>
    </row>
    <row r="828">
      <c r="J828" s="167"/>
      <c r="K828" s="147"/>
    </row>
    <row r="829">
      <c r="J829" s="167"/>
      <c r="K829" s="147"/>
    </row>
    <row r="830">
      <c r="J830" s="167"/>
      <c r="K830" s="147"/>
    </row>
    <row r="831">
      <c r="J831" s="167"/>
      <c r="K831" s="147"/>
    </row>
    <row r="832">
      <c r="J832" s="167"/>
      <c r="K832" s="147"/>
    </row>
    <row r="833">
      <c r="J833" s="167"/>
      <c r="K833" s="147"/>
    </row>
    <row r="834">
      <c r="J834" s="167"/>
      <c r="K834" s="147"/>
    </row>
    <row r="835">
      <c r="J835" s="167"/>
      <c r="K835" s="147"/>
    </row>
    <row r="836">
      <c r="J836" s="167"/>
      <c r="K836" s="147"/>
    </row>
    <row r="837">
      <c r="J837" s="167"/>
      <c r="K837" s="147"/>
    </row>
    <row r="838">
      <c r="J838" s="167"/>
      <c r="K838" s="147"/>
    </row>
    <row r="839">
      <c r="J839" s="167"/>
      <c r="K839" s="147"/>
    </row>
    <row r="840">
      <c r="J840" s="167"/>
      <c r="K840" s="147"/>
    </row>
    <row r="841">
      <c r="J841" s="167"/>
      <c r="K841" s="147"/>
    </row>
    <row r="842">
      <c r="J842" s="167"/>
      <c r="K842" s="147"/>
    </row>
    <row r="843">
      <c r="J843" s="167"/>
      <c r="K843" s="147"/>
    </row>
    <row r="844">
      <c r="J844" s="167"/>
      <c r="K844" s="147"/>
    </row>
    <row r="845">
      <c r="J845" s="167"/>
      <c r="K845" s="147"/>
    </row>
    <row r="846">
      <c r="J846" s="167"/>
      <c r="K846" s="147"/>
    </row>
    <row r="847">
      <c r="J847" s="167"/>
      <c r="K847" s="147"/>
    </row>
    <row r="848">
      <c r="J848" s="167"/>
      <c r="K848" s="147"/>
    </row>
    <row r="849">
      <c r="J849" s="167"/>
      <c r="K849" s="147"/>
    </row>
    <row r="850">
      <c r="J850" s="167"/>
      <c r="K850" s="147"/>
    </row>
    <row r="851">
      <c r="J851" s="167"/>
      <c r="K851" s="147"/>
    </row>
    <row r="852">
      <c r="J852" s="167"/>
      <c r="K852" s="147"/>
    </row>
    <row r="853">
      <c r="J853" s="167"/>
      <c r="K853" s="147"/>
    </row>
    <row r="854">
      <c r="J854" s="167"/>
      <c r="K854" s="147"/>
    </row>
    <row r="855">
      <c r="J855" s="167"/>
      <c r="K855" s="147"/>
    </row>
    <row r="856">
      <c r="J856" s="167"/>
      <c r="K856" s="147"/>
    </row>
    <row r="857">
      <c r="J857" s="167"/>
      <c r="K857" s="147"/>
    </row>
    <row r="858">
      <c r="J858" s="167"/>
      <c r="K858" s="147"/>
    </row>
    <row r="859">
      <c r="J859" s="167"/>
      <c r="K859" s="147"/>
    </row>
    <row r="860">
      <c r="J860" s="167"/>
      <c r="K860" s="147"/>
    </row>
    <row r="861">
      <c r="J861" s="167"/>
      <c r="K861" s="147"/>
    </row>
    <row r="862">
      <c r="J862" s="167"/>
      <c r="K862" s="147"/>
    </row>
    <row r="863">
      <c r="J863" s="167"/>
      <c r="K863" s="147"/>
    </row>
    <row r="864">
      <c r="J864" s="167"/>
      <c r="K864" s="147"/>
    </row>
    <row r="865">
      <c r="J865" s="167"/>
      <c r="K865" s="147"/>
    </row>
    <row r="866">
      <c r="J866" s="167"/>
      <c r="K866" s="147"/>
    </row>
    <row r="867">
      <c r="J867" s="167"/>
      <c r="K867" s="147"/>
    </row>
    <row r="868">
      <c r="J868" s="167"/>
      <c r="K868" s="147"/>
    </row>
    <row r="869">
      <c r="J869" s="167"/>
      <c r="K869" s="147"/>
    </row>
    <row r="870">
      <c r="J870" s="167"/>
      <c r="K870" s="147"/>
    </row>
    <row r="871">
      <c r="J871" s="167"/>
      <c r="K871" s="147"/>
    </row>
    <row r="872">
      <c r="J872" s="167"/>
      <c r="K872" s="147"/>
    </row>
    <row r="873">
      <c r="J873" s="167"/>
      <c r="K873" s="147"/>
    </row>
    <row r="874">
      <c r="J874" s="167"/>
      <c r="K874" s="147"/>
    </row>
    <row r="875">
      <c r="J875" s="167"/>
      <c r="K875" s="147"/>
    </row>
    <row r="876">
      <c r="J876" s="167"/>
      <c r="K876" s="147"/>
    </row>
    <row r="877">
      <c r="J877" s="167"/>
      <c r="K877" s="147"/>
    </row>
    <row r="878">
      <c r="J878" s="167"/>
      <c r="K878" s="147"/>
    </row>
    <row r="879">
      <c r="J879" s="167"/>
      <c r="K879" s="147"/>
    </row>
    <row r="880">
      <c r="J880" s="167"/>
      <c r="K880" s="147"/>
    </row>
    <row r="881">
      <c r="J881" s="167"/>
      <c r="K881" s="147"/>
    </row>
    <row r="882">
      <c r="J882" s="167"/>
      <c r="K882" s="147"/>
    </row>
    <row r="883">
      <c r="J883" s="167"/>
      <c r="K883" s="147"/>
    </row>
    <row r="884">
      <c r="J884" s="167"/>
      <c r="K884" s="147"/>
    </row>
    <row r="885">
      <c r="J885" s="167"/>
      <c r="K885" s="147"/>
    </row>
    <row r="886">
      <c r="J886" s="167"/>
      <c r="K886" s="147"/>
    </row>
    <row r="887">
      <c r="J887" s="167"/>
      <c r="K887" s="147"/>
    </row>
    <row r="888">
      <c r="J888" s="167"/>
      <c r="K888" s="147"/>
    </row>
    <row r="889">
      <c r="J889" s="167"/>
      <c r="K889" s="147"/>
    </row>
    <row r="890">
      <c r="J890" s="167"/>
      <c r="K890" s="147"/>
    </row>
    <row r="891">
      <c r="J891" s="167"/>
      <c r="K891" s="147"/>
    </row>
    <row r="892">
      <c r="J892" s="167"/>
      <c r="K892" s="147"/>
    </row>
    <row r="893">
      <c r="J893" s="167"/>
      <c r="K893" s="147"/>
    </row>
    <row r="894">
      <c r="J894" s="167"/>
      <c r="K894" s="147"/>
    </row>
    <row r="895">
      <c r="J895" s="167"/>
      <c r="K895" s="147"/>
    </row>
    <row r="896">
      <c r="J896" s="167"/>
      <c r="K896" s="147"/>
    </row>
    <row r="897">
      <c r="J897" s="167"/>
      <c r="K897" s="147"/>
    </row>
    <row r="898">
      <c r="J898" s="167"/>
      <c r="K898" s="147"/>
    </row>
    <row r="899">
      <c r="J899" s="167"/>
      <c r="K899" s="147"/>
    </row>
    <row r="900">
      <c r="J900" s="167"/>
      <c r="K900" s="147"/>
    </row>
    <row r="901">
      <c r="J901" s="167"/>
      <c r="K901" s="147"/>
    </row>
    <row r="902">
      <c r="J902" s="167"/>
      <c r="K902" s="147"/>
    </row>
    <row r="903">
      <c r="J903" s="167"/>
      <c r="K903" s="147"/>
    </row>
    <row r="904">
      <c r="J904" s="167"/>
      <c r="K904" s="147"/>
    </row>
    <row r="905">
      <c r="J905" s="167"/>
      <c r="K905" s="147"/>
    </row>
    <row r="906">
      <c r="J906" s="167"/>
      <c r="K906" s="147"/>
    </row>
    <row r="907">
      <c r="J907" s="167"/>
      <c r="K907" s="147"/>
    </row>
    <row r="908">
      <c r="J908" s="167"/>
      <c r="K908" s="147"/>
    </row>
    <row r="909">
      <c r="J909" s="167"/>
      <c r="K909" s="147"/>
    </row>
    <row r="910">
      <c r="J910" s="167"/>
      <c r="K910" s="147"/>
    </row>
    <row r="911">
      <c r="J911" s="167"/>
      <c r="K911" s="147"/>
    </row>
    <row r="912">
      <c r="J912" s="167"/>
      <c r="K912" s="147"/>
    </row>
    <row r="913">
      <c r="J913" s="167"/>
      <c r="K913" s="147"/>
    </row>
    <row r="914">
      <c r="J914" s="167"/>
      <c r="K914" s="147"/>
    </row>
    <row r="915">
      <c r="J915" s="167"/>
      <c r="K915" s="147"/>
    </row>
    <row r="916">
      <c r="J916" s="167"/>
      <c r="K916" s="147"/>
    </row>
    <row r="917">
      <c r="J917" s="167"/>
      <c r="K917" s="147"/>
    </row>
    <row r="918">
      <c r="J918" s="167"/>
      <c r="K918" s="147"/>
    </row>
    <row r="919">
      <c r="J919" s="167"/>
      <c r="K919" s="147"/>
    </row>
    <row r="920">
      <c r="J920" s="167"/>
      <c r="K920" s="147"/>
    </row>
    <row r="921">
      <c r="J921" s="167"/>
      <c r="K921" s="147"/>
    </row>
    <row r="922">
      <c r="J922" s="167"/>
      <c r="K922" s="147"/>
    </row>
    <row r="923">
      <c r="J923" s="167"/>
      <c r="K923" s="147"/>
    </row>
    <row r="924">
      <c r="J924" s="167"/>
      <c r="K924" s="147"/>
    </row>
    <row r="925">
      <c r="J925" s="167"/>
      <c r="K925" s="147"/>
    </row>
    <row r="926">
      <c r="J926" s="167"/>
      <c r="K926" s="147"/>
    </row>
    <row r="927">
      <c r="J927" s="167"/>
      <c r="K927" s="147"/>
    </row>
    <row r="928">
      <c r="J928" s="167"/>
      <c r="K928" s="147"/>
    </row>
    <row r="929">
      <c r="J929" s="167"/>
      <c r="K929" s="147"/>
    </row>
    <row r="930">
      <c r="J930" s="167"/>
      <c r="K930" s="147"/>
    </row>
    <row r="931">
      <c r="J931" s="167"/>
      <c r="K931" s="147"/>
    </row>
    <row r="932">
      <c r="J932" s="167"/>
      <c r="K932" s="147"/>
    </row>
    <row r="933">
      <c r="J933" s="167"/>
      <c r="K933" s="147"/>
    </row>
    <row r="934">
      <c r="J934" s="167"/>
      <c r="K934" s="147"/>
    </row>
    <row r="935">
      <c r="J935" s="167"/>
      <c r="K935" s="147"/>
    </row>
    <row r="936">
      <c r="J936" s="167"/>
      <c r="K936" s="147"/>
    </row>
    <row r="937">
      <c r="J937" s="167"/>
      <c r="K937" s="147"/>
    </row>
    <row r="938">
      <c r="J938" s="167"/>
      <c r="K938" s="147"/>
    </row>
    <row r="939">
      <c r="J939" s="167"/>
      <c r="K939" s="147"/>
    </row>
    <row r="940">
      <c r="J940" s="167"/>
      <c r="K940" s="147"/>
    </row>
    <row r="941">
      <c r="J941" s="167"/>
      <c r="K941" s="147"/>
    </row>
    <row r="942">
      <c r="J942" s="167"/>
      <c r="K942" s="147"/>
    </row>
    <row r="943">
      <c r="J943" s="167"/>
      <c r="K943" s="147"/>
    </row>
    <row r="944">
      <c r="J944" s="167"/>
      <c r="K944" s="147"/>
    </row>
    <row r="945">
      <c r="J945" s="167"/>
      <c r="K945" s="147"/>
    </row>
    <row r="946">
      <c r="J946" s="167"/>
      <c r="K946" s="147"/>
    </row>
    <row r="947">
      <c r="J947" s="167"/>
      <c r="K947" s="147"/>
    </row>
    <row r="948">
      <c r="J948" s="167"/>
      <c r="K948" s="147"/>
    </row>
    <row r="949">
      <c r="J949" s="167"/>
      <c r="K949" s="147"/>
    </row>
    <row r="950">
      <c r="J950" s="167"/>
      <c r="K950" s="147"/>
    </row>
    <row r="951">
      <c r="J951" s="167"/>
      <c r="K951" s="147"/>
    </row>
    <row r="952">
      <c r="J952" s="167"/>
      <c r="K952" s="147"/>
    </row>
    <row r="953">
      <c r="J953" s="167"/>
      <c r="K953" s="147"/>
    </row>
    <row r="954">
      <c r="J954" s="167"/>
      <c r="K954" s="147"/>
    </row>
    <row r="955">
      <c r="J955" s="167"/>
      <c r="K955" s="147"/>
    </row>
    <row r="956">
      <c r="J956" s="167"/>
      <c r="K956" s="147"/>
    </row>
    <row r="957">
      <c r="J957" s="167"/>
      <c r="K957" s="147"/>
    </row>
    <row r="958">
      <c r="J958" s="167"/>
      <c r="K958" s="147"/>
    </row>
    <row r="959">
      <c r="J959" s="167"/>
      <c r="K959" s="147"/>
    </row>
    <row r="960">
      <c r="J960" s="167"/>
      <c r="K960" s="147"/>
    </row>
    <row r="961">
      <c r="J961" s="167"/>
      <c r="K961" s="147"/>
    </row>
    <row r="962">
      <c r="J962" s="167"/>
      <c r="K962" s="147"/>
    </row>
    <row r="963">
      <c r="J963" s="167"/>
      <c r="K963" s="147"/>
    </row>
    <row r="964">
      <c r="J964" s="167"/>
      <c r="K964" s="147"/>
    </row>
    <row r="965">
      <c r="J965" s="167"/>
      <c r="K965" s="147"/>
    </row>
    <row r="966">
      <c r="J966" s="167"/>
      <c r="K966" s="147"/>
    </row>
    <row r="967">
      <c r="J967" s="167"/>
      <c r="K967" s="147"/>
    </row>
    <row r="968">
      <c r="J968" s="167"/>
      <c r="K968" s="147"/>
    </row>
    <row r="969">
      <c r="J969" s="167"/>
      <c r="K969" s="147"/>
    </row>
    <row r="970">
      <c r="J970" s="167"/>
      <c r="K970" s="147"/>
    </row>
    <row r="971">
      <c r="J971" s="167"/>
      <c r="K971" s="147"/>
    </row>
    <row r="972">
      <c r="J972" s="167"/>
      <c r="K972" s="147"/>
    </row>
    <row r="973">
      <c r="J973" s="167"/>
      <c r="K973" s="147"/>
    </row>
    <row r="974">
      <c r="J974" s="167"/>
      <c r="K974" s="147"/>
    </row>
    <row r="975">
      <c r="J975" s="167"/>
      <c r="K975" s="147"/>
    </row>
    <row r="976">
      <c r="J976" s="167"/>
      <c r="K976" s="147"/>
    </row>
    <row r="977">
      <c r="J977" s="167"/>
      <c r="K977" s="147"/>
    </row>
    <row r="978">
      <c r="J978" s="167"/>
      <c r="K978" s="147"/>
    </row>
    <row r="979">
      <c r="J979" s="167"/>
      <c r="K979" s="147"/>
    </row>
    <row r="980">
      <c r="J980" s="167"/>
      <c r="K980" s="147"/>
    </row>
    <row r="981">
      <c r="J981" s="167"/>
      <c r="K981" s="147"/>
    </row>
    <row r="982">
      <c r="J982" s="167"/>
      <c r="K982" s="147"/>
    </row>
    <row r="983">
      <c r="J983" s="167"/>
      <c r="K983" s="147"/>
    </row>
    <row r="984">
      <c r="J984" s="167"/>
      <c r="K984" s="147"/>
    </row>
    <row r="985">
      <c r="J985" s="167"/>
      <c r="K985" s="147"/>
    </row>
    <row r="986">
      <c r="J986" s="167"/>
      <c r="K986" s="147"/>
    </row>
    <row r="987">
      <c r="J987" s="167"/>
      <c r="K987" s="147"/>
    </row>
    <row r="988">
      <c r="J988" s="167"/>
      <c r="K988" s="147"/>
    </row>
    <row r="989">
      <c r="J989" s="167"/>
      <c r="K989" s="147"/>
    </row>
    <row r="990">
      <c r="J990" s="167"/>
      <c r="K990" s="147"/>
    </row>
    <row r="991">
      <c r="J991" s="167"/>
      <c r="K991" s="147"/>
    </row>
    <row r="992">
      <c r="J992" s="167"/>
      <c r="K992" s="147"/>
    </row>
    <row r="993">
      <c r="J993" s="167"/>
      <c r="K993" s="147"/>
    </row>
    <row r="994">
      <c r="J994" s="167"/>
      <c r="K994" s="147"/>
    </row>
    <row r="995">
      <c r="J995" s="167"/>
      <c r="K995" s="147"/>
    </row>
    <row r="996">
      <c r="J996" s="167"/>
      <c r="K996" s="147"/>
    </row>
    <row r="997">
      <c r="J997" s="167"/>
      <c r="K997" s="147"/>
    </row>
    <row r="998">
      <c r="J998" s="167"/>
      <c r="K998" s="147"/>
    </row>
    <row r="999">
      <c r="J999" s="167"/>
      <c r="K999" s="147"/>
    </row>
    <row r="1000">
      <c r="J1000" s="167"/>
      <c r="K1000" s="147"/>
    </row>
    <row r="1001">
      <c r="J1001" s="167"/>
      <c r="K1001" s="147"/>
    </row>
    <row r="1002">
      <c r="J1002" s="167"/>
      <c r="K1002" s="147"/>
    </row>
    <row r="1003">
      <c r="J1003" s="167"/>
      <c r="K1003" s="147"/>
    </row>
    <row r="1004">
      <c r="J1004" s="167"/>
      <c r="K1004" s="147"/>
    </row>
    <row r="1005">
      <c r="J1005" s="167"/>
      <c r="K1005" s="147"/>
    </row>
    <row r="1006">
      <c r="J1006" s="167"/>
      <c r="K1006" s="147"/>
    </row>
    <row r="1007">
      <c r="J1007" s="167"/>
      <c r="K1007" s="147"/>
    </row>
    <row r="1008">
      <c r="J1008" s="167"/>
      <c r="K1008" s="147"/>
    </row>
    <row r="1009">
      <c r="J1009" s="167"/>
      <c r="K1009" s="147"/>
    </row>
    <row r="1010">
      <c r="J1010" s="167"/>
      <c r="K1010" s="14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3.0"/>
  </cols>
  <sheetData>
    <row r="1">
      <c r="A1" s="98"/>
      <c r="B1" s="99" t="s">
        <v>4</v>
      </c>
      <c r="C1" s="99" t="s">
        <v>5</v>
      </c>
      <c r="D1" s="99" t="s">
        <v>6</v>
      </c>
      <c r="E1" s="99" t="s">
        <v>7</v>
      </c>
      <c r="F1" s="100" t="s">
        <v>8</v>
      </c>
      <c r="G1" s="99" t="s">
        <v>9</v>
      </c>
      <c r="H1" s="99" t="s">
        <v>10</v>
      </c>
      <c r="I1" s="99" t="s">
        <v>11</v>
      </c>
      <c r="J1" s="99" t="s">
        <v>12</v>
      </c>
      <c r="K1" s="101"/>
      <c r="L1" s="102">
        <v>2014.0</v>
      </c>
      <c r="M1" s="102">
        <v>2015.0</v>
      </c>
      <c r="N1" s="102">
        <v>2016.0</v>
      </c>
      <c r="O1" s="102">
        <v>2017.0</v>
      </c>
      <c r="P1" s="102">
        <v>2018.0</v>
      </c>
      <c r="Q1" s="102">
        <v>2019.0</v>
      </c>
      <c r="R1" s="102">
        <v>2020.0</v>
      </c>
      <c r="S1" s="102">
        <v>2021.0</v>
      </c>
      <c r="T1" s="102">
        <v>2022.0</v>
      </c>
      <c r="U1" s="102">
        <v>2023.0</v>
      </c>
      <c r="V1" s="102">
        <v>2024.0</v>
      </c>
      <c r="W1" s="103">
        <v>2025.0</v>
      </c>
    </row>
    <row r="2">
      <c r="A2" s="104" t="s">
        <v>40</v>
      </c>
      <c r="B2" s="105"/>
      <c r="C2" s="105"/>
      <c r="D2" s="105"/>
      <c r="E2" s="105"/>
      <c r="F2" s="105"/>
      <c r="G2" s="105"/>
      <c r="H2" s="105"/>
      <c r="I2" s="105"/>
      <c r="J2" s="105"/>
      <c r="K2" s="106"/>
      <c r="L2" s="107"/>
      <c r="M2" s="107"/>
      <c r="N2" s="107"/>
      <c r="O2" s="107"/>
      <c r="P2" s="107"/>
      <c r="Q2" s="107"/>
      <c r="R2" s="105">
        <v>8.13255E8</v>
      </c>
      <c r="S2" s="105">
        <v>7.85446E8</v>
      </c>
      <c r="T2" s="105">
        <v>7.47914E8</v>
      </c>
      <c r="U2" s="105">
        <v>7.49076E8</v>
      </c>
      <c r="V2" s="105">
        <v>7.46687E8</v>
      </c>
      <c r="W2" s="108">
        <v>8.12396E8</v>
      </c>
    </row>
    <row r="3">
      <c r="A3" s="109" t="s">
        <v>41</v>
      </c>
      <c r="B3" s="110"/>
      <c r="C3" s="110"/>
      <c r="D3" s="110"/>
      <c r="E3" s="110"/>
      <c r="F3" s="110"/>
      <c r="G3" s="110"/>
      <c r="H3" s="110"/>
      <c r="I3" s="110"/>
      <c r="J3" s="110"/>
      <c r="K3" s="106"/>
      <c r="L3" s="111"/>
      <c r="M3" s="111"/>
      <c r="N3" s="111"/>
      <c r="O3" s="111"/>
      <c r="P3" s="111"/>
      <c r="Q3" s="111"/>
      <c r="R3" s="110">
        <v>2.55985E8</v>
      </c>
      <c r="S3" s="110">
        <v>2.87765E8</v>
      </c>
      <c r="T3" s="110">
        <v>3.35875E8</v>
      </c>
      <c r="U3" s="110">
        <v>3.98297E8</v>
      </c>
      <c r="V3" s="110">
        <v>4.00946E8</v>
      </c>
      <c r="W3" s="112">
        <v>4.70215E8</v>
      </c>
    </row>
    <row r="4">
      <c r="A4" s="113" t="s">
        <v>42</v>
      </c>
      <c r="B4" s="114"/>
      <c r="C4" s="114"/>
      <c r="D4" s="114"/>
      <c r="E4" s="114"/>
      <c r="F4" s="114"/>
      <c r="G4" s="114"/>
      <c r="H4" s="114"/>
      <c r="I4" s="114"/>
      <c r="J4" s="114"/>
      <c r="K4" s="115"/>
      <c r="L4" s="116"/>
      <c r="M4" s="116"/>
      <c r="N4" s="116"/>
      <c r="O4" s="116"/>
      <c r="P4" s="116"/>
      <c r="Q4" s="116"/>
      <c r="R4" s="117">
        <v>1.021</v>
      </c>
      <c r="S4" s="117">
        <v>0.976</v>
      </c>
      <c r="T4" s="117">
        <v>1.42</v>
      </c>
      <c r="U4" s="117">
        <v>2.739</v>
      </c>
      <c r="V4" s="117">
        <v>1.73</v>
      </c>
      <c r="W4" s="118">
        <v>3.49</v>
      </c>
    </row>
    <row r="5">
      <c r="A5" s="120" t="s">
        <v>43</v>
      </c>
      <c r="B5" s="121"/>
      <c r="C5" s="121"/>
      <c r="D5" s="121"/>
      <c r="E5" s="121"/>
      <c r="F5" s="121"/>
      <c r="G5" s="121"/>
      <c r="H5" s="121"/>
      <c r="I5" s="121"/>
      <c r="J5" s="121"/>
      <c r="K5" s="115"/>
      <c r="L5" s="122"/>
      <c r="M5" s="122"/>
      <c r="N5" s="122"/>
      <c r="O5" s="122"/>
      <c r="P5" s="122"/>
      <c r="Q5" s="122"/>
      <c r="R5" s="123">
        <v>1.897</v>
      </c>
      <c r="S5" s="123">
        <v>1.876</v>
      </c>
      <c r="T5" s="123">
        <v>1.932</v>
      </c>
      <c r="U5" s="123">
        <v>2.403</v>
      </c>
      <c r="V5" s="123">
        <v>2.309</v>
      </c>
      <c r="W5" s="124">
        <v>2.519</v>
      </c>
    </row>
    <row r="6">
      <c r="A6" s="3" t="s">
        <v>44</v>
      </c>
      <c r="B6" s="19">
        <v>3.95433E8</v>
      </c>
      <c r="C6" s="19">
        <v>2.2528E8</v>
      </c>
      <c r="D6" s="19">
        <v>2.80599E8</v>
      </c>
      <c r="E6" s="19">
        <v>4.13619E8</v>
      </c>
      <c r="F6" s="19">
        <v>3.72245E8</v>
      </c>
      <c r="G6" s="19">
        <v>4.84736E8</v>
      </c>
      <c r="H6" s="19">
        <v>6.16891E8</v>
      </c>
      <c r="I6" s="19">
        <v>1.016438E9</v>
      </c>
      <c r="J6" s="19">
        <f>2835423000-I6-H6-G6</f>
        <v>717358000</v>
      </c>
      <c r="K6" s="125"/>
      <c r="L6" s="54">
        <f t="shared" ref="L6:W6" si="1">L2*L4</f>
        <v>0</v>
      </c>
      <c r="M6" s="54">
        <f t="shared" si="1"/>
        <v>0</v>
      </c>
      <c r="N6" s="54">
        <f t="shared" si="1"/>
        <v>0</v>
      </c>
      <c r="O6" s="54">
        <f t="shared" si="1"/>
        <v>0</v>
      </c>
      <c r="P6" s="54">
        <f t="shared" si="1"/>
        <v>0</v>
      </c>
      <c r="Q6" s="54">
        <f t="shared" si="1"/>
        <v>0</v>
      </c>
      <c r="R6" s="54">
        <f t="shared" si="1"/>
        <v>830333355</v>
      </c>
      <c r="S6" s="54">
        <f t="shared" si="1"/>
        <v>766595296</v>
      </c>
      <c r="T6" s="54">
        <f t="shared" si="1"/>
        <v>1062037880</v>
      </c>
      <c r="U6" s="54">
        <f t="shared" si="1"/>
        <v>2051719164</v>
      </c>
      <c r="V6" s="54">
        <f t="shared" si="1"/>
        <v>1291768510</v>
      </c>
      <c r="W6" s="55">
        <f t="shared" si="1"/>
        <v>2835262040</v>
      </c>
    </row>
    <row r="7">
      <c r="A7" s="3" t="s">
        <v>45</v>
      </c>
      <c r="B7" s="126">
        <v>2.5619E8</v>
      </c>
      <c r="C7" s="126">
        <v>2.08681E8</v>
      </c>
      <c r="D7" s="126">
        <v>2.17905E8</v>
      </c>
      <c r="E7" s="126">
        <v>2.62293E8</v>
      </c>
      <c r="F7" s="126">
        <v>2.36786E8</v>
      </c>
      <c r="G7" s="126">
        <v>2.56777E8</v>
      </c>
      <c r="H7" s="126">
        <v>2.8697E8</v>
      </c>
      <c r="I7" s="126">
        <v>3.28944E8</v>
      </c>
      <c r="J7" s="126">
        <f>1184487000-I7-H7-G7</f>
        <v>311796000</v>
      </c>
      <c r="K7" s="125"/>
      <c r="L7" s="127">
        <f t="shared" ref="L7:W7" si="2">L3*L5</f>
        <v>0</v>
      </c>
      <c r="M7" s="127">
        <f t="shared" si="2"/>
        <v>0</v>
      </c>
      <c r="N7" s="127">
        <f t="shared" si="2"/>
        <v>0</v>
      </c>
      <c r="O7" s="127">
        <f t="shared" si="2"/>
        <v>0</v>
      </c>
      <c r="P7" s="127">
        <f t="shared" si="2"/>
        <v>0</v>
      </c>
      <c r="Q7" s="127">
        <f t="shared" si="2"/>
        <v>0</v>
      </c>
      <c r="R7" s="127">
        <f t="shared" si="2"/>
        <v>485603545</v>
      </c>
      <c r="S7" s="127">
        <f t="shared" si="2"/>
        <v>539847140</v>
      </c>
      <c r="T7" s="127">
        <f t="shared" si="2"/>
        <v>648910500</v>
      </c>
      <c r="U7" s="127">
        <f t="shared" si="2"/>
        <v>957107691</v>
      </c>
      <c r="V7" s="127">
        <f t="shared" si="2"/>
        <v>925784314</v>
      </c>
      <c r="W7" s="128">
        <f t="shared" si="2"/>
        <v>1184471585</v>
      </c>
    </row>
    <row r="8">
      <c r="A8" s="3" t="s">
        <v>46</v>
      </c>
      <c r="B8" s="19">
        <v>3.3996E7</v>
      </c>
      <c r="C8" s="19">
        <v>2.2223E7</v>
      </c>
      <c r="D8" s="19">
        <v>2.0012E7</v>
      </c>
      <c r="E8" s="19">
        <v>2.1759E7</v>
      </c>
      <c r="F8" s="19">
        <v>2.5015E7</v>
      </c>
      <c r="G8" s="19">
        <v>3.5175E7</v>
      </c>
      <c r="H8" s="19">
        <v>4.0651E7</v>
      </c>
      <c r="I8" s="19">
        <v>6.1024E7</v>
      </c>
      <c r="J8" s="19">
        <f>198833300-I8-H8-G8</f>
        <v>61983300</v>
      </c>
      <c r="K8" s="125"/>
      <c r="L8" s="54"/>
      <c r="M8" s="54"/>
      <c r="N8" s="54"/>
      <c r="O8" s="54"/>
      <c r="P8" s="54"/>
      <c r="Q8" s="54"/>
      <c r="R8" s="19">
        <v>3.1414E7</v>
      </c>
      <c r="S8" s="19">
        <v>3.67333E7</v>
      </c>
      <c r="T8" s="19">
        <v>6.0004E7</v>
      </c>
      <c r="U8" s="19">
        <v>1.2227E8</v>
      </c>
      <c r="V8" s="19">
        <v>8.9009E7</v>
      </c>
      <c r="W8" s="20">
        <v>1.988333E8</v>
      </c>
    </row>
    <row r="9">
      <c r="A9" s="3" t="s">
        <v>47</v>
      </c>
      <c r="B9" s="19">
        <v>3061000.0</v>
      </c>
      <c r="C9" s="19">
        <v>3160000.0</v>
      </c>
      <c r="D9" s="19">
        <v>4718000.0</v>
      </c>
      <c r="E9" s="19">
        <v>5405000.0</v>
      </c>
      <c r="F9" s="19">
        <v>6743000.0</v>
      </c>
      <c r="G9" s="19">
        <v>9183000.0</v>
      </c>
      <c r="H9" s="19">
        <v>1.0159E7</v>
      </c>
      <c r="I9" s="19">
        <v>1.1279E7</v>
      </c>
      <c r="J9" s="19">
        <f>43142000-I9-H9-G9</f>
        <v>12521000</v>
      </c>
      <c r="K9" s="125"/>
      <c r="L9" s="54"/>
      <c r="M9" s="54"/>
      <c r="N9" s="54"/>
      <c r="O9" s="54"/>
      <c r="P9" s="54"/>
      <c r="Q9" s="54"/>
      <c r="R9" s="19">
        <v>4452000.0</v>
      </c>
      <c r="S9" s="19">
        <v>6.3627E7</v>
      </c>
      <c r="T9" s="19">
        <v>6322000.0</v>
      </c>
      <c r="U9" s="19">
        <v>1.4993E7</v>
      </c>
      <c r="V9" s="19">
        <v>2.0026E7</v>
      </c>
      <c r="W9" s="20">
        <v>4.3142E7</v>
      </c>
    </row>
    <row r="10">
      <c r="A10" s="129" t="s">
        <v>48</v>
      </c>
      <c r="B10" s="130">
        <f>SUM(B6:B9)</f>
        <v>688680000</v>
      </c>
      <c r="C10" s="130">
        <v>4.59344E8</v>
      </c>
      <c r="D10" s="130">
        <v>5.23234E8</v>
      </c>
      <c r="E10" s="130">
        <v>7.03076E8</v>
      </c>
      <c r="F10" s="131">
        <f>2326443000-E10-D10-C10</f>
        <v>640789000</v>
      </c>
      <c r="G10" s="130">
        <v>7.85871E8</v>
      </c>
      <c r="H10" s="130">
        <v>9.54671E8</v>
      </c>
      <c r="I10" s="130">
        <v>1.417685E9</v>
      </c>
      <c r="J10" s="130">
        <f>4261885000-I10-H10-G10</f>
        <v>1103658000</v>
      </c>
      <c r="K10" s="132"/>
      <c r="L10" s="130"/>
      <c r="M10" s="130"/>
      <c r="N10" s="130"/>
      <c r="O10" s="130"/>
      <c r="P10" s="130"/>
      <c r="Q10" s="130"/>
      <c r="R10" s="130">
        <v>1.351609E9</v>
      </c>
      <c r="S10" s="130">
        <v>1.348987E9</v>
      </c>
      <c r="T10" s="130">
        <v>1.777159E9</v>
      </c>
      <c r="U10" s="130">
        <v>3.146217E9</v>
      </c>
      <c r="V10" s="130">
        <v>2.316443E9</v>
      </c>
      <c r="W10" s="133">
        <v>4.261885E9</v>
      </c>
    </row>
    <row r="11">
      <c r="B11" s="168"/>
      <c r="C11" s="168"/>
      <c r="D11" s="168"/>
    </row>
    <row r="12">
      <c r="B12" s="168"/>
      <c r="C12" s="168"/>
      <c r="D12" s="168"/>
    </row>
    <row r="13">
      <c r="B13" s="168"/>
      <c r="C13" s="168"/>
      <c r="D13" s="168"/>
    </row>
    <row r="14">
      <c r="B14" s="168"/>
      <c r="C14" s="168"/>
      <c r="D14" s="168"/>
    </row>
    <row r="15">
      <c r="B15" s="168"/>
      <c r="C15" s="168"/>
      <c r="D15" s="168"/>
    </row>
    <row r="16">
      <c r="B16" s="168"/>
      <c r="C16" s="168"/>
      <c r="D16" s="168"/>
    </row>
    <row r="17">
      <c r="B17" s="168"/>
      <c r="C17" s="168"/>
      <c r="D17" s="168"/>
    </row>
    <row r="18">
      <c r="B18" s="168"/>
      <c r="C18" s="168"/>
      <c r="D18" s="168"/>
    </row>
    <row r="19">
      <c r="B19" s="168"/>
      <c r="C19" s="168"/>
      <c r="D19" s="168"/>
    </row>
    <row r="20">
      <c r="B20" s="168"/>
      <c r="C20" s="168"/>
      <c r="D20" s="168"/>
    </row>
    <row r="21">
      <c r="B21" s="168"/>
      <c r="C21" s="168"/>
      <c r="D21" s="168"/>
    </row>
    <row r="22">
      <c r="B22" s="168"/>
      <c r="C22" s="168"/>
      <c r="D22" s="168"/>
    </row>
    <row r="23">
      <c r="B23" s="168"/>
      <c r="C23" s="168"/>
      <c r="D23" s="168"/>
    </row>
    <row r="24">
      <c r="B24" s="168"/>
      <c r="C24" s="168"/>
      <c r="D24" s="168"/>
    </row>
    <row r="25">
      <c r="B25" s="168"/>
      <c r="C25" s="168"/>
      <c r="D25" s="168"/>
    </row>
    <row r="26">
      <c r="B26" s="168"/>
      <c r="C26" s="168"/>
      <c r="D26" s="168"/>
    </row>
    <row r="27">
      <c r="B27" s="168"/>
      <c r="C27" s="168"/>
      <c r="D27" s="168"/>
    </row>
    <row r="28">
      <c r="B28" s="168"/>
      <c r="C28" s="168"/>
      <c r="D28" s="168"/>
    </row>
    <row r="29">
      <c r="B29" s="168"/>
      <c r="C29" s="168"/>
      <c r="D29" s="168"/>
    </row>
    <row r="30">
      <c r="B30" s="168"/>
      <c r="C30" s="168"/>
      <c r="D30" s="168"/>
    </row>
    <row r="31">
      <c r="B31" s="168"/>
      <c r="C31" s="168"/>
      <c r="D31" s="168"/>
    </row>
    <row r="32">
      <c r="B32" s="168"/>
      <c r="C32" s="168"/>
      <c r="D32" s="168"/>
    </row>
    <row r="33">
      <c r="B33" s="168"/>
      <c r="C33" s="168"/>
      <c r="D33" s="168"/>
    </row>
    <row r="34">
      <c r="B34" s="168"/>
      <c r="C34" s="168"/>
      <c r="D34" s="168"/>
    </row>
    <row r="35">
      <c r="B35" s="168"/>
      <c r="C35" s="168"/>
      <c r="D35" s="168"/>
    </row>
    <row r="36">
      <c r="B36" s="168"/>
      <c r="C36" s="168"/>
      <c r="D36" s="168"/>
    </row>
    <row r="37">
      <c r="B37" s="168"/>
      <c r="C37" s="168"/>
      <c r="D37" s="168"/>
    </row>
    <row r="38">
      <c r="B38" s="168"/>
      <c r="C38" s="168"/>
      <c r="D38" s="168"/>
    </row>
    <row r="39">
      <c r="B39" s="168"/>
      <c r="C39" s="168"/>
      <c r="D39" s="168"/>
    </row>
    <row r="40">
      <c r="B40" s="168"/>
      <c r="C40" s="168"/>
      <c r="D40" s="168"/>
    </row>
    <row r="41">
      <c r="B41" s="168"/>
      <c r="C41" s="168"/>
      <c r="D41" s="168"/>
    </row>
    <row r="42">
      <c r="B42" s="168"/>
      <c r="C42" s="168"/>
      <c r="D42" s="168"/>
    </row>
    <row r="43">
      <c r="B43" s="168"/>
      <c r="C43" s="168"/>
      <c r="D43" s="168"/>
    </row>
    <row r="44">
      <c r="B44" s="168"/>
      <c r="C44" s="168"/>
      <c r="D44" s="168"/>
    </row>
    <row r="45">
      <c r="B45" s="168"/>
      <c r="C45" s="168"/>
      <c r="D45" s="168"/>
    </row>
    <row r="46">
      <c r="B46" s="168"/>
      <c r="C46" s="168"/>
      <c r="D46" s="168"/>
    </row>
    <row r="47">
      <c r="B47" s="168"/>
      <c r="C47" s="168"/>
      <c r="D47" s="168"/>
    </row>
    <row r="48">
      <c r="B48" s="168"/>
      <c r="C48" s="168"/>
      <c r="D48" s="168"/>
    </row>
    <row r="49">
      <c r="B49" s="168"/>
      <c r="C49" s="168"/>
      <c r="D49" s="168"/>
    </row>
    <row r="50">
      <c r="B50" s="168"/>
      <c r="C50" s="168"/>
      <c r="D50" s="168"/>
    </row>
    <row r="51">
      <c r="B51" s="168"/>
      <c r="C51" s="168"/>
      <c r="D51" s="168"/>
    </row>
    <row r="52">
      <c r="B52" s="168"/>
      <c r="C52" s="168"/>
      <c r="D52" s="168"/>
    </row>
    <row r="53">
      <c r="B53" s="168"/>
      <c r="C53" s="168"/>
      <c r="D53" s="168"/>
    </row>
    <row r="54">
      <c r="B54" s="168"/>
      <c r="C54" s="168"/>
      <c r="D54" s="168"/>
    </row>
    <row r="55">
      <c r="B55" s="168"/>
      <c r="C55" s="168"/>
      <c r="D55" s="168"/>
    </row>
    <row r="56">
      <c r="B56" s="168"/>
      <c r="C56" s="168"/>
      <c r="D56" s="168"/>
    </row>
    <row r="57">
      <c r="B57" s="168"/>
      <c r="C57" s="168"/>
      <c r="D57" s="168"/>
    </row>
    <row r="58">
      <c r="B58" s="168"/>
      <c r="C58" s="168"/>
      <c r="D58" s="168"/>
    </row>
    <row r="59">
      <c r="B59" s="168"/>
      <c r="C59" s="168"/>
      <c r="D59" s="168"/>
    </row>
    <row r="60">
      <c r="B60" s="168"/>
      <c r="C60" s="168"/>
      <c r="D60" s="168"/>
    </row>
    <row r="61">
      <c r="B61" s="168"/>
      <c r="C61" s="168"/>
      <c r="D61" s="168"/>
    </row>
    <row r="62">
      <c r="B62" s="168"/>
      <c r="C62" s="168"/>
      <c r="D62" s="168"/>
    </row>
    <row r="63">
      <c r="B63" s="168"/>
      <c r="C63" s="168"/>
      <c r="D63" s="168"/>
    </row>
    <row r="64">
      <c r="B64" s="168"/>
      <c r="C64" s="168"/>
      <c r="D64" s="168"/>
    </row>
    <row r="65">
      <c r="B65" s="168"/>
      <c r="C65" s="168"/>
      <c r="D65" s="168"/>
    </row>
    <row r="66">
      <c r="B66" s="168"/>
      <c r="C66" s="168"/>
      <c r="D66" s="168"/>
    </row>
    <row r="67">
      <c r="B67" s="168"/>
      <c r="C67" s="168"/>
      <c r="D67" s="168"/>
    </row>
    <row r="68">
      <c r="B68" s="168"/>
      <c r="C68" s="168"/>
      <c r="D68" s="168"/>
    </row>
    <row r="69">
      <c r="B69" s="168"/>
      <c r="C69" s="168"/>
      <c r="D69" s="168"/>
    </row>
    <row r="70">
      <c r="B70" s="168"/>
      <c r="C70" s="168"/>
      <c r="D70" s="168"/>
    </row>
    <row r="71">
      <c r="B71" s="168"/>
      <c r="C71" s="168"/>
      <c r="D71" s="168"/>
    </row>
    <row r="72">
      <c r="B72" s="168"/>
      <c r="C72" s="168"/>
      <c r="D72" s="168"/>
    </row>
    <row r="73">
      <c r="B73" s="168"/>
      <c r="C73" s="168"/>
      <c r="D73" s="168"/>
    </row>
    <row r="74">
      <c r="B74" s="168"/>
      <c r="C74" s="168"/>
      <c r="D74" s="168"/>
    </row>
    <row r="75">
      <c r="B75" s="168"/>
      <c r="C75" s="168"/>
      <c r="D75" s="168"/>
    </row>
    <row r="76">
      <c r="B76" s="168"/>
      <c r="C76" s="168"/>
      <c r="D76" s="168"/>
    </row>
    <row r="77">
      <c r="B77" s="168"/>
      <c r="C77" s="168"/>
      <c r="D77" s="168"/>
    </row>
    <row r="78">
      <c r="B78" s="168"/>
      <c r="C78" s="168"/>
      <c r="D78" s="168"/>
    </row>
    <row r="79">
      <c r="B79" s="168"/>
      <c r="C79" s="168"/>
      <c r="D79" s="168"/>
    </row>
    <row r="80">
      <c r="B80" s="168"/>
      <c r="C80" s="168"/>
      <c r="D80" s="168"/>
    </row>
    <row r="81">
      <c r="B81" s="168"/>
      <c r="C81" s="168"/>
      <c r="D81" s="168"/>
    </row>
    <row r="82">
      <c r="B82" s="168"/>
      <c r="C82" s="168"/>
      <c r="D82" s="168"/>
    </row>
    <row r="83">
      <c r="B83" s="168"/>
      <c r="C83" s="168"/>
      <c r="D83" s="168"/>
    </row>
    <row r="84">
      <c r="B84" s="168"/>
      <c r="C84" s="168"/>
      <c r="D84" s="168"/>
    </row>
    <row r="85">
      <c r="B85" s="168"/>
      <c r="C85" s="168"/>
      <c r="D85" s="168"/>
    </row>
    <row r="86">
      <c r="B86" s="168"/>
      <c r="C86" s="168"/>
      <c r="D86" s="168"/>
    </row>
    <row r="87">
      <c r="B87" s="168"/>
      <c r="C87" s="168"/>
      <c r="D87" s="168"/>
    </row>
    <row r="88">
      <c r="B88" s="168"/>
      <c r="C88" s="168"/>
      <c r="D88" s="168"/>
    </row>
    <row r="89">
      <c r="B89" s="168"/>
      <c r="C89" s="168"/>
      <c r="D89" s="168"/>
    </row>
    <row r="90">
      <c r="B90" s="168"/>
      <c r="C90" s="168"/>
      <c r="D90" s="168"/>
    </row>
    <row r="91">
      <c r="B91" s="168"/>
      <c r="C91" s="168"/>
      <c r="D91" s="168"/>
    </row>
    <row r="92">
      <c r="B92" s="168"/>
      <c r="C92" s="168"/>
      <c r="D92" s="168"/>
    </row>
    <row r="93">
      <c r="B93" s="168"/>
      <c r="C93" s="168"/>
      <c r="D93" s="168"/>
    </row>
    <row r="94">
      <c r="B94" s="168"/>
      <c r="C94" s="168"/>
      <c r="D94" s="168"/>
    </row>
    <row r="95">
      <c r="B95" s="168"/>
      <c r="C95" s="168"/>
      <c r="D95" s="168"/>
    </row>
    <row r="96">
      <c r="B96" s="168"/>
      <c r="C96" s="168"/>
      <c r="D96" s="168"/>
    </row>
    <row r="97">
      <c r="B97" s="168"/>
      <c r="C97" s="168"/>
      <c r="D97" s="168"/>
    </row>
    <row r="98">
      <c r="B98" s="168"/>
      <c r="C98" s="168"/>
      <c r="D98" s="168"/>
    </row>
    <row r="99">
      <c r="B99" s="168"/>
      <c r="C99" s="168"/>
      <c r="D99" s="168"/>
    </row>
    <row r="100">
      <c r="B100" s="168"/>
      <c r="C100" s="168"/>
      <c r="D100" s="168"/>
    </row>
    <row r="101">
      <c r="B101" s="168"/>
      <c r="C101" s="168"/>
      <c r="D101" s="168"/>
    </row>
    <row r="102">
      <c r="B102" s="168"/>
      <c r="C102" s="168"/>
      <c r="D102" s="168"/>
    </row>
    <row r="103">
      <c r="B103" s="168"/>
      <c r="C103" s="168"/>
      <c r="D103" s="168"/>
    </row>
    <row r="104">
      <c r="B104" s="168"/>
      <c r="C104" s="168"/>
      <c r="D104" s="168"/>
    </row>
    <row r="105">
      <c r="B105" s="168"/>
      <c r="C105" s="168"/>
      <c r="D105" s="168"/>
    </row>
    <row r="106">
      <c r="B106" s="168"/>
      <c r="C106" s="168"/>
      <c r="D106" s="168"/>
    </row>
    <row r="107">
      <c r="B107" s="168"/>
      <c r="C107" s="168"/>
      <c r="D107" s="168"/>
    </row>
    <row r="108">
      <c r="B108" s="168"/>
      <c r="C108" s="168"/>
      <c r="D108" s="168"/>
    </row>
    <row r="109">
      <c r="B109" s="168"/>
      <c r="C109" s="168"/>
      <c r="D109" s="168"/>
    </row>
    <row r="110">
      <c r="B110" s="168"/>
      <c r="C110" s="168"/>
      <c r="D110" s="168"/>
    </row>
    <row r="111">
      <c r="B111" s="168"/>
      <c r="C111" s="168"/>
      <c r="D111" s="168"/>
    </row>
    <row r="112">
      <c r="B112" s="168"/>
      <c r="C112" s="168"/>
      <c r="D112" s="168"/>
    </row>
    <row r="113">
      <c r="B113" s="168"/>
      <c r="C113" s="168"/>
      <c r="D113" s="168"/>
    </row>
    <row r="114">
      <c r="B114" s="168"/>
      <c r="C114" s="168"/>
      <c r="D114" s="168"/>
    </row>
    <row r="115">
      <c r="B115" s="168"/>
      <c r="C115" s="168"/>
      <c r="D115" s="168"/>
    </row>
    <row r="116">
      <c r="B116" s="168"/>
      <c r="C116" s="168"/>
      <c r="D116" s="168"/>
    </row>
    <row r="117">
      <c r="B117" s="168"/>
      <c r="C117" s="168"/>
      <c r="D117" s="168"/>
    </row>
    <row r="118">
      <c r="B118" s="168"/>
      <c r="C118" s="168"/>
      <c r="D118" s="168"/>
    </row>
    <row r="119">
      <c r="B119" s="168"/>
      <c r="C119" s="168"/>
      <c r="D119" s="168"/>
    </row>
    <row r="120">
      <c r="B120" s="168"/>
      <c r="C120" s="168"/>
      <c r="D120" s="168"/>
    </row>
    <row r="121">
      <c r="B121" s="168"/>
      <c r="C121" s="168"/>
      <c r="D121" s="168"/>
    </row>
    <row r="122">
      <c r="B122" s="168"/>
      <c r="C122" s="168"/>
      <c r="D122" s="168"/>
    </row>
    <row r="123">
      <c r="B123" s="168"/>
      <c r="C123" s="168"/>
      <c r="D123" s="168"/>
    </row>
    <row r="124">
      <c r="B124" s="168"/>
      <c r="C124" s="168"/>
      <c r="D124" s="168"/>
    </row>
    <row r="125">
      <c r="B125" s="168"/>
      <c r="C125" s="168"/>
      <c r="D125" s="168"/>
    </row>
    <row r="126">
      <c r="B126" s="168"/>
      <c r="C126" s="168"/>
      <c r="D126" s="168"/>
    </row>
    <row r="127">
      <c r="B127" s="168"/>
      <c r="C127" s="168"/>
      <c r="D127" s="168"/>
    </row>
    <row r="128">
      <c r="B128" s="168"/>
      <c r="C128" s="168"/>
      <c r="D128" s="168"/>
    </row>
    <row r="129">
      <c r="B129" s="168"/>
      <c r="C129" s="168"/>
      <c r="D129" s="168"/>
    </row>
    <row r="130">
      <c r="B130" s="168"/>
      <c r="C130" s="168"/>
      <c r="D130" s="168"/>
    </row>
    <row r="131">
      <c r="B131" s="168"/>
      <c r="C131" s="168"/>
      <c r="D131" s="168"/>
    </row>
    <row r="132">
      <c r="B132" s="168"/>
      <c r="C132" s="168"/>
      <c r="D132" s="168"/>
    </row>
    <row r="133">
      <c r="B133" s="168"/>
      <c r="C133" s="168"/>
      <c r="D133" s="168"/>
    </row>
    <row r="134">
      <c r="B134" s="168"/>
      <c r="C134" s="168"/>
      <c r="D134" s="168"/>
    </row>
    <row r="135">
      <c r="B135" s="168"/>
      <c r="C135" s="168"/>
      <c r="D135" s="168"/>
    </row>
    <row r="136">
      <c r="B136" s="168"/>
      <c r="C136" s="168"/>
      <c r="D136" s="168"/>
    </row>
    <row r="137">
      <c r="B137" s="168"/>
      <c r="C137" s="168"/>
      <c r="D137" s="168"/>
    </row>
    <row r="138">
      <c r="B138" s="168"/>
      <c r="C138" s="168"/>
      <c r="D138" s="168"/>
    </row>
    <row r="139">
      <c r="B139" s="168"/>
      <c r="C139" s="168"/>
      <c r="D139" s="168"/>
    </row>
    <row r="140">
      <c r="B140" s="168"/>
      <c r="C140" s="168"/>
      <c r="D140" s="168"/>
    </row>
    <row r="141">
      <c r="B141" s="168"/>
      <c r="C141" s="168"/>
      <c r="D141" s="168"/>
    </row>
    <row r="142">
      <c r="B142" s="168"/>
      <c r="C142" s="168"/>
      <c r="D142" s="168"/>
    </row>
    <row r="143">
      <c r="B143" s="168"/>
      <c r="C143" s="168"/>
      <c r="D143" s="168"/>
    </row>
    <row r="144">
      <c r="B144" s="168"/>
      <c r="C144" s="168"/>
      <c r="D144" s="168"/>
    </row>
    <row r="145">
      <c r="B145" s="168"/>
      <c r="C145" s="168"/>
      <c r="D145" s="168"/>
    </row>
    <row r="146">
      <c r="B146" s="168"/>
      <c r="C146" s="168"/>
      <c r="D146" s="168"/>
    </row>
    <row r="147">
      <c r="B147" s="168"/>
      <c r="C147" s="168"/>
      <c r="D147" s="168"/>
    </row>
    <row r="148">
      <c r="B148" s="168"/>
      <c r="C148" s="168"/>
      <c r="D148" s="168"/>
    </row>
    <row r="149">
      <c r="B149" s="168"/>
      <c r="C149" s="168"/>
      <c r="D149" s="168"/>
    </row>
    <row r="150">
      <c r="B150" s="168"/>
      <c r="C150" s="168"/>
      <c r="D150" s="168"/>
    </row>
    <row r="151">
      <c r="B151" s="168"/>
      <c r="C151" s="168"/>
      <c r="D151" s="168"/>
    </row>
    <row r="152">
      <c r="B152" s="168"/>
      <c r="C152" s="168"/>
      <c r="D152" s="168"/>
    </row>
    <row r="153">
      <c r="B153" s="168"/>
      <c r="C153" s="168"/>
      <c r="D153" s="168"/>
    </row>
    <row r="154">
      <c r="B154" s="168"/>
      <c r="C154" s="168"/>
      <c r="D154" s="168"/>
    </row>
    <row r="155">
      <c r="B155" s="168"/>
      <c r="C155" s="168"/>
      <c r="D155" s="168"/>
    </row>
    <row r="156">
      <c r="B156" s="168"/>
      <c r="C156" s="168"/>
      <c r="D156" s="168"/>
    </row>
    <row r="157">
      <c r="B157" s="168"/>
      <c r="C157" s="168"/>
      <c r="D157" s="168"/>
    </row>
    <row r="158">
      <c r="B158" s="168"/>
      <c r="C158" s="168"/>
      <c r="D158" s="168"/>
    </row>
    <row r="159">
      <c r="B159" s="168"/>
      <c r="C159" s="168"/>
      <c r="D159" s="168"/>
    </row>
    <row r="160">
      <c r="B160" s="168"/>
      <c r="C160" s="168"/>
      <c r="D160" s="168"/>
    </row>
    <row r="161">
      <c r="B161" s="168"/>
      <c r="C161" s="168"/>
      <c r="D161" s="168"/>
    </row>
    <row r="162">
      <c r="B162" s="168"/>
      <c r="C162" s="168"/>
      <c r="D162" s="168"/>
    </row>
    <row r="163">
      <c r="B163" s="168"/>
      <c r="C163" s="168"/>
      <c r="D163" s="168"/>
    </row>
    <row r="164">
      <c r="B164" s="168"/>
      <c r="C164" s="168"/>
      <c r="D164" s="168"/>
    </row>
    <row r="165">
      <c r="B165" s="168"/>
      <c r="C165" s="168"/>
      <c r="D165" s="168"/>
    </row>
    <row r="166">
      <c r="B166" s="168"/>
      <c r="C166" s="168"/>
      <c r="D166" s="168"/>
    </row>
    <row r="167">
      <c r="B167" s="168"/>
      <c r="C167" s="168"/>
      <c r="D167" s="168"/>
    </row>
    <row r="168">
      <c r="B168" s="168"/>
      <c r="C168" s="168"/>
      <c r="D168" s="168"/>
    </row>
    <row r="169">
      <c r="B169" s="168"/>
      <c r="C169" s="168"/>
      <c r="D169" s="168"/>
    </row>
    <row r="170">
      <c r="B170" s="168"/>
      <c r="C170" s="168"/>
      <c r="D170" s="168"/>
    </row>
    <row r="171">
      <c r="B171" s="168"/>
      <c r="C171" s="168"/>
      <c r="D171" s="168"/>
    </row>
    <row r="172">
      <c r="B172" s="168"/>
      <c r="C172" s="168"/>
      <c r="D172" s="168"/>
    </row>
    <row r="173">
      <c r="B173" s="168"/>
      <c r="C173" s="168"/>
      <c r="D173" s="168"/>
    </row>
    <row r="174">
      <c r="B174" s="168"/>
      <c r="C174" s="168"/>
      <c r="D174" s="168"/>
    </row>
    <row r="175">
      <c r="B175" s="168"/>
      <c r="C175" s="168"/>
      <c r="D175" s="168"/>
    </row>
    <row r="176">
      <c r="B176" s="168"/>
      <c r="C176" s="168"/>
      <c r="D176" s="168"/>
    </row>
    <row r="177">
      <c r="B177" s="168"/>
      <c r="C177" s="168"/>
      <c r="D177" s="168"/>
    </row>
    <row r="178">
      <c r="B178" s="168"/>
      <c r="C178" s="168"/>
      <c r="D178" s="168"/>
    </row>
    <row r="179">
      <c r="B179" s="168"/>
      <c r="C179" s="168"/>
      <c r="D179" s="168"/>
    </row>
    <row r="180">
      <c r="B180" s="168"/>
      <c r="C180" s="168"/>
      <c r="D180" s="168"/>
    </row>
    <row r="181">
      <c r="B181" s="168"/>
      <c r="C181" s="168"/>
      <c r="D181" s="168"/>
    </row>
    <row r="182">
      <c r="B182" s="168"/>
      <c r="C182" s="168"/>
      <c r="D182" s="168"/>
    </row>
    <row r="183">
      <c r="B183" s="168"/>
      <c r="C183" s="168"/>
      <c r="D183" s="168"/>
    </row>
    <row r="184">
      <c r="B184" s="168"/>
      <c r="C184" s="168"/>
      <c r="D184" s="168"/>
    </row>
    <row r="185">
      <c r="B185" s="168"/>
      <c r="C185" s="168"/>
      <c r="D185" s="168"/>
    </row>
    <row r="186">
      <c r="B186" s="168"/>
      <c r="C186" s="168"/>
      <c r="D186" s="168"/>
    </row>
    <row r="187">
      <c r="B187" s="168"/>
      <c r="C187" s="168"/>
      <c r="D187" s="168"/>
    </row>
    <row r="188">
      <c r="B188" s="168"/>
      <c r="C188" s="168"/>
      <c r="D188" s="168"/>
    </row>
    <row r="189">
      <c r="B189" s="168"/>
      <c r="C189" s="168"/>
      <c r="D189" s="168"/>
    </row>
    <row r="190">
      <c r="B190" s="168"/>
      <c r="C190" s="168"/>
      <c r="D190" s="168"/>
    </row>
    <row r="191">
      <c r="B191" s="168"/>
      <c r="C191" s="168"/>
      <c r="D191" s="168"/>
    </row>
    <row r="192">
      <c r="B192" s="168"/>
      <c r="C192" s="168"/>
      <c r="D192" s="168"/>
    </row>
    <row r="193">
      <c r="B193" s="168"/>
      <c r="C193" s="168"/>
      <c r="D193" s="168"/>
    </row>
    <row r="194">
      <c r="B194" s="168"/>
      <c r="C194" s="168"/>
      <c r="D194" s="168"/>
    </row>
    <row r="195">
      <c r="B195" s="168"/>
      <c r="C195" s="168"/>
      <c r="D195" s="168"/>
    </row>
    <row r="196">
      <c r="B196" s="168"/>
      <c r="C196" s="168"/>
      <c r="D196" s="168"/>
    </row>
    <row r="197">
      <c r="B197" s="168"/>
      <c r="C197" s="168"/>
      <c r="D197" s="168"/>
    </row>
    <row r="198">
      <c r="B198" s="168"/>
      <c r="C198" s="168"/>
      <c r="D198" s="168"/>
    </row>
    <row r="199">
      <c r="B199" s="168"/>
      <c r="C199" s="168"/>
      <c r="D199" s="168"/>
    </row>
    <row r="200">
      <c r="B200" s="168"/>
      <c r="C200" s="168"/>
      <c r="D200" s="168"/>
    </row>
    <row r="201">
      <c r="B201" s="168"/>
      <c r="C201" s="168"/>
      <c r="D201" s="168"/>
    </row>
    <row r="202">
      <c r="B202" s="168"/>
      <c r="C202" s="168"/>
      <c r="D202" s="168"/>
    </row>
    <row r="203">
      <c r="B203" s="168"/>
      <c r="C203" s="168"/>
      <c r="D203" s="168"/>
    </row>
    <row r="204">
      <c r="B204" s="168"/>
      <c r="C204" s="168"/>
      <c r="D204" s="168"/>
    </row>
    <row r="205">
      <c r="B205" s="168"/>
      <c r="C205" s="168"/>
      <c r="D205" s="168"/>
    </row>
    <row r="206">
      <c r="B206" s="168"/>
      <c r="C206" s="168"/>
      <c r="D206" s="168"/>
    </row>
    <row r="207">
      <c r="B207" s="168"/>
      <c r="C207" s="168"/>
      <c r="D207" s="168"/>
    </row>
    <row r="208">
      <c r="B208" s="168"/>
      <c r="C208" s="168"/>
      <c r="D208" s="168"/>
    </row>
    <row r="209">
      <c r="B209" s="168"/>
      <c r="C209" s="168"/>
      <c r="D209" s="168"/>
    </row>
    <row r="210">
      <c r="B210" s="168"/>
      <c r="C210" s="168"/>
      <c r="D210" s="168"/>
    </row>
    <row r="211">
      <c r="B211" s="168"/>
      <c r="C211" s="168"/>
      <c r="D211" s="168"/>
    </row>
    <row r="212">
      <c r="B212" s="168"/>
      <c r="C212" s="168"/>
      <c r="D212" s="168"/>
    </row>
    <row r="213">
      <c r="B213" s="168"/>
      <c r="C213" s="168"/>
      <c r="D213" s="168"/>
    </row>
    <row r="214">
      <c r="B214" s="168"/>
      <c r="C214" s="168"/>
      <c r="D214" s="168"/>
    </row>
    <row r="215">
      <c r="B215" s="168"/>
      <c r="C215" s="168"/>
      <c r="D215" s="168"/>
    </row>
    <row r="216">
      <c r="B216" s="168"/>
      <c r="C216" s="168"/>
      <c r="D216" s="168"/>
    </row>
    <row r="217">
      <c r="B217" s="168"/>
      <c r="C217" s="168"/>
      <c r="D217" s="168"/>
    </row>
    <row r="218">
      <c r="B218" s="168"/>
      <c r="C218" s="168"/>
      <c r="D218" s="168"/>
    </row>
    <row r="219">
      <c r="B219" s="168"/>
      <c r="C219" s="168"/>
      <c r="D219" s="168"/>
    </row>
    <row r="220">
      <c r="B220" s="168"/>
      <c r="C220" s="168"/>
      <c r="D220" s="168"/>
    </row>
    <row r="221">
      <c r="B221" s="168"/>
      <c r="C221" s="168"/>
      <c r="D221" s="168"/>
    </row>
    <row r="222">
      <c r="B222" s="168"/>
      <c r="C222" s="168"/>
      <c r="D222" s="168"/>
    </row>
    <row r="223">
      <c r="B223" s="168"/>
      <c r="C223" s="168"/>
      <c r="D223" s="168"/>
    </row>
    <row r="224">
      <c r="B224" s="168"/>
      <c r="C224" s="168"/>
      <c r="D224" s="168"/>
    </row>
    <row r="225">
      <c r="B225" s="168"/>
      <c r="C225" s="168"/>
      <c r="D225" s="168"/>
    </row>
    <row r="226">
      <c r="B226" s="168"/>
      <c r="C226" s="168"/>
      <c r="D226" s="168"/>
    </row>
    <row r="227">
      <c r="B227" s="168"/>
      <c r="C227" s="168"/>
      <c r="D227" s="168"/>
    </row>
    <row r="228">
      <c r="B228" s="168"/>
      <c r="C228" s="168"/>
      <c r="D228" s="168"/>
    </row>
    <row r="229">
      <c r="B229" s="168"/>
      <c r="C229" s="168"/>
      <c r="D229" s="168"/>
    </row>
    <row r="230">
      <c r="B230" s="168"/>
      <c r="C230" s="168"/>
      <c r="D230" s="168"/>
    </row>
    <row r="231">
      <c r="B231" s="168"/>
      <c r="C231" s="168"/>
      <c r="D231" s="168"/>
    </row>
    <row r="232">
      <c r="B232" s="168"/>
      <c r="C232" s="168"/>
      <c r="D232" s="168"/>
    </row>
    <row r="233">
      <c r="B233" s="168"/>
      <c r="C233" s="168"/>
      <c r="D233" s="168"/>
    </row>
    <row r="234">
      <c r="B234" s="168"/>
      <c r="C234" s="168"/>
      <c r="D234" s="168"/>
    </row>
    <row r="235">
      <c r="B235" s="168"/>
      <c r="C235" s="168"/>
      <c r="D235" s="168"/>
    </row>
    <row r="236">
      <c r="B236" s="168"/>
      <c r="C236" s="168"/>
      <c r="D236" s="168"/>
    </row>
    <row r="237">
      <c r="B237" s="168"/>
      <c r="C237" s="168"/>
      <c r="D237" s="168"/>
    </row>
    <row r="238">
      <c r="B238" s="168"/>
      <c r="C238" s="168"/>
      <c r="D238" s="168"/>
    </row>
    <row r="239">
      <c r="B239" s="168"/>
      <c r="C239" s="168"/>
      <c r="D239" s="168"/>
    </row>
    <row r="240">
      <c r="B240" s="168"/>
      <c r="C240" s="168"/>
      <c r="D240" s="168"/>
    </row>
    <row r="241">
      <c r="B241" s="168"/>
      <c r="C241" s="168"/>
      <c r="D241" s="168"/>
    </row>
    <row r="242">
      <c r="B242" s="168"/>
      <c r="C242" s="168"/>
      <c r="D242" s="168"/>
    </row>
    <row r="243">
      <c r="B243" s="168"/>
      <c r="C243" s="168"/>
      <c r="D243" s="168"/>
    </row>
    <row r="244">
      <c r="B244" s="168"/>
      <c r="C244" s="168"/>
      <c r="D244" s="168"/>
    </row>
    <row r="245">
      <c r="B245" s="168"/>
      <c r="C245" s="168"/>
      <c r="D245" s="168"/>
    </row>
    <row r="246">
      <c r="B246" s="168"/>
      <c r="C246" s="168"/>
      <c r="D246" s="168"/>
    </row>
    <row r="247">
      <c r="B247" s="168"/>
      <c r="C247" s="168"/>
      <c r="D247" s="168"/>
    </row>
    <row r="248">
      <c r="B248" s="168"/>
      <c r="C248" s="168"/>
      <c r="D248" s="168"/>
    </row>
    <row r="249">
      <c r="B249" s="168"/>
      <c r="C249" s="168"/>
      <c r="D249" s="168"/>
    </row>
    <row r="250">
      <c r="B250" s="168"/>
      <c r="C250" s="168"/>
      <c r="D250" s="168"/>
    </row>
    <row r="251">
      <c r="B251" s="168"/>
      <c r="C251" s="168"/>
      <c r="D251" s="168"/>
    </row>
    <row r="252">
      <c r="B252" s="168"/>
      <c r="C252" s="168"/>
      <c r="D252" s="168"/>
    </row>
    <row r="253">
      <c r="B253" s="168"/>
      <c r="C253" s="168"/>
      <c r="D253" s="168"/>
    </row>
    <row r="254">
      <c r="B254" s="168"/>
      <c r="C254" s="168"/>
      <c r="D254" s="168"/>
    </row>
    <row r="255">
      <c r="B255" s="168"/>
      <c r="C255" s="168"/>
      <c r="D255" s="168"/>
    </row>
    <row r="256">
      <c r="B256" s="168"/>
      <c r="C256" s="168"/>
      <c r="D256" s="168"/>
    </row>
    <row r="257">
      <c r="B257" s="168"/>
      <c r="C257" s="168"/>
      <c r="D257" s="168"/>
    </row>
    <row r="258">
      <c r="B258" s="168"/>
      <c r="C258" s="168"/>
      <c r="D258" s="168"/>
    </row>
    <row r="259">
      <c r="B259" s="168"/>
      <c r="C259" s="168"/>
      <c r="D259" s="168"/>
    </row>
    <row r="260">
      <c r="B260" s="168"/>
      <c r="C260" s="168"/>
      <c r="D260" s="168"/>
    </row>
    <row r="261">
      <c r="B261" s="168"/>
      <c r="C261" s="168"/>
      <c r="D261" s="168"/>
    </row>
    <row r="262">
      <c r="B262" s="168"/>
      <c r="C262" s="168"/>
      <c r="D262" s="168"/>
    </row>
    <row r="263">
      <c r="B263" s="168"/>
      <c r="C263" s="168"/>
      <c r="D263" s="168"/>
    </row>
    <row r="264">
      <c r="B264" s="168"/>
      <c r="C264" s="168"/>
      <c r="D264" s="168"/>
    </row>
    <row r="265">
      <c r="B265" s="168"/>
      <c r="C265" s="168"/>
      <c r="D265" s="168"/>
    </row>
    <row r="266">
      <c r="B266" s="168"/>
      <c r="C266" s="168"/>
      <c r="D266" s="168"/>
    </row>
    <row r="267">
      <c r="B267" s="168"/>
      <c r="C267" s="168"/>
      <c r="D267" s="168"/>
    </row>
    <row r="268">
      <c r="B268" s="168"/>
      <c r="C268" s="168"/>
      <c r="D268" s="168"/>
    </row>
    <row r="269">
      <c r="B269" s="168"/>
      <c r="C269" s="168"/>
      <c r="D269" s="168"/>
    </row>
    <row r="270">
      <c r="B270" s="168"/>
      <c r="C270" s="168"/>
      <c r="D270" s="168"/>
    </row>
    <row r="271">
      <c r="B271" s="168"/>
      <c r="C271" s="168"/>
      <c r="D271" s="168"/>
    </row>
    <row r="272">
      <c r="B272" s="168"/>
      <c r="C272" s="168"/>
      <c r="D272" s="168"/>
    </row>
    <row r="273">
      <c r="B273" s="168"/>
      <c r="C273" s="168"/>
      <c r="D273" s="168"/>
    </row>
    <row r="274">
      <c r="B274" s="168"/>
      <c r="C274" s="168"/>
      <c r="D274" s="168"/>
    </row>
    <row r="275">
      <c r="B275" s="168"/>
      <c r="C275" s="168"/>
      <c r="D275" s="168"/>
    </row>
    <row r="276">
      <c r="B276" s="168"/>
      <c r="C276" s="168"/>
      <c r="D276" s="168"/>
    </row>
    <row r="277">
      <c r="B277" s="168"/>
      <c r="C277" s="168"/>
      <c r="D277" s="168"/>
    </row>
    <row r="278">
      <c r="B278" s="168"/>
      <c r="C278" s="168"/>
      <c r="D278" s="168"/>
    </row>
    <row r="279">
      <c r="B279" s="168"/>
      <c r="C279" s="168"/>
      <c r="D279" s="168"/>
    </row>
    <row r="280">
      <c r="B280" s="168"/>
      <c r="C280" s="168"/>
      <c r="D280" s="168"/>
    </row>
    <row r="281">
      <c r="B281" s="168"/>
      <c r="C281" s="168"/>
      <c r="D281" s="168"/>
    </row>
    <row r="282">
      <c r="B282" s="168"/>
      <c r="C282" s="168"/>
      <c r="D282" s="168"/>
    </row>
    <row r="283">
      <c r="B283" s="168"/>
      <c r="C283" s="168"/>
      <c r="D283" s="168"/>
    </row>
    <row r="284">
      <c r="B284" s="168"/>
      <c r="C284" s="168"/>
      <c r="D284" s="168"/>
    </row>
    <row r="285">
      <c r="B285" s="168"/>
      <c r="C285" s="168"/>
      <c r="D285" s="168"/>
    </row>
    <row r="286">
      <c r="B286" s="168"/>
      <c r="C286" s="168"/>
      <c r="D286" s="168"/>
    </row>
    <row r="287">
      <c r="B287" s="168"/>
      <c r="C287" s="168"/>
      <c r="D287" s="168"/>
    </row>
    <row r="288">
      <c r="B288" s="168"/>
      <c r="C288" s="168"/>
      <c r="D288" s="168"/>
    </row>
    <row r="289">
      <c r="B289" s="168"/>
      <c r="C289" s="168"/>
      <c r="D289" s="168"/>
    </row>
    <row r="290">
      <c r="B290" s="168"/>
      <c r="C290" s="168"/>
      <c r="D290" s="168"/>
    </row>
    <row r="291">
      <c r="B291" s="168"/>
      <c r="C291" s="168"/>
      <c r="D291" s="168"/>
    </row>
    <row r="292">
      <c r="B292" s="168"/>
      <c r="C292" s="168"/>
      <c r="D292" s="168"/>
    </row>
    <row r="293">
      <c r="B293" s="168"/>
      <c r="C293" s="168"/>
      <c r="D293" s="168"/>
    </row>
    <row r="294">
      <c r="B294" s="168"/>
      <c r="C294" s="168"/>
      <c r="D294" s="168"/>
    </row>
    <row r="295">
      <c r="B295" s="168"/>
      <c r="C295" s="168"/>
      <c r="D295" s="168"/>
    </row>
    <row r="296">
      <c r="B296" s="168"/>
      <c r="C296" s="168"/>
      <c r="D296" s="168"/>
    </row>
    <row r="297">
      <c r="B297" s="168"/>
      <c r="C297" s="168"/>
      <c r="D297" s="168"/>
    </row>
    <row r="298">
      <c r="B298" s="168"/>
      <c r="C298" s="168"/>
      <c r="D298" s="168"/>
    </row>
    <row r="299">
      <c r="B299" s="168"/>
      <c r="C299" s="168"/>
      <c r="D299" s="168"/>
    </row>
    <row r="300">
      <c r="B300" s="168"/>
      <c r="C300" s="168"/>
      <c r="D300" s="168"/>
    </row>
    <row r="301">
      <c r="B301" s="168"/>
      <c r="C301" s="168"/>
      <c r="D301" s="168"/>
    </row>
    <row r="302">
      <c r="B302" s="168"/>
      <c r="C302" s="168"/>
      <c r="D302" s="168"/>
    </row>
    <row r="303">
      <c r="B303" s="168"/>
      <c r="C303" s="168"/>
      <c r="D303" s="168"/>
    </row>
    <row r="304">
      <c r="B304" s="168"/>
      <c r="C304" s="168"/>
      <c r="D304" s="168"/>
    </row>
    <row r="305">
      <c r="B305" s="168"/>
      <c r="C305" s="168"/>
      <c r="D305" s="168"/>
    </row>
    <row r="306">
      <c r="B306" s="168"/>
      <c r="C306" s="168"/>
      <c r="D306" s="168"/>
    </row>
    <row r="307">
      <c r="B307" s="168"/>
      <c r="C307" s="168"/>
      <c r="D307" s="168"/>
    </row>
    <row r="308">
      <c r="B308" s="168"/>
      <c r="C308" s="168"/>
      <c r="D308" s="168"/>
    </row>
    <row r="309">
      <c r="B309" s="168"/>
      <c r="C309" s="168"/>
      <c r="D309" s="168"/>
    </row>
    <row r="310">
      <c r="B310" s="168"/>
      <c r="C310" s="168"/>
      <c r="D310" s="168"/>
    </row>
    <row r="311">
      <c r="B311" s="168"/>
      <c r="C311" s="168"/>
      <c r="D311" s="168"/>
    </row>
    <row r="312">
      <c r="B312" s="168"/>
      <c r="C312" s="168"/>
      <c r="D312" s="168"/>
    </row>
    <row r="313">
      <c r="B313" s="168"/>
      <c r="C313" s="168"/>
      <c r="D313" s="168"/>
    </row>
    <row r="314">
      <c r="B314" s="168"/>
      <c r="C314" s="168"/>
      <c r="D314" s="168"/>
    </row>
    <row r="315">
      <c r="B315" s="168"/>
      <c r="C315" s="168"/>
      <c r="D315" s="168"/>
    </row>
    <row r="316">
      <c r="B316" s="168"/>
      <c r="C316" s="168"/>
      <c r="D316" s="168"/>
    </row>
    <row r="317">
      <c r="B317" s="168"/>
      <c r="C317" s="168"/>
      <c r="D317" s="168"/>
    </row>
    <row r="318">
      <c r="B318" s="168"/>
      <c r="C318" s="168"/>
      <c r="D318" s="168"/>
    </row>
    <row r="319">
      <c r="B319" s="168"/>
      <c r="C319" s="168"/>
      <c r="D319" s="168"/>
    </row>
    <row r="320">
      <c r="B320" s="168"/>
      <c r="C320" s="168"/>
      <c r="D320" s="168"/>
    </row>
    <row r="321">
      <c r="B321" s="168"/>
      <c r="C321" s="168"/>
      <c r="D321" s="168"/>
    </row>
    <row r="322">
      <c r="B322" s="168"/>
      <c r="C322" s="168"/>
      <c r="D322" s="168"/>
    </row>
    <row r="323">
      <c r="B323" s="168"/>
      <c r="C323" s="168"/>
      <c r="D323" s="168"/>
    </row>
    <row r="324">
      <c r="B324" s="168"/>
      <c r="C324" s="168"/>
      <c r="D324" s="168"/>
    </row>
    <row r="325">
      <c r="B325" s="168"/>
      <c r="C325" s="168"/>
      <c r="D325" s="168"/>
    </row>
    <row r="326">
      <c r="B326" s="168"/>
      <c r="C326" s="168"/>
      <c r="D326" s="168"/>
    </row>
    <row r="327">
      <c r="B327" s="168"/>
      <c r="C327" s="168"/>
      <c r="D327" s="168"/>
    </row>
    <row r="328">
      <c r="B328" s="168"/>
      <c r="C328" s="168"/>
      <c r="D328" s="168"/>
    </row>
    <row r="329">
      <c r="B329" s="168"/>
      <c r="C329" s="168"/>
      <c r="D329" s="168"/>
    </row>
    <row r="330">
      <c r="B330" s="168"/>
      <c r="C330" s="168"/>
      <c r="D330" s="168"/>
    </row>
    <row r="331">
      <c r="B331" s="168"/>
      <c r="C331" s="168"/>
      <c r="D331" s="168"/>
    </row>
    <row r="332">
      <c r="B332" s="168"/>
      <c r="C332" s="168"/>
      <c r="D332" s="168"/>
    </row>
    <row r="333">
      <c r="B333" s="168"/>
      <c r="C333" s="168"/>
      <c r="D333" s="168"/>
    </row>
    <row r="334">
      <c r="B334" s="168"/>
      <c r="C334" s="168"/>
      <c r="D334" s="168"/>
    </row>
    <row r="335">
      <c r="B335" s="168"/>
      <c r="C335" s="168"/>
      <c r="D335" s="168"/>
    </row>
    <row r="336">
      <c r="B336" s="168"/>
      <c r="C336" s="168"/>
      <c r="D336" s="168"/>
    </row>
    <row r="337">
      <c r="B337" s="168"/>
      <c r="C337" s="168"/>
      <c r="D337" s="168"/>
    </row>
    <row r="338">
      <c r="B338" s="168"/>
      <c r="C338" s="168"/>
      <c r="D338" s="168"/>
    </row>
    <row r="339">
      <c r="B339" s="168"/>
      <c r="C339" s="168"/>
      <c r="D339" s="168"/>
    </row>
    <row r="340">
      <c r="B340" s="168"/>
      <c r="C340" s="168"/>
      <c r="D340" s="168"/>
    </row>
    <row r="341">
      <c r="B341" s="168"/>
      <c r="C341" s="168"/>
      <c r="D341" s="168"/>
    </row>
    <row r="342">
      <c r="B342" s="168"/>
      <c r="C342" s="168"/>
      <c r="D342" s="168"/>
    </row>
    <row r="343">
      <c r="B343" s="168"/>
      <c r="C343" s="168"/>
      <c r="D343" s="168"/>
    </row>
    <row r="344">
      <c r="B344" s="168"/>
      <c r="C344" s="168"/>
      <c r="D344" s="168"/>
    </row>
    <row r="345">
      <c r="B345" s="168"/>
      <c r="C345" s="168"/>
      <c r="D345" s="16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0.0"/>
    <col customWidth="1" min="4" max="4" width="51.88"/>
    <col customWidth="1" min="5" max="5" width="44.25"/>
  </cols>
  <sheetData>
    <row r="1">
      <c r="A1" s="169" t="s">
        <v>95</v>
      </c>
      <c r="B1" s="6" t="s">
        <v>96</v>
      </c>
      <c r="C1" s="6" t="s">
        <v>97</v>
      </c>
      <c r="D1" s="6" t="s">
        <v>98</v>
      </c>
      <c r="E1" s="8" t="s">
        <v>99</v>
      </c>
    </row>
    <row r="2">
      <c r="A2" s="170">
        <v>1.0</v>
      </c>
      <c r="B2" s="171">
        <v>45897.0</v>
      </c>
      <c r="C2" s="172" t="s">
        <v>100</v>
      </c>
      <c r="D2" s="173" t="s">
        <v>101</v>
      </c>
      <c r="E2" s="174"/>
    </row>
  </sheetData>
  <dataValidations>
    <dataValidation type="custom" allowBlank="1" showDropDown="1" sqref="B2">
      <formula1>OR(NOT(ISERROR(DATEVALUE(B2))), AND(ISNUMBER(B2), LEFT(CELL("format", B2))="D"))</formula1>
    </dataValidation>
  </dataValidations>
  <hyperlinks>
    <hyperlink r:id="rId1" ref="D2"/>
  </hyperlinks>
  <drawing r:id="rId2"/>
  <tableParts count="1">
    <tablePart r:id="rId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11" max="11" width="12.63"/>
    <col customWidth="1" min="12" max="12" width="13.88"/>
  </cols>
  <sheetData>
    <row r="1">
      <c r="A1" s="175" t="s">
        <v>102</v>
      </c>
      <c r="B1" s="176" t="s">
        <v>103</v>
      </c>
      <c r="C1" s="175" t="s">
        <v>104</v>
      </c>
      <c r="D1" s="176" t="s">
        <v>105</v>
      </c>
      <c r="E1" s="176" t="s">
        <v>106</v>
      </c>
      <c r="F1" s="176" t="s">
        <v>107</v>
      </c>
      <c r="G1" s="176" t="s">
        <v>108</v>
      </c>
      <c r="H1" s="176" t="s">
        <v>109</v>
      </c>
      <c r="I1" s="176" t="s">
        <v>110</v>
      </c>
      <c r="J1" s="176" t="s">
        <v>111</v>
      </c>
      <c r="K1" s="176" t="s">
        <v>112</v>
      </c>
      <c r="L1" s="176" t="s">
        <v>113</v>
      </c>
      <c r="M1" s="177" t="s">
        <v>114</v>
      </c>
    </row>
    <row r="2">
      <c r="A2" s="178" t="s">
        <v>115</v>
      </c>
      <c r="B2" s="179">
        <v>0.01</v>
      </c>
      <c r="C2" s="180">
        <v>3.0E8</v>
      </c>
      <c r="D2" s="181">
        <f t="shared" ref="D2:M2" si="1">C2*(1+$B2)</f>
        <v>303000000</v>
      </c>
      <c r="E2" s="181">
        <f t="shared" si="1"/>
        <v>306030000</v>
      </c>
      <c r="F2" s="181">
        <f t="shared" si="1"/>
        <v>309090300</v>
      </c>
      <c r="G2" s="181">
        <f t="shared" si="1"/>
        <v>312181203</v>
      </c>
      <c r="H2" s="181">
        <f t="shared" si="1"/>
        <v>315303015</v>
      </c>
      <c r="I2" s="181">
        <f t="shared" si="1"/>
        <v>318456045.2</v>
      </c>
      <c r="J2" s="181">
        <f t="shared" si="1"/>
        <v>321640605.6</v>
      </c>
      <c r="K2" s="181">
        <f t="shared" si="1"/>
        <v>324857011.7</v>
      </c>
      <c r="L2" s="181">
        <f t="shared" si="1"/>
        <v>328105581.8</v>
      </c>
      <c r="M2" s="182">
        <f t="shared" si="1"/>
        <v>331386637.6</v>
      </c>
    </row>
    <row r="3">
      <c r="A3" s="178" t="s">
        <v>116</v>
      </c>
      <c r="B3" s="179">
        <v>0.03</v>
      </c>
      <c r="C3" s="180">
        <v>3.0E8</v>
      </c>
      <c r="D3" s="181">
        <f t="shared" ref="D3:M3" si="2">C3*(1+$B3)</f>
        <v>309000000</v>
      </c>
      <c r="E3" s="181">
        <f t="shared" si="2"/>
        <v>318270000</v>
      </c>
      <c r="F3" s="181">
        <f t="shared" si="2"/>
        <v>327818100</v>
      </c>
      <c r="G3" s="181">
        <f t="shared" si="2"/>
        <v>337652643</v>
      </c>
      <c r="H3" s="181">
        <f t="shared" si="2"/>
        <v>347782222.3</v>
      </c>
      <c r="I3" s="181">
        <f t="shared" si="2"/>
        <v>358215689</v>
      </c>
      <c r="J3" s="181">
        <f t="shared" si="2"/>
        <v>368962159.6</v>
      </c>
      <c r="K3" s="181">
        <f t="shared" si="2"/>
        <v>380031024.4</v>
      </c>
      <c r="L3" s="181">
        <f t="shared" si="2"/>
        <v>391431955.1</v>
      </c>
      <c r="M3" s="182">
        <f t="shared" si="2"/>
        <v>403174913.8</v>
      </c>
    </row>
    <row r="4">
      <c r="A4" s="178" t="s">
        <v>117</v>
      </c>
      <c r="B4" s="179">
        <v>0.05</v>
      </c>
      <c r="C4" s="180">
        <v>3.0E8</v>
      </c>
      <c r="D4" s="181">
        <f t="shared" ref="D4:M4" si="3">C4*(1+$B4)</f>
        <v>315000000</v>
      </c>
      <c r="E4" s="181">
        <f t="shared" si="3"/>
        <v>330750000</v>
      </c>
      <c r="F4" s="181">
        <f t="shared" si="3"/>
        <v>347287500</v>
      </c>
      <c r="G4" s="181">
        <f t="shared" si="3"/>
        <v>364651875</v>
      </c>
      <c r="H4" s="181">
        <f t="shared" si="3"/>
        <v>382884468.8</v>
      </c>
      <c r="I4" s="181">
        <f t="shared" si="3"/>
        <v>402028692.2</v>
      </c>
      <c r="J4" s="181">
        <f t="shared" si="3"/>
        <v>422130126.8</v>
      </c>
      <c r="K4" s="181">
        <f t="shared" si="3"/>
        <v>443236633.1</v>
      </c>
      <c r="L4" s="181">
        <f t="shared" si="3"/>
        <v>465398464.8</v>
      </c>
      <c r="M4" s="182">
        <f t="shared" si="3"/>
        <v>488668388</v>
      </c>
    </row>
    <row r="5">
      <c r="A5" s="178" t="s">
        <v>118</v>
      </c>
      <c r="B5" s="179">
        <v>0.08</v>
      </c>
      <c r="C5" s="180">
        <v>3.0E8</v>
      </c>
      <c r="D5" s="181">
        <f t="shared" ref="D5:M5" si="4">C5*(1+$B5)</f>
        <v>324000000</v>
      </c>
      <c r="E5" s="181">
        <f t="shared" si="4"/>
        <v>349920000</v>
      </c>
      <c r="F5" s="181">
        <f t="shared" si="4"/>
        <v>377913600</v>
      </c>
      <c r="G5" s="181">
        <f t="shared" si="4"/>
        <v>408146688</v>
      </c>
      <c r="H5" s="181">
        <f t="shared" si="4"/>
        <v>440798423</v>
      </c>
      <c r="I5" s="181">
        <f t="shared" si="4"/>
        <v>476062296.9</v>
      </c>
      <c r="J5" s="181">
        <f t="shared" si="4"/>
        <v>514147280.6</v>
      </c>
      <c r="K5" s="181">
        <f t="shared" si="4"/>
        <v>555279063.1</v>
      </c>
      <c r="L5" s="181">
        <f t="shared" si="4"/>
        <v>599701388.1</v>
      </c>
      <c r="M5" s="182">
        <f t="shared" si="4"/>
        <v>647677499.2</v>
      </c>
    </row>
    <row r="6">
      <c r="A6" s="183" t="s">
        <v>119</v>
      </c>
      <c r="B6" s="184">
        <v>0.15</v>
      </c>
      <c r="C6" s="185">
        <v>3.0E8</v>
      </c>
      <c r="D6" s="186">
        <f t="shared" ref="D6:M6" si="5">C6*(1+$B6)</f>
        <v>345000000</v>
      </c>
      <c r="E6" s="186">
        <f t="shared" si="5"/>
        <v>396750000</v>
      </c>
      <c r="F6" s="186">
        <f t="shared" si="5"/>
        <v>456262500</v>
      </c>
      <c r="G6" s="186">
        <f t="shared" si="5"/>
        <v>524701875</v>
      </c>
      <c r="H6" s="186">
        <f t="shared" si="5"/>
        <v>603407156.3</v>
      </c>
      <c r="I6" s="186">
        <f t="shared" si="5"/>
        <v>693918229.7</v>
      </c>
      <c r="J6" s="186">
        <f t="shared" si="5"/>
        <v>798005964.1</v>
      </c>
      <c r="K6" s="186">
        <f t="shared" si="5"/>
        <v>917706858.8</v>
      </c>
      <c r="L6" s="186">
        <f t="shared" si="5"/>
        <v>1055362888</v>
      </c>
      <c r="M6" s="187">
        <f t="shared" si="5"/>
        <v>1213667321</v>
      </c>
    </row>
    <row r="7">
      <c r="A7" s="188"/>
      <c r="B7" s="188"/>
      <c r="C7" s="188"/>
      <c r="D7" s="188"/>
      <c r="E7" s="188"/>
      <c r="F7" s="188"/>
      <c r="G7" s="188"/>
      <c r="H7" s="188"/>
      <c r="I7" s="188"/>
      <c r="J7" s="188"/>
      <c r="K7" s="188"/>
      <c r="L7" s="188"/>
      <c r="M7" s="188"/>
    </row>
    <row r="8">
      <c r="A8" s="189" t="s">
        <v>120</v>
      </c>
      <c r="B8" s="190">
        <v>0.085</v>
      </c>
      <c r="C8" s="191" t="s">
        <v>121</v>
      </c>
      <c r="D8" s="192" t="s">
        <v>122</v>
      </c>
      <c r="E8" s="193"/>
      <c r="F8" s="193"/>
      <c r="G8" s="193"/>
      <c r="H8" s="193"/>
      <c r="I8" s="193"/>
      <c r="J8" s="193"/>
      <c r="K8" s="193"/>
      <c r="L8" s="193"/>
      <c r="M8" s="188"/>
    </row>
    <row r="9">
      <c r="A9" s="189" t="s">
        <v>123</v>
      </c>
      <c r="B9" s="194">
        <f>Model!J27</f>
        <v>48497477</v>
      </c>
      <c r="C9" s="188"/>
      <c r="D9" s="192" t="s">
        <v>124</v>
      </c>
      <c r="E9" s="188"/>
      <c r="F9" s="188"/>
      <c r="G9" s="188"/>
      <c r="H9" s="188"/>
      <c r="I9" s="188"/>
      <c r="J9" s="188"/>
      <c r="K9" s="188"/>
      <c r="L9" s="188"/>
      <c r="M9" s="188"/>
    </row>
    <row r="10">
      <c r="A10" s="189" t="s">
        <v>125</v>
      </c>
      <c r="B10" s="195">
        <v>0.03</v>
      </c>
      <c r="C10" s="196"/>
      <c r="D10" s="192" t="s">
        <v>126</v>
      </c>
      <c r="E10" s="196"/>
      <c r="F10" s="196"/>
      <c r="G10" s="196"/>
      <c r="H10" s="196"/>
      <c r="I10" s="196"/>
      <c r="J10" s="196"/>
      <c r="K10" s="196"/>
      <c r="L10" s="196"/>
      <c r="M10" s="188"/>
    </row>
    <row r="11">
      <c r="A11" s="189" t="s">
        <v>127</v>
      </c>
      <c r="B11" s="197">
        <v>10.0</v>
      </c>
      <c r="C11" s="188"/>
      <c r="D11" s="188"/>
      <c r="E11" s="188"/>
      <c r="F11" s="188"/>
      <c r="G11" s="188"/>
      <c r="H11" s="188"/>
      <c r="I11" s="188"/>
      <c r="J11" s="188"/>
      <c r="K11" s="188"/>
      <c r="L11" s="188"/>
      <c r="M11" s="188"/>
    </row>
    <row r="12">
      <c r="A12" s="188"/>
      <c r="B12" s="188"/>
      <c r="C12" s="188"/>
      <c r="D12" s="188"/>
      <c r="E12" s="188"/>
      <c r="F12" s="188"/>
      <c r="G12" s="188"/>
      <c r="H12" s="188"/>
      <c r="I12" s="188"/>
      <c r="J12" s="188"/>
      <c r="K12" s="188"/>
      <c r="L12" s="188"/>
      <c r="M12" s="188"/>
    </row>
    <row r="13">
      <c r="A13" s="198" t="s">
        <v>128</v>
      </c>
      <c r="B13" s="199"/>
      <c r="C13" s="188"/>
      <c r="D13" s="188"/>
      <c r="E13" s="188"/>
      <c r="F13" s="188"/>
      <c r="G13" s="188"/>
      <c r="H13" s="188"/>
      <c r="I13" s="188"/>
      <c r="J13" s="188"/>
      <c r="K13" s="188"/>
      <c r="L13" s="188"/>
      <c r="M13" s="188"/>
    </row>
    <row r="14">
      <c r="A14" s="178" t="s">
        <v>115</v>
      </c>
      <c r="B14" s="182">
        <f t="shared" ref="B14:B18" si="6">((M2*(1+$B$10))/((1+$B$8-$B$10)))/((1+$B$8)^$B$11)</f>
        <v>143094313.6</v>
      </c>
      <c r="C14" s="188"/>
      <c r="D14" s="200" t="s">
        <v>129</v>
      </c>
      <c r="E14" s="200" t="s">
        <v>130</v>
      </c>
      <c r="F14" s="200" t="s">
        <v>131</v>
      </c>
      <c r="G14" s="188"/>
      <c r="H14" s="200" t="s">
        <v>132</v>
      </c>
      <c r="I14" s="188"/>
      <c r="J14" s="188"/>
      <c r="K14" s="188"/>
      <c r="L14" s="188"/>
      <c r="M14" s="188"/>
    </row>
    <row r="15">
      <c r="A15" s="178" t="s">
        <v>116</v>
      </c>
      <c r="B15" s="182">
        <f t="shared" si="6"/>
        <v>174092830</v>
      </c>
      <c r="C15" s="200" t="s">
        <v>133</v>
      </c>
      <c r="D15" s="201" t="s">
        <v>134</v>
      </c>
      <c r="E15" s="192" t="s">
        <v>135</v>
      </c>
      <c r="F15" s="202" t="s">
        <v>136</v>
      </c>
      <c r="G15" s="192" t="s">
        <v>137</v>
      </c>
      <c r="H15" s="203" t="s">
        <v>138</v>
      </c>
      <c r="I15" s="192" t="s">
        <v>139</v>
      </c>
      <c r="J15" s="188"/>
      <c r="K15" s="188"/>
      <c r="L15" s="188"/>
      <c r="M15" s="188"/>
    </row>
    <row r="16">
      <c r="A16" s="178" t="s">
        <v>117</v>
      </c>
      <c r="B16" s="182">
        <f t="shared" si="6"/>
        <v>211009315.5</v>
      </c>
      <c r="C16" s="188"/>
      <c r="D16" s="188"/>
      <c r="E16" s="188"/>
      <c r="F16" s="188"/>
      <c r="G16" s="188"/>
      <c r="H16" s="188"/>
      <c r="I16" s="188"/>
      <c r="J16" s="188"/>
      <c r="K16" s="188"/>
      <c r="L16" s="188"/>
      <c r="M16" s="188"/>
    </row>
    <row r="17">
      <c r="A17" s="178" t="s">
        <v>118</v>
      </c>
      <c r="B17" s="182">
        <f t="shared" si="6"/>
        <v>279670199.9</v>
      </c>
      <c r="C17" s="200" t="s">
        <v>140</v>
      </c>
      <c r="D17" s="192" t="s">
        <v>141</v>
      </c>
      <c r="E17" s="188"/>
      <c r="F17" s="188"/>
      <c r="G17" s="188"/>
      <c r="H17" s="188"/>
      <c r="I17" s="188"/>
      <c r="J17" s="188"/>
      <c r="K17" s="188"/>
      <c r="L17" s="188"/>
      <c r="M17" s="188"/>
    </row>
    <row r="18">
      <c r="A18" s="183" t="s">
        <v>119</v>
      </c>
      <c r="B18" s="187">
        <f t="shared" si="6"/>
        <v>524067275.2</v>
      </c>
      <c r="C18" s="188"/>
      <c r="D18" s="188"/>
      <c r="E18" s="188"/>
      <c r="F18" s="188"/>
      <c r="G18" s="188"/>
      <c r="H18" s="188"/>
      <c r="I18" s="188"/>
      <c r="J18" s="188"/>
      <c r="K18" s="188"/>
      <c r="L18" s="188"/>
      <c r="M18" s="188"/>
    </row>
    <row r="19">
      <c r="A19" s="188"/>
      <c r="B19" s="188"/>
      <c r="C19" s="188"/>
      <c r="D19" s="188"/>
      <c r="E19" s="188"/>
      <c r="F19" s="188"/>
      <c r="G19" s="188"/>
      <c r="H19" s="188"/>
      <c r="I19" s="188"/>
      <c r="J19" s="188"/>
      <c r="K19" s="188"/>
      <c r="L19" s="188"/>
      <c r="M19" s="188"/>
    </row>
    <row r="20">
      <c r="A20" s="198" t="s">
        <v>142</v>
      </c>
      <c r="B20" s="204"/>
      <c r="C20" s="188"/>
      <c r="D20" s="188"/>
      <c r="E20" s="188"/>
      <c r="F20" s="188"/>
      <c r="G20" s="188"/>
      <c r="H20" s="188"/>
      <c r="I20" s="188"/>
      <c r="J20" s="188"/>
      <c r="K20" s="188"/>
      <c r="L20" s="188"/>
      <c r="M20" s="188"/>
    </row>
    <row r="21">
      <c r="A21" s="178" t="s">
        <v>115</v>
      </c>
      <c r="B21" s="182">
        <f t="shared" ref="B21:B25" si="7">NPV($B$8,D2:M2)</f>
        <v>2066224649</v>
      </c>
      <c r="C21" s="188"/>
      <c r="D21" s="188"/>
      <c r="E21" s="188"/>
      <c r="F21" s="188"/>
      <c r="G21" s="188"/>
      <c r="H21" s="188"/>
      <c r="I21" s="188"/>
      <c r="J21" s="188"/>
      <c r="K21" s="188"/>
      <c r="L21" s="188"/>
      <c r="M21" s="188"/>
    </row>
    <row r="22">
      <c r="A22" s="178" t="s">
        <v>116</v>
      </c>
      <c r="B22" s="182">
        <f t="shared" si="7"/>
        <v>2278764807</v>
      </c>
      <c r="C22" s="188"/>
      <c r="D22" s="188"/>
      <c r="E22" s="188"/>
      <c r="F22" s="188"/>
      <c r="G22" s="188"/>
      <c r="H22" s="188"/>
      <c r="I22" s="188"/>
      <c r="J22" s="188"/>
      <c r="K22" s="188"/>
      <c r="L22" s="188"/>
      <c r="M22" s="188"/>
    </row>
    <row r="23">
      <c r="A23" s="178" t="s">
        <v>117</v>
      </c>
      <c r="B23" s="182">
        <f t="shared" si="7"/>
        <v>2516072975</v>
      </c>
      <c r="C23" s="188"/>
      <c r="D23" s="188"/>
      <c r="E23" s="188"/>
      <c r="F23" s="188"/>
      <c r="G23" s="188"/>
      <c r="H23" s="188"/>
      <c r="I23" s="188"/>
      <c r="J23" s="188"/>
      <c r="K23" s="188"/>
      <c r="L23" s="188"/>
      <c r="M23" s="188"/>
    </row>
    <row r="24">
      <c r="A24" s="178" t="s">
        <v>118</v>
      </c>
      <c r="B24" s="182">
        <f t="shared" si="7"/>
        <v>2925004708</v>
      </c>
      <c r="C24" s="188"/>
      <c r="D24" s="188"/>
      <c r="E24" s="188"/>
      <c r="F24" s="188"/>
      <c r="G24" s="188"/>
      <c r="H24" s="188"/>
      <c r="I24" s="188"/>
      <c r="J24" s="188"/>
      <c r="K24" s="188"/>
      <c r="L24" s="188"/>
      <c r="M24" s="188"/>
    </row>
    <row r="25">
      <c r="A25" s="183" t="s">
        <v>119</v>
      </c>
      <c r="B25" s="187">
        <f t="shared" si="7"/>
        <v>4189314736</v>
      </c>
      <c r="C25" s="188"/>
      <c r="D25" s="188"/>
      <c r="E25" s="188"/>
      <c r="F25" s="188"/>
      <c r="G25" s="188"/>
      <c r="H25" s="188"/>
      <c r="I25" s="188"/>
      <c r="J25" s="188"/>
      <c r="K25" s="188"/>
      <c r="L25" s="188"/>
      <c r="M25" s="188"/>
    </row>
    <row r="26">
      <c r="A26" s="188"/>
      <c r="B26" s="205"/>
      <c r="C26" s="188"/>
      <c r="D26" s="188"/>
      <c r="E26" s="188"/>
      <c r="F26" s="188"/>
      <c r="G26" s="188"/>
      <c r="H26" s="188"/>
      <c r="I26" s="188"/>
      <c r="J26" s="188"/>
      <c r="K26" s="188"/>
      <c r="L26" s="188"/>
      <c r="M26" s="188"/>
    </row>
    <row r="27">
      <c r="A27" s="189" t="s">
        <v>143</v>
      </c>
      <c r="B27" s="181">
        <f>Main!L5-Main!L6</f>
        <v>0</v>
      </c>
      <c r="C27" s="188"/>
      <c r="D27" s="188"/>
      <c r="E27" s="188"/>
      <c r="F27" s="188"/>
      <c r="G27" s="188"/>
      <c r="H27" s="188"/>
      <c r="I27" s="188"/>
      <c r="J27" s="188"/>
      <c r="K27" s="188"/>
      <c r="L27" s="188"/>
      <c r="M27" s="188"/>
    </row>
    <row r="28">
      <c r="A28" s="188"/>
      <c r="B28" s="205"/>
      <c r="C28" s="188"/>
      <c r="D28" s="188"/>
      <c r="E28" s="188"/>
      <c r="F28" s="188"/>
      <c r="G28" s="188"/>
      <c r="H28" s="188"/>
      <c r="I28" s="188"/>
      <c r="J28" s="188"/>
      <c r="K28" s="188"/>
      <c r="L28" s="188"/>
      <c r="M28" s="188"/>
    </row>
    <row r="29">
      <c r="A29" s="198" t="s">
        <v>23</v>
      </c>
      <c r="B29" s="206"/>
      <c r="C29" s="188"/>
      <c r="D29" s="188"/>
      <c r="E29" s="188"/>
      <c r="F29" s="188"/>
      <c r="G29" s="188"/>
      <c r="H29" s="188"/>
      <c r="I29" s="188"/>
      <c r="J29" s="188"/>
      <c r="K29" s="188"/>
      <c r="L29" s="188"/>
      <c r="M29" s="188"/>
    </row>
    <row r="30">
      <c r="A30" s="178" t="s">
        <v>115</v>
      </c>
      <c r="B30" s="182">
        <f t="shared" ref="B30:B34" si="8">B21+B14</f>
        <v>2209318963</v>
      </c>
      <c r="C30" s="188"/>
      <c r="D30" s="188"/>
      <c r="E30" s="188"/>
      <c r="F30" s="188"/>
      <c r="G30" s="188"/>
      <c r="H30" s="188"/>
      <c r="I30" s="188"/>
      <c r="J30" s="188"/>
      <c r="K30" s="188"/>
      <c r="L30" s="188"/>
      <c r="M30" s="188"/>
    </row>
    <row r="31">
      <c r="A31" s="178" t="s">
        <v>116</v>
      </c>
      <c r="B31" s="182">
        <f t="shared" si="8"/>
        <v>2452857637</v>
      </c>
      <c r="C31" s="188"/>
      <c r="D31" s="188"/>
      <c r="E31" s="188"/>
      <c r="F31" s="188"/>
      <c r="G31" s="188"/>
      <c r="H31" s="188"/>
      <c r="I31" s="188"/>
      <c r="J31" s="188"/>
      <c r="K31" s="188"/>
      <c r="L31" s="188"/>
      <c r="M31" s="188"/>
    </row>
    <row r="32">
      <c r="A32" s="178" t="s">
        <v>117</v>
      </c>
      <c r="B32" s="182">
        <f t="shared" si="8"/>
        <v>2727082291</v>
      </c>
      <c r="C32" s="188"/>
      <c r="D32" s="188"/>
      <c r="E32" s="188"/>
      <c r="F32" s="188"/>
      <c r="G32" s="188"/>
      <c r="H32" s="188"/>
      <c r="I32" s="188"/>
      <c r="J32" s="188"/>
      <c r="K32" s="188"/>
      <c r="L32" s="188"/>
      <c r="M32" s="188"/>
    </row>
    <row r="33">
      <c r="A33" s="178" t="s">
        <v>118</v>
      </c>
      <c r="B33" s="182">
        <f t="shared" si="8"/>
        <v>3204674908</v>
      </c>
      <c r="C33" s="188"/>
      <c r="D33" s="188"/>
      <c r="E33" s="188"/>
      <c r="F33" s="188"/>
      <c r="G33" s="188"/>
      <c r="H33" s="188"/>
      <c r="I33" s="188"/>
      <c r="J33" s="188"/>
      <c r="K33" s="188"/>
      <c r="L33" s="188"/>
      <c r="M33" s="188"/>
    </row>
    <row r="34">
      <c r="A34" s="183" t="s">
        <v>119</v>
      </c>
      <c r="B34" s="187">
        <f t="shared" si="8"/>
        <v>4713382011</v>
      </c>
      <c r="C34" s="188"/>
      <c r="D34" s="188"/>
      <c r="E34" s="188"/>
      <c r="F34" s="188"/>
      <c r="G34" s="188"/>
      <c r="H34" s="188"/>
      <c r="I34" s="188"/>
      <c r="J34" s="188"/>
      <c r="K34" s="188"/>
      <c r="L34" s="188"/>
      <c r="M34" s="188"/>
    </row>
    <row r="35">
      <c r="A35" s="188"/>
      <c r="B35" s="205"/>
      <c r="C35" s="188"/>
      <c r="D35" s="188"/>
      <c r="E35" s="188"/>
      <c r="F35" s="188"/>
      <c r="G35" s="188"/>
      <c r="H35" s="188"/>
      <c r="I35" s="188"/>
      <c r="J35" s="188"/>
      <c r="K35" s="188"/>
      <c r="L35" s="188"/>
      <c r="M35" s="188"/>
    </row>
    <row r="36">
      <c r="A36" s="198" t="s">
        <v>144</v>
      </c>
      <c r="B36" s="206"/>
      <c r="C36" s="188"/>
      <c r="D36" s="188"/>
      <c r="E36" s="188"/>
      <c r="F36" s="188"/>
      <c r="G36" s="188"/>
      <c r="H36" s="188"/>
      <c r="I36" s="188"/>
      <c r="J36" s="188"/>
      <c r="K36" s="188"/>
      <c r="L36" s="188"/>
      <c r="M36" s="188"/>
    </row>
    <row r="37">
      <c r="A37" s="178" t="s">
        <v>115</v>
      </c>
      <c r="B37" s="207">
        <f t="shared" ref="B37:B41" si="9">((B30-$B$27)/$B$9)</f>
        <v>45.55533812</v>
      </c>
      <c r="C37" s="188"/>
      <c r="D37" s="188"/>
      <c r="E37" s="188"/>
      <c r="F37" s="188"/>
      <c r="G37" s="188"/>
      <c r="H37" s="188"/>
      <c r="I37" s="188"/>
      <c r="J37" s="188"/>
      <c r="K37" s="188"/>
      <c r="L37" s="188"/>
      <c r="M37" s="188"/>
    </row>
    <row r="38">
      <c r="A38" s="178" t="s">
        <v>116</v>
      </c>
      <c r="B38" s="207">
        <f t="shared" si="9"/>
        <v>50.57701532</v>
      </c>
      <c r="C38" s="188"/>
      <c r="D38" s="188"/>
      <c r="E38" s="188"/>
      <c r="F38" s="188"/>
      <c r="G38" s="188"/>
      <c r="H38" s="188"/>
      <c r="I38" s="188"/>
      <c r="J38" s="188"/>
      <c r="K38" s="188"/>
      <c r="L38" s="188"/>
      <c r="M38" s="188"/>
    </row>
    <row r="39">
      <c r="A39" s="178" t="s">
        <v>117</v>
      </c>
      <c r="B39" s="207">
        <f t="shared" si="9"/>
        <v>56.23142604</v>
      </c>
      <c r="C39" s="188"/>
      <c r="D39" s="188"/>
      <c r="E39" s="188"/>
      <c r="F39" s="188"/>
      <c r="G39" s="188"/>
      <c r="H39" s="188"/>
      <c r="I39" s="188"/>
      <c r="J39" s="188"/>
      <c r="K39" s="188"/>
      <c r="L39" s="188"/>
      <c r="M39" s="188"/>
    </row>
    <row r="40">
      <c r="A40" s="178" t="s">
        <v>118</v>
      </c>
      <c r="B40" s="207">
        <f t="shared" si="9"/>
        <v>66.07920878</v>
      </c>
      <c r="C40" s="188"/>
      <c r="D40" s="188"/>
      <c r="E40" s="188"/>
      <c r="F40" s="188"/>
      <c r="G40" s="188"/>
      <c r="H40" s="188"/>
      <c r="I40" s="188"/>
      <c r="J40" s="188"/>
      <c r="K40" s="188"/>
      <c r="L40" s="188"/>
      <c r="M40" s="188"/>
    </row>
    <row r="41">
      <c r="A41" s="183" t="s">
        <v>119</v>
      </c>
      <c r="B41" s="208">
        <f t="shared" si="9"/>
        <v>97.18819005</v>
      </c>
      <c r="C41" s="196"/>
      <c r="D41" s="196"/>
      <c r="E41" s="188"/>
      <c r="F41" s="188"/>
      <c r="G41" s="188"/>
      <c r="H41" s="188"/>
      <c r="I41" s="188"/>
      <c r="J41" s="188"/>
      <c r="K41" s="188"/>
      <c r="L41" s="188"/>
      <c r="M41" s="188"/>
    </row>
    <row r="42">
      <c r="A42" s="188"/>
      <c r="B42" s="205"/>
      <c r="C42" s="196"/>
      <c r="D42" s="196"/>
      <c r="E42" s="188"/>
      <c r="F42" s="188"/>
      <c r="G42" s="188"/>
      <c r="H42" s="188"/>
      <c r="I42" s="188"/>
      <c r="J42" s="188"/>
      <c r="K42" s="188"/>
      <c r="L42" s="188"/>
      <c r="M42" s="188"/>
    </row>
    <row r="43">
      <c r="A43" s="209" t="s">
        <v>145</v>
      </c>
      <c r="B43" s="210">
        <v>99.47</v>
      </c>
      <c r="C43" s="211">
        <v>45922.0</v>
      </c>
      <c r="D43" s="196"/>
      <c r="E43" s="188"/>
      <c r="F43" s="188"/>
      <c r="G43" s="188"/>
      <c r="H43" s="188"/>
      <c r="I43" s="188"/>
      <c r="J43" s="188"/>
      <c r="K43" s="188"/>
      <c r="L43" s="188"/>
      <c r="M43" s="188"/>
    </row>
    <row r="44">
      <c r="A44" s="188"/>
      <c r="B44" s="188"/>
      <c r="C44" s="188"/>
      <c r="D44" s="188"/>
      <c r="E44" s="188"/>
      <c r="F44" s="188"/>
      <c r="G44" s="188"/>
      <c r="H44" s="188"/>
      <c r="I44" s="188"/>
      <c r="J44" s="188"/>
      <c r="K44" s="188"/>
      <c r="L44" s="188"/>
      <c r="M44" s="188"/>
    </row>
    <row r="45">
      <c r="A45" s="212" t="s">
        <v>146</v>
      </c>
      <c r="B45" s="213"/>
      <c r="C45" s="214" t="s">
        <v>147</v>
      </c>
      <c r="D45" s="188"/>
      <c r="E45" s="188"/>
      <c r="F45" s="188"/>
      <c r="G45" s="188"/>
      <c r="H45" s="188"/>
      <c r="I45" s="188"/>
      <c r="J45" s="188"/>
      <c r="K45" s="188"/>
      <c r="L45" s="188"/>
      <c r="M45" s="188"/>
    </row>
    <row r="46">
      <c r="A46" s="178" t="s">
        <v>115</v>
      </c>
      <c r="B46" s="215">
        <f t="shared" ref="B46:B50" si="10">((B37-$B$43)/B37)</f>
        <v>-1.183498227</v>
      </c>
      <c r="C46" s="214">
        <v>1.0</v>
      </c>
      <c r="D46" s="188"/>
      <c r="E46" s="188"/>
      <c r="F46" s="188"/>
      <c r="G46" s="188"/>
      <c r="H46" s="188"/>
      <c r="I46" s="188"/>
      <c r="J46" s="188"/>
      <c r="K46" s="188"/>
      <c r="L46" s="188"/>
      <c r="M46" s="188"/>
    </row>
    <row r="47">
      <c r="A47" s="178" t="s">
        <v>116</v>
      </c>
      <c r="B47" s="215">
        <f t="shared" si="10"/>
        <v>-0.9667036375</v>
      </c>
      <c r="C47" s="216">
        <v>2.0</v>
      </c>
      <c r="D47" s="188"/>
      <c r="E47" s="188"/>
      <c r="F47" s="188"/>
      <c r="G47" s="188"/>
      <c r="H47" s="188"/>
      <c r="I47" s="188"/>
      <c r="J47" s="188"/>
      <c r="K47" s="188"/>
      <c r="L47" s="188"/>
      <c r="M47" s="188"/>
    </row>
    <row r="48">
      <c r="A48" s="178" t="s">
        <v>117</v>
      </c>
      <c r="B48" s="215">
        <f t="shared" si="10"/>
        <v>-0.7689396661</v>
      </c>
      <c r="C48" s="216">
        <v>3.0</v>
      </c>
      <c r="D48" s="188"/>
      <c r="E48" s="188"/>
      <c r="F48" s="188"/>
      <c r="G48" s="188"/>
      <c r="H48" s="188"/>
      <c r="I48" s="188"/>
      <c r="J48" s="188"/>
      <c r="K48" s="188"/>
      <c r="L48" s="188"/>
      <c r="M48" s="188"/>
    </row>
    <row r="49">
      <c r="A49" s="178" t="s">
        <v>118</v>
      </c>
      <c r="B49" s="215">
        <f t="shared" si="10"/>
        <v>-0.5053146342</v>
      </c>
      <c r="C49" s="216">
        <v>2.0</v>
      </c>
      <c r="D49" s="188"/>
      <c r="E49" s="188"/>
      <c r="F49" s="188"/>
      <c r="G49" s="188"/>
      <c r="H49" s="188"/>
      <c r="I49" s="188"/>
      <c r="J49" s="188"/>
      <c r="K49" s="188"/>
      <c r="L49" s="188"/>
      <c r="M49" s="188"/>
    </row>
    <row r="50">
      <c r="A50" s="183" t="s">
        <v>119</v>
      </c>
      <c r="B50" s="217">
        <f t="shared" si="10"/>
        <v>-0.0234782637</v>
      </c>
      <c r="C50" s="218">
        <v>1.0</v>
      </c>
      <c r="D50" s="188"/>
      <c r="E50" s="188"/>
      <c r="F50" s="188"/>
      <c r="G50" s="188"/>
      <c r="H50" s="188"/>
      <c r="I50" s="188"/>
      <c r="J50" s="188"/>
      <c r="K50" s="188"/>
      <c r="L50" s="188"/>
      <c r="M50" s="188"/>
    </row>
    <row r="51">
      <c r="A51" s="188"/>
      <c r="B51" s="188"/>
      <c r="C51" s="65">
        <v>9.0</v>
      </c>
    </row>
  </sheetData>
  <drawing r:id="rId1"/>
</worksheet>
</file>