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Predictions" sheetId="3" r:id="rId6"/>
  </sheets>
  <definedNames/>
  <calcPr/>
</workbook>
</file>

<file path=xl/sharedStrings.xml><?xml version="1.0" encoding="utf-8"?>
<sst xmlns="http://schemas.openxmlformats.org/spreadsheetml/2006/main" count="184" uniqueCount="151">
  <si>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</si>
  <si>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</si>
  <si>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</si>
  <si>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</si>
  <si>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</si>
  <si>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</si>
  <si>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</si>
  <si>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</si>
  <si>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</si>
  <si>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</si>
  <si>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</si>
  <si>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</si>
  <si>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</si>
  <si>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</si>
  <si>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</si>
  <si>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</si>
  <si>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</si>
  <si>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</si>
  <si>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</si>
  <si>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</si>
  <si>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</si>
  <si>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</si>
  <si>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</si>
  <si>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</si>
  <si>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</si>
  <si>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</si>
  <si>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</si>
  <si>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</si>
  <si>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</si>
  <si>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</si>
  <si>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</si>
  <si>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</si>
  <si>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</si>
  <si>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</si>
  <si>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</si>
  <si>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</si>
  <si>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</si>
  <si>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</si>
  <si>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</si>
  <si>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(simple anualization)</t>
  </si>
  <si>
    <t xml:space="preserve">ROA </t>
  </si>
  <si>
    <t>ROE</t>
  </si>
  <si>
    <t>ROIC</t>
  </si>
  <si>
    <t>Current Ratio</t>
  </si>
  <si>
    <t>Quick Ratio</t>
  </si>
  <si>
    <t>Debt / Equity</t>
  </si>
  <si>
    <t>NOTES</t>
  </si>
  <si>
    <t>CELESTICA INC.</t>
  </si>
  <si>
    <t>https://en.wikipedia.org/wiki/Celestica</t>
  </si>
  <si>
    <t>Celestica Inc. is a Canadian multinational design, manufacturing, hardware platform, and supply chain electronics manufacturing services (EMS) company, which is headquartered in Toronto, Ontario. The company operates in 50 sites across 15 countries.[2]</t>
  </si>
  <si>
    <t>BY QUARTERS</t>
  </si>
  <si>
    <t>BY YEARS</t>
  </si>
  <si>
    <t>Revenue</t>
  </si>
  <si>
    <t>COGS</t>
  </si>
  <si>
    <t>Gross Profit</t>
  </si>
  <si>
    <t>Sales&amp;Marketing&amp;General&amp;Administrative</t>
  </si>
  <si>
    <t>R&amp;D</t>
  </si>
  <si>
    <t xml:space="preserve">Amortization of intangible assets        </t>
  </si>
  <si>
    <t>Restructuring and other charges, net of recoveries</t>
  </si>
  <si>
    <t>Operating Expenses</t>
  </si>
  <si>
    <t>Operating Income</t>
  </si>
  <si>
    <t>Finance Cost</t>
  </si>
  <si>
    <t>Miscellaneous Expense (if negative is income)</t>
  </si>
  <si>
    <t>Pretax Income</t>
  </si>
  <si>
    <t>Taxes</t>
  </si>
  <si>
    <t>Net Income</t>
  </si>
  <si>
    <t>EPS</t>
  </si>
  <si>
    <t>Shares</t>
  </si>
  <si>
    <t>Revenue q/q Y/Y</t>
  </si>
  <si>
    <t>Gross Margin</t>
  </si>
  <si>
    <t>Operating Margin</t>
  </si>
  <si>
    <t>Profit Margin</t>
  </si>
  <si>
    <t>Net income</t>
  </si>
  <si>
    <t>Depreciation and amortization</t>
  </si>
  <si>
    <t>SBC</t>
  </si>
  <si>
    <t xml:space="preserve">Total return swap (TRS) fair value adjustments	</t>
  </si>
  <si>
    <t>Restructuring and other charges</t>
  </si>
  <si>
    <t>Unrealized losses on hedge derivatives</t>
  </si>
  <si>
    <t>Deferred income taxes</t>
  </si>
  <si>
    <r>
      <rPr>
        <rFont val="Arial"/>
        <color theme="1"/>
      </rPr>
      <t xml:space="preserve">Other </t>
    </r>
    <r>
      <rPr>
        <rFont val="Arial"/>
        <i/>
        <color theme="1"/>
      </rPr>
      <t>(pre 2021 sum of different things)</t>
    </r>
  </si>
  <si>
    <t xml:space="preserve">Changes in non-cash working capital items:	</t>
  </si>
  <si>
    <t>Net income tax paid</t>
  </si>
  <si>
    <t>Net cash provided by operations</t>
  </si>
  <si>
    <t>Cash paid for business acquisition, net of cash acquired</t>
  </si>
  <si>
    <t>Purchase of property, plant and equipment</t>
  </si>
  <si>
    <t>Proceeds from sale of assets</t>
  </si>
  <si>
    <t>Other</t>
  </si>
  <si>
    <t>Net cash used in investing activities</t>
  </si>
  <si>
    <t xml:space="preserve">Borrowings under revolving loans       </t>
  </si>
  <si>
    <t xml:space="preserve">Repayments under revolving loans	</t>
  </si>
  <si>
    <t>Borrowings under term loans</t>
  </si>
  <si>
    <t>Repayments under term loans</t>
  </si>
  <si>
    <t>Principal payments of finance leases</t>
  </si>
  <si>
    <t>Proceeds from issuance of capital stock</t>
  </si>
  <si>
    <t>Repurchase of capital stock for cancellation</t>
  </si>
  <si>
    <t>Purchase of treasury stock for SBC plans</t>
  </si>
  <si>
    <t>Proceeds from TRS settlement</t>
  </si>
  <si>
    <t>SBC cash settlement</t>
  </si>
  <si>
    <t>Debt issuance costs paid</t>
  </si>
  <si>
    <t>Net cash used in financing activities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</si>
  <si>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</si>
  <si>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</si>
  <si>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</si>
  <si>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</si>
  <si>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</si>
  <si>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</si>
  <si>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</si>
  <si>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</si>
  <si>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Expected Growth</t>
  </si>
  <si>
    <t>FCF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</si>
  <si>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</si>
  <si>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</si>
  <si>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</si>
  <si>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</si>
  <si>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</si>
  <si>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</si>
  <si>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</si>
  <si>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</si>
  <si>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</si>
  <si>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</si>
  <si>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</si>
  <si>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</si>
  <si>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</si>
  <si>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</si>
  <si>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</si>
  <si>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</si>
  <si>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</si>
  <si>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</si>
  <si>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Stock seems to be widely overvalued except if some crazy bullish sustained growth.</t>
  </si>
  <si>
    <t>N Shares</t>
  </si>
  <si>
    <t>- Small margins threat the company to loose all their Cash Flow with any shock in the market.</t>
  </si>
  <si>
    <t>LTGR</t>
  </si>
  <si>
    <t>- Nevertheless, the company has experienced a quite sustained growth for the past 10 years.</t>
  </si>
  <si>
    <t>N years</t>
  </si>
  <si>
    <t>- At the moment, the FCF yield is under the 10Y treasure note yield, indicating a widely underperforming investment.</t>
  </si>
  <si>
    <t>- Quick ratio seems to be low but its usual in its industry, long term debt is well managed.</t>
  </si>
  <si>
    <t>PV Terminal Value</t>
  </si>
  <si>
    <t>- Recent strong Returns (ROA; ROE and ROIC)</t>
  </si>
  <si>
    <t>Strategy:</t>
  </si>
  <si>
    <t>SHORT</t>
  </si>
  <si>
    <t>5 of 6 MS</t>
  </si>
  <si>
    <t>LONG</t>
  </si>
  <si>
    <t>0 of 6 MS</t>
  </si>
  <si>
    <t>Problems:</t>
  </si>
  <si>
    <t>- Catalyst?</t>
  </si>
  <si>
    <t>- Maybe beats the average expectations and go bullish, company seems to keep growing despite being overvalued.</t>
  </si>
  <si>
    <t>NPV</t>
  </si>
  <si>
    <t>NET DEBT</t>
  </si>
  <si>
    <t>IV</t>
  </si>
  <si>
    <t>Current Stock price</t>
  </si>
  <si>
    <t>Margin of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</si>
</sst>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]#,##0.00"/>
    <numFmt numFmtId="165" formatCode="[$$]#,##0"/>
    <numFmt numFmtId="166" formatCode="#,##0.000"/>
    <numFmt numFmtId="167" formatCode="#,##0.00\ [$€-1]"/>
    <numFmt numFmtId="168" formatCode="0.0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b/>
      <color theme="1"/>
      <name val="Arial"/>
    </font>
    <font>
      <u/>
      <color rgb="FF0000FF"/>
    </font>
    <font/>
    <font>
      <b/>
      <color theme="1"/>
      <name val="Arial"/>
      <scheme val="minor"/>
    </font>
    <font>
      <i/>
      <color theme="1"/>
      <name val="Arial"/>
      <scheme val="minor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3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2" fillId="0" fontId="1" numFmtId="3" xfId="0" applyAlignment="1" applyBorder="1" applyFont="1" applyNumberForma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13" fillId="0" fontId="2" numFmtId="0" xfId="0" applyAlignment="1" applyBorder="1" applyFont="1">
      <alignment vertical="bottom"/>
    </xf>
    <xf borderId="14" fillId="0" fontId="2" numFmtId="3" xfId="0" applyAlignment="1" applyBorder="1" applyFont="1" applyNumberFormat="1">
      <alignment horizontal="right" vertical="bottom"/>
    </xf>
    <xf borderId="15" fillId="0" fontId="2" numFmtId="3" xfId="0" applyAlignment="1" applyBorder="1" applyFont="1" applyNumberFormat="1">
      <alignment horizontal="right" vertical="bottom"/>
    </xf>
    <xf borderId="16" fillId="0" fontId="2" numFmtId="0" xfId="0" applyAlignment="1" applyBorder="1" applyFont="1">
      <alignment vertical="bottom"/>
    </xf>
    <xf borderId="0" fillId="0" fontId="2" numFmtId="3" xfId="0" applyAlignment="1" applyFont="1" applyNumberFormat="1">
      <alignment horizontal="right" vertical="bottom"/>
    </xf>
    <xf borderId="17" fillId="0" fontId="2" numFmtId="3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7" fillId="0" fontId="2" numFmtId="164" xfId="0" applyAlignment="1" applyBorder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17" fillId="0" fontId="2" numFmtId="10" xfId="0" applyAlignment="1" applyBorder="1" applyFont="1" applyNumberFormat="1">
      <alignment horizontal="right" vertical="bottom"/>
    </xf>
    <xf borderId="18" fillId="0" fontId="2" numFmtId="0" xfId="0" applyAlignment="1" applyBorder="1" applyFont="1">
      <alignment readingOrder="0" vertical="bottom"/>
    </xf>
    <xf borderId="19" fillId="0" fontId="2" numFmtId="10" xfId="0" applyAlignment="1" applyBorder="1" applyFont="1" applyNumberFormat="1">
      <alignment horizontal="right" vertical="bottom"/>
    </xf>
    <xf borderId="20" fillId="0" fontId="2" numFmtId="10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3" fillId="0" fontId="2" numFmtId="0" xfId="0" applyAlignment="1" applyBorder="1" applyFont="1">
      <alignment readingOrder="0" vertical="bottom"/>
    </xf>
    <xf borderId="14" fillId="0" fontId="2" numFmtId="10" xfId="0" applyAlignment="1" applyBorder="1" applyFont="1" applyNumberFormat="1">
      <alignment horizontal="right" vertical="bottom"/>
    </xf>
    <xf borderId="15" fillId="0" fontId="2" numFmtId="10" xfId="0" applyAlignment="1" applyBorder="1" applyFont="1" applyNumberFormat="1">
      <alignment horizontal="right" vertical="bottom"/>
    </xf>
    <xf borderId="16" fillId="0" fontId="2" numFmtId="0" xfId="0" applyAlignment="1" applyBorder="1" applyFont="1">
      <alignment readingOrder="0" vertical="bottom"/>
    </xf>
    <xf borderId="0" fillId="0" fontId="2" numFmtId="2" xfId="0" applyAlignment="1" applyFont="1" applyNumberFormat="1">
      <alignment horizontal="right" vertical="bottom"/>
    </xf>
    <xf borderId="14" fillId="0" fontId="2" numFmtId="2" xfId="0" applyAlignment="1" applyBorder="1" applyFont="1" applyNumberFormat="1">
      <alignment horizontal="right" vertical="bottom"/>
    </xf>
    <xf borderId="15" fillId="0" fontId="2" numFmtId="2" xfId="0" applyAlignment="1" applyBorder="1" applyFont="1" applyNumberFormat="1">
      <alignment horizontal="right" vertical="bottom"/>
    </xf>
    <xf borderId="17" fillId="0" fontId="2" numFmtId="2" xfId="0" applyAlignment="1" applyBorder="1" applyFont="1" applyNumberFormat="1">
      <alignment horizontal="right" vertical="bottom"/>
    </xf>
    <xf borderId="19" fillId="0" fontId="2" numFmtId="2" xfId="0" applyAlignment="1" applyBorder="1" applyFont="1" applyNumberFormat="1">
      <alignment horizontal="right" vertical="bottom"/>
    </xf>
    <xf borderId="20" fillId="0" fontId="2" numFmtId="2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19" fillId="2" fontId="4" numFmtId="0" xfId="0" applyAlignment="1" applyBorder="1" applyFont="1">
      <alignment horizontal="center" readingOrder="0" vertical="bottom"/>
    </xf>
    <xf borderId="19" fillId="0" fontId="6" numFmtId="0" xfId="0" applyBorder="1" applyFont="1"/>
    <xf borderId="0" fillId="2" fontId="7" numFmtId="0" xfId="0" applyFont="1"/>
    <xf borderId="19" fillId="2" fontId="7" numFmtId="0" xfId="0" applyAlignment="1" applyBorder="1" applyFont="1">
      <alignment horizontal="center" readingOrder="0"/>
    </xf>
    <xf borderId="0" fillId="2" fontId="4" numFmtId="0" xfId="0" applyAlignment="1" applyFont="1">
      <alignment vertical="bottom"/>
    </xf>
    <xf borderId="0" fillId="2" fontId="7" numFmtId="0" xfId="0" applyAlignment="1" applyFont="1">
      <alignment readingOrder="0"/>
    </xf>
    <xf borderId="19" fillId="2" fontId="7" numFmtId="0" xfId="0" applyAlignment="1" applyBorder="1" applyFont="1">
      <alignment readingOrder="0"/>
    </xf>
    <xf borderId="21" fillId="3" fontId="4" numFmtId="0" xfId="0" applyAlignment="1" applyBorder="1" applyFill="1" applyFont="1">
      <alignment vertical="bottom"/>
    </xf>
    <xf borderId="22" fillId="3" fontId="4" numFmtId="3" xfId="0" applyAlignment="1" applyBorder="1" applyFont="1" applyNumberFormat="1">
      <alignment horizontal="right" readingOrder="0" vertical="bottom"/>
    </xf>
    <xf borderId="0" fillId="3" fontId="7" numFmtId="0" xfId="0" applyFont="1"/>
    <xf borderId="0" fillId="0" fontId="7" numFmtId="0" xfId="0" applyFont="1"/>
    <xf borderId="0" fillId="3" fontId="2" numFmtId="0" xfId="0" applyAlignment="1" applyFont="1">
      <alignment vertical="bottom"/>
    </xf>
    <xf borderId="0" fillId="3" fontId="2" numFmtId="3" xfId="0" applyAlignment="1" applyFont="1" applyNumberFormat="1">
      <alignment readingOrder="0" vertical="bottom"/>
    </xf>
    <xf borderId="0" fillId="3" fontId="2" numFmtId="3" xfId="0" applyAlignment="1" applyFont="1" applyNumberFormat="1">
      <alignment vertical="bottom"/>
    </xf>
    <xf borderId="0" fillId="3" fontId="2" numFmtId="3" xfId="0" applyAlignment="1" applyFont="1" applyNumberFormat="1">
      <alignment horizontal="right" readingOrder="0" vertical="bottom"/>
    </xf>
    <xf borderId="0" fillId="3" fontId="1" numFmtId="0" xfId="0" applyFont="1"/>
    <xf borderId="22" fillId="3" fontId="4" numFmtId="3" xfId="0" applyAlignment="1" applyBorder="1" applyFont="1" applyNumberFormat="1">
      <alignment horizontal="right" vertical="bottom"/>
    </xf>
    <xf borderId="0" fillId="3" fontId="4" numFmtId="3" xfId="0" applyAlignment="1" applyFont="1" applyNumberFormat="1">
      <alignment horizontal="right" vertical="bottom"/>
    </xf>
    <xf borderId="0" fillId="3" fontId="2" numFmtId="0" xfId="0" applyAlignment="1" applyFont="1">
      <alignment readingOrder="0" vertical="bottom"/>
    </xf>
    <xf borderId="0" fillId="0" fontId="1" numFmtId="3" xfId="0" applyAlignment="1" applyFont="1" applyNumberFormat="1">
      <alignment readingOrder="0"/>
    </xf>
    <xf borderId="14" fillId="3" fontId="2" numFmtId="0" xfId="0" applyAlignment="1" applyBorder="1" applyFont="1">
      <alignment vertical="bottom"/>
    </xf>
    <xf borderId="14" fillId="3" fontId="2" numFmtId="3" xfId="0" applyAlignment="1" applyBorder="1" applyFont="1" applyNumberFormat="1">
      <alignment horizontal="right" vertical="bottom"/>
    </xf>
    <xf borderId="19" fillId="3" fontId="4" numFmtId="0" xfId="0" applyAlignment="1" applyBorder="1" applyFont="1">
      <alignment vertical="bottom"/>
    </xf>
    <xf borderId="19" fillId="3" fontId="4" numFmtId="3" xfId="0" applyAlignment="1" applyBorder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center" vertical="bottom"/>
    </xf>
    <xf borderId="0" fillId="3" fontId="2" numFmtId="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readingOrder="0" vertical="bottom"/>
    </xf>
    <xf borderId="0" fillId="3" fontId="2" numFmtId="10" xfId="0" applyAlignment="1" applyFont="1" applyNumberFormat="1">
      <alignment vertical="bottom"/>
    </xf>
    <xf borderId="23" fillId="3" fontId="4" numFmtId="0" xfId="0" applyAlignment="1" applyBorder="1" applyFont="1">
      <alignment readingOrder="0" vertical="bottom"/>
    </xf>
    <xf borderId="24" fillId="3" fontId="4" numFmtId="10" xfId="0" applyAlignment="1" applyBorder="1" applyFont="1" applyNumberFormat="1">
      <alignment horizontal="center" vertical="bottom"/>
    </xf>
    <xf borderId="24" fillId="3" fontId="4" numFmtId="10" xfId="0" applyAlignment="1" applyBorder="1" applyFont="1" applyNumberFormat="1">
      <alignment horizontal="right" vertical="bottom"/>
    </xf>
    <xf borderId="25" fillId="3" fontId="2" numFmtId="0" xfId="0" applyAlignment="1" applyBorder="1" applyFont="1">
      <alignment vertical="bottom"/>
    </xf>
    <xf borderId="0" fillId="3" fontId="2" numFmtId="10" xfId="0" applyAlignment="1" applyFont="1" applyNumberFormat="1">
      <alignment horizontal="right" vertical="bottom"/>
    </xf>
    <xf borderId="26" fillId="3" fontId="2" numFmtId="0" xfId="0" applyAlignment="1" applyBorder="1" applyFont="1">
      <alignment vertical="bottom"/>
    </xf>
    <xf borderId="27" fillId="3" fontId="2" numFmtId="10" xfId="0" applyAlignment="1" applyBorder="1" applyFont="1" applyNumberFormat="1">
      <alignment horizontal="right" vertical="bottom"/>
    </xf>
    <xf borderId="28" fillId="3" fontId="2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3" fontId="4" numFmtId="3" xfId="0" applyAlignment="1" applyFont="1" applyNumberFormat="1">
      <alignment readingOrder="0" vertical="bottom"/>
    </xf>
    <xf borderId="0" fillId="3" fontId="4" numFmtId="3" xfId="0" applyAlignment="1" applyFont="1" applyNumberFormat="1">
      <alignment horizontal="right" readingOrder="0" vertical="bottom"/>
    </xf>
    <xf borderId="22" fillId="3" fontId="4" numFmtId="0" xfId="0" applyAlignment="1" applyBorder="1" applyFont="1">
      <alignment vertical="bottom"/>
    </xf>
    <xf borderId="13" fillId="3" fontId="2" numFmtId="0" xfId="0" applyAlignment="1" applyBorder="1" applyFont="1">
      <alignment vertical="bottom"/>
    </xf>
    <xf borderId="14" fillId="3" fontId="2" numFmtId="3" xfId="0" applyAlignment="1" applyBorder="1" applyFont="1" applyNumberFormat="1">
      <alignment readingOrder="0" vertical="bottom"/>
    </xf>
    <xf borderId="14" fillId="3" fontId="2" numFmtId="3" xfId="0" applyAlignment="1" applyBorder="1" applyFont="1" applyNumberFormat="1">
      <alignment horizontal="right" readingOrder="0" vertical="bottom"/>
    </xf>
    <xf borderId="18" fillId="3" fontId="2" numFmtId="0" xfId="0" applyAlignment="1" applyBorder="1" applyFont="1">
      <alignment vertical="bottom"/>
    </xf>
    <xf borderId="19" fillId="3" fontId="2" numFmtId="3" xfId="0" applyAlignment="1" applyBorder="1" applyFont="1" applyNumberFormat="1">
      <alignment horizontal="right" vertical="bottom"/>
    </xf>
    <xf borderId="29" fillId="3" fontId="2" numFmtId="3" xfId="0" applyAlignment="1" applyBorder="1" applyFont="1" applyNumberFormat="1">
      <alignment readingOrder="0" vertical="bottom"/>
    </xf>
    <xf borderId="29" fillId="3" fontId="2" numFmtId="3" xfId="0" applyAlignment="1" applyBorder="1" applyFont="1" applyNumberFormat="1">
      <alignment vertical="bottom"/>
    </xf>
    <xf borderId="0" fillId="3" fontId="1" numFmtId="3" xfId="0" applyFont="1" applyNumberFormat="1"/>
    <xf borderId="0" fillId="0" fontId="1" numFmtId="3" xfId="0" applyFont="1" applyNumberFormat="1"/>
    <xf borderId="29" fillId="0" fontId="1" numFmtId="3" xfId="0" applyBorder="1" applyFont="1" applyNumberFormat="1"/>
    <xf borderId="19" fillId="3" fontId="2" numFmtId="0" xfId="0" applyAlignment="1" applyBorder="1" applyFont="1">
      <alignment vertical="bottom"/>
    </xf>
    <xf borderId="19" fillId="3" fontId="4" numFmtId="10" xfId="0" applyAlignment="1" applyBorder="1" applyFont="1" applyNumberFormat="1">
      <alignment readingOrder="0" vertical="bottom"/>
    </xf>
    <xf borderId="19" fillId="3" fontId="4" numFmtId="10" xfId="0" applyAlignment="1" applyBorder="1" applyFont="1" applyNumberFormat="1">
      <alignment horizontal="right" vertical="bottom"/>
    </xf>
    <xf borderId="0" fillId="3" fontId="4" numFmtId="10" xfId="0" applyAlignment="1" applyFont="1" applyNumberFormat="1">
      <alignment horizontal="right" vertical="bottom"/>
    </xf>
    <xf borderId="0" fillId="0" fontId="7" numFmtId="10" xfId="0" applyFont="1" applyNumberFormat="1"/>
    <xf borderId="19" fillId="4" fontId="4" numFmtId="10" xfId="0" applyAlignment="1" applyBorder="1" applyFill="1" applyFont="1" applyNumberFormat="1">
      <alignment horizontal="right" vertical="bottom"/>
    </xf>
    <xf borderId="27" fillId="3" fontId="8" numFmtId="10" xfId="0" applyAlignment="1" applyBorder="1" applyFont="1" applyNumberFormat="1">
      <alignment readingOrder="0"/>
    </xf>
    <xf borderId="27" fillId="3" fontId="8" numFmtId="10" xfId="0" applyBorder="1" applyFont="1" applyNumberFormat="1"/>
    <xf borderId="0" fillId="3" fontId="8" numFmtId="10" xfId="0" applyFont="1" applyNumberFormat="1"/>
    <xf borderId="27" fillId="0" fontId="8" numFmtId="10" xfId="0" applyAlignment="1" applyBorder="1" applyFont="1" applyNumberFormat="1">
      <alignment readingOrder="0"/>
    </xf>
    <xf borderId="27" fillId="4" fontId="8" numFmtId="10" xfId="0" applyAlignment="1" applyBorder="1" applyFont="1" applyNumberFormat="1">
      <alignment readingOrder="0"/>
    </xf>
    <xf borderId="0" fillId="0" fontId="8" numFmtId="10" xfId="0" applyAlignment="1" applyFont="1" applyNumberFormat="1">
      <alignment readingOrder="0"/>
    </xf>
    <xf borderId="0" fillId="0" fontId="8" numFmtId="10" xfId="0" applyFont="1" applyNumberFormat="1"/>
    <xf borderId="27" fillId="0" fontId="8" numFmtId="10" xfId="0" applyBorder="1" applyFont="1" applyNumberFormat="1"/>
    <xf borderId="13" fillId="2" fontId="9" numFmtId="0" xfId="0" applyAlignment="1" applyBorder="1" applyFont="1">
      <alignment readingOrder="0" vertical="bottom"/>
    </xf>
    <xf borderId="14" fillId="2" fontId="7" numFmtId="0" xfId="0" applyAlignment="1" applyBorder="1" applyFont="1">
      <alignment readingOrder="0"/>
    </xf>
    <xf borderId="15" fillId="2" fontId="7" numFmtId="0" xfId="0" applyAlignment="1" applyBorder="1" applyFont="1">
      <alignment readingOrder="0"/>
    </xf>
    <xf borderId="16" fillId="0" fontId="1" numFmtId="0" xfId="0" applyAlignment="1" applyBorder="1" applyFont="1">
      <alignment horizontal="center" readingOrder="0"/>
    </xf>
    <xf borderId="30" fillId="0" fontId="1" numFmtId="2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17" fillId="0" fontId="1" numFmtId="165" xfId="0" applyBorder="1" applyFont="1" applyNumberFormat="1"/>
    <xf borderId="18" fillId="0" fontId="1" numFmtId="0" xfId="0" applyAlignment="1" applyBorder="1" applyFont="1">
      <alignment horizontal="center" readingOrder="0"/>
    </xf>
    <xf borderId="31" fillId="0" fontId="1" numFmtId="2" xfId="0" applyAlignment="1" applyBorder="1" applyFont="1" applyNumberFormat="1">
      <alignment readingOrder="0"/>
    </xf>
    <xf borderId="19" fillId="0" fontId="1" numFmtId="165" xfId="0" applyAlignment="1" applyBorder="1" applyFont="1" applyNumberFormat="1">
      <alignment readingOrder="0"/>
    </xf>
    <xf borderId="19" fillId="0" fontId="1" numFmtId="165" xfId="0" applyBorder="1" applyFont="1" applyNumberFormat="1"/>
    <xf borderId="20" fillId="0" fontId="1" numFmtId="165" xfId="0" applyBorder="1" applyFont="1" applyNumberFormat="1"/>
    <xf borderId="0" fillId="0" fontId="1" numFmtId="166" xfId="0" applyAlignment="1" applyFont="1" applyNumberFormat="1">
      <alignment readingOrder="0"/>
    </xf>
    <xf borderId="0" fillId="0" fontId="7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168" xfId="0" applyAlignment="1" applyFont="1" applyNumberFormat="1">
      <alignment readingOrder="0"/>
    </xf>
    <xf borderId="0" fillId="0" fontId="1" numFmtId="10" xfId="0" applyFont="1" applyNumberFormat="1"/>
    <xf borderId="0" fillId="0" fontId="7" numFmtId="0" xfId="0" applyAlignment="1" applyFont="1">
      <alignment readingOrder="0"/>
    </xf>
    <xf borderId="13" fillId="2" fontId="7" numFmtId="0" xfId="0" applyAlignment="1" applyBorder="1" applyFont="1">
      <alignment readingOrder="0"/>
    </xf>
    <xf borderId="15" fillId="2" fontId="1" numFmtId="0" xfId="0" applyBorder="1" applyFont="1"/>
    <xf borderId="0" fillId="5" fontId="7" numFmtId="167" xfId="0" applyAlignment="1" applyFill="1" applyFont="1" applyNumberFormat="1">
      <alignment readingOrder="0"/>
    </xf>
    <xf borderId="0" fillId="6" fontId="7" numFmtId="0" xfId="0" applyAlignment="1" applyFill="1" applyFont="1">
      <alignment readingOrder="0"/>
    </xf>
    <xf borderId="13" fillId="2" fontId="4" numFmtId="0" xfId="0" applyAlignment="1" applyBorder="1" applyFont="1">
      <alignment vertical="bottom"/>
    </xf>
    <xf borderId="15" fillId="2" fontId="1" numFmtId="164" xfId="0" applyBorder="1" applyFont="1" applyNumberFormat="1"/>
    <xf borderId="15" fillId="2" fontId="1" numFmtId="165" xfId="0" applyBorder="1" applyFont="1" applyNumberFormat="1"/>
    <xf borderId="17" fillId="0" fontId="1" numFmtId="164" xfId="0" applyBorder="1" applyFont="1" applyNumberFormat="1"/>
    <xf borderId="20" fillId="0" fontId="1" numFmtId="164" xfId="0" applyBorder="1" applyFont="1" applyNumberFormat="1"/>
    <xf borderId="0" fillId="2" fontId="4" numFmtId="167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13" fillId="2" fontId="4" numFmtId="10" xfId="0" applyAlignment="1" applyBorder="1" applyFont="1" applyNumberFormat="1">
      <alignment vertical="bottom"/>
    </xf>
    <xf borderId="15" fillId="2" fontId="1" numFmtId="10" xfId="0" applyBorder="1" applyFont="1" applyNumberFormat="1"/>
    <xf borderId="17" fillId="0" fontId="1" numFmtId="10" xfId="0" applyBorder="1" applyFont="1" applyNumberFormat="1"/>
    <xf borderId="20" fillId="0" fontId="1" numFmtId="10" xfId="0" applyBorder="1" applyFont="1" applyNumberFormat="1"/>
  </cellXfs>
  <cellStyles count="1">
    <cellStyle xfId="0" name="Normal" builtinId="0"/>
  </cellStyles>
  <dxfs count="10"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theme="5"/>
          <bgColor theme="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b/>
      </font>
      <fill>
        <patternFill patternType="solid">
          <fgColor theme="5"/>
          <bgColor theme="5"/>
        </patternFill>
      </fill>
      <border/>
    </dxf>
  </dxfs>
  <tableStyles count="1">
    <tableStyle count="3" pivot="0" name="MAIN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main" name="main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elestica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</row>
    <row r="3">
      <c r="A3" s="8" t="s">
        <v>23</v>
      </c>
      <c r="B3" s="9">
        <v>1.39E9</v>
      </c>
      <c r="C3" s="9">
        <v>1.57E9</v>
      </c>
      <c r="D3" s="9">
        <v>1.76E9</v>
      </c>
      <c r="E3" s="9">
        <v>2.95E9</v>
      </c>
      <c r="F3" s="9">
        <v>3.49E9</v>
      </c>
      <c r="G3" s="9">
        <v>5.35E9</v>
      </c>
      <c r="H3" s="9">
        <v>6.81E9</v>
      </c>
      <c r="I3" s="9">
        <v>6.06E9</v>
      </c>
      <c r="J3" s="9">
        <v>1.074E10</v>
      </c>
      <c r="K3" s="9">
        <v>1.312E10</v>
      </c>
      <c r="L3" s="10">
        <v>2.802E10</v>
      </c>
    </row>
    <row r="4">
      <c r="A4" s="11" t="s">
        <v>24</v>
      </c>
      <c r="B4" s="12">
        <v>1.24E8</v>
      </c>
      <c r="C4" s="12">
        <v>1.207E8</v>
      </c>
      <c r="D4" s="12">
        <v>1.2E8</v>
      </c>
      <c r="E4" s="12">
        <v>1.232E8</v>
      </c>
      <c r="F4" s="12">
        <v>1.19328962E8</v>
      </c>
      <c r="G4" s="12">
        <v>1.207E8</v>
      </c>
      <c r="H4" s="12">
        <v>1.19E8</v>
      </c>
      <c r="I4" s="12">
        <v>1.194E8</v>
      </c>
      <c r="J4" s="12">
        <v>1.188E8</v>
      </c>
      <c r="K4" s="12">
        <v>1.1499198E8</v>
      </c>
      <c r="L4" s="13">
        <v>1.15032686E8</v>
      </c>
    </row>
    <row r="5">
      <c r="A5" s="8" t="s">
        <v>25</v>
      </c>
      <c r="B5" s="9">
        <v>7.339E8</v>
      </c>
      <c r="C5" s="9">
        <v>7.241E7</v>
      </c>
      <c r="D5" s="9">
        <v>7.18E8</v>
      </c>
      <c r="E5" s="9">
        <v>7.391E8</v>
      </c>
      <c r="F5" s="9">
        <v>6.483E8</v>
      </c>
      <c r="G5" s="9">
        <v>6.696E8</v>
      </c>
      <c r="H5" s="9">
        <v>7.836E8</v>
      </c>
      <c r="I5" s="9">
        <v>7.743E8</v>
      </c>
      <c r="J5" s="9">
        <v>7.702E8</v>
      </c>
      <c r="K5" s="9">
        <v>9.15E8</v>
      </c>
      <c r="L5" s="10">
        <v>8.486E8</v>
      </c>
    </row>
    <row r="6">
      <c r="A6" s="11" t="s">
        <v>26</v>
      </c>
      <c r="B6" s="12">
        <v>3.745E8</v>
      </c>
      <c r="C6" s="12">
        <v>3.187E8</v>
      </c>
      <c r="D6" s="12">
        <v>3.607E8</v>
      </c>
      <c r="E6" s="12">
        <v>3.53E8</v>
      </c>
      <c r="F6" s="12">
        <v>3.704E8</v>
      </c>
      <c r="G6" s="12">
        <v>3.081E8</v>
      </c>
      <c r="H6" s="12">
        <v>4.34E8</v>
      </c>
      <c r="I6" s="12">
        <v>3.985E8</v>
      </c>
      <c r="J6" s="12">
        <v>4.233E8</v>
      </c>
      <c r="K6" s="12">
        <v>3.03E8</v>
      </c>
      <c r="L6" s="13">
        <v>3.138E8</v>
      </c>
    </row>
    <row r="7">
      <c r="A7" s="14" t="s">
        <v>27</v>
      </c>
      <c r="B7" s="9">
        <v>1.3935E9</v>
      </c>
      <c r="C7" s="9">
        <v>1.2601E8</v>
      </c>
      <c r="D7" s="9">
        <v>1.3037E9</v>
      </c>
      <c r="E7" s="9">
        <v>1.599E9</v>
      </c>
      <c r="F7" s="9">
        <v>2.1043E9</v>
      </c>
      <c r="G7" s="9">
        <v>1.8152E9</v>
      </c>
      <c r="H7" s="9">
        <v>1.896E9</v>
      </c>
      <c r="I7" s="9">
        <v>2.007E9</v>
      </c>
      <c r="J7" s="9">
        <v>5.07E8</v>
      </c>
      <c r="K7" s="9">
        <v>1.538E9</v>
      </c>
      <c r="L7" s="10">
        <v>8.16E8</v>
      </c>
    </row>
    <row r="8">
      <c r="A8" s="11" t="s">
        <v>28</v>
      </c>
      <c r="B8" s="12">
        <v>4.327E9</v>
      </c>
      <c r="C8" s="12">
        <v>4.1759E9</v>
      </c>
      <c r="D8" s="12">
        <v>4.1966E9</v>
      </c>
      <c r="E8" s="12">
        <v>4.425E9</v>
      </c>
      <c r="F8" s="12">
        <v>4.5106E9</v>
      </c>
      <c r="G8" s="12">
        <v>4.319E9</v>
      </c>
      <c r="H8" s="12">
        <v>4.4228E9</v>
      </c>
      <c r="I8" s="12">
        <v>4.4617E9</v>
      </c>
      <c r="J8" s="12">
        <v>4.5122E9</v>
      </c>
      <c r="K8" s="12">
        <v>4.3765E9</v>
      </c>
      <c r="L8" s="13">
        <v>4.771E9</v>
      </c>
    </row>
    <row r="9">
      <c r="A9" s="8" t="s">
        <v>29</v>
      </c>
      <c r="B9" s="9">
        <v>5.628E9</v>
      </c>
      <c r="C9" s="9">
        <v>5.4681E9</v>
      </c>
      <c r="D9" s="9">
        <v>5.5005E9</v>
      </c>
      <c r="E9" s="9">
        <v>5.745E9</v>
      </c>
      <c r="F9" s="9">
        <v>5.8905E9</v>
      </c>
      <c r="G9" s="9">
        <v>5.7115E9</v>
      </c>
      <c r="H9" s="9">
        <v>5.8728E9</v>
      </c>
      <c r="I9" s="9">
        <v>5.9248E9</v>
      </c>
      <c r="J9" s="9">
        <v>5.9882E9</v>
      </c>
      <c r="K9" s="9">
        <v>5.9349E9</v>
      </c>
      <c r="L9" s="10">
        <v>6.2411E9</v>
      </c>
    </row>
    <row r="10">
      <c r="A10" s="11" t="s">
        <v>30</v>
      </c>
      <c r="B10" s="12">
        <v>3.0552E9</v>
      </c>
      <c r="C10" s="12">
        <v>2.925E9</v>
      </c>
      <c r="D10" s="12">
        <v>2.936E9</v>
      </c>
      <c r="E10" s="12">
        <v>3.096E9</v>
      </c>
      <c r="F10" s="12">
        <v>3.2205E9</v>
      </c>
      <c r="G10" s="12">
        <v>3.0473E9</v>
      </c>
      <c r="H10" s="12">
        <v>3.001E9</v>
      </c>
      <c r="I10" s="12">
        <v>3.0365E9</v>
      </c>
      <c r="J10" s="12">
        <v>3.0214E9</v>
      </c>
      <c r="K10" s="12">
        <v>3.0542E9</v>
      </c>
      <c r="L10" s="13">
        <v>3.3208E9</v>
      </c>
    </row>
    <row r="11">
      <c r="A11" s="8" t="s">
        <v>31</v>
      </c>
      <c r="B11" s="9">
        <v>3.9503E9</v>
      </c>
      <c r="C11" s="9">
        <v>3.8126E9</v>
      </c>
      <c r="D11" s="9">
        <v>3.8199E9</v>
      </c>
      <c r="E11" s="9">
        <v>4.009E9</v>
      </c>
      <c r="F11" s="9">
        <v>4.1195E9</v>
      </c>
      <c r="G11" s="9">
        <v>4.0022E9</v>
      </c>
      <c r="H11" s="9">
        <v>4.0742E9</v>
      </c>
      <c r="I11" s="9">
        <v>4.1107E9</v>
      </c>
      <c r="J11" s="9">
        <v>4.0922E9</v>
      </c>
      <c r="K11" s="9">
        <v>4.2781E9</v>
      </c>
      <c r="L11" s="10">
        <v>4.4832E9</v>
      </c>
    </row>
    <row r="12">
      <c r="A12" s="15" t="s">
        <v>32</v>
      </c>
      <c r="B12" s="16">
        <v>1.6777E9</v>
      </c>
      <c r="C12" s="16">
        <v>1.6555E9</v>
      </c>
      <c r="D12" s="16">
        <v>1.6806E9</v>
      </c>
      <c r="E12" s="16">
        <v>1.736E9</v>
      </c>
      <c r="F12" s="16">
        <v>1.771E9</v>
      </c>
      <c r="G12" s="16">
        <v>1.7093E9</v>
      </c>
      <c r="H12" s="16">
        <v>1.7986E9</v>
      </c>
      <c r="I12" s="16">
        <v>1.8141E9</v>
      </c>
      <c r="J12" s="16">
        <v>1.896E9</v>
      </c>
      <c r="K12" s="16">
        <v>1.5568E9</v>
      </c>
      <c r="L12" s="17">
        <v>1.7579E9</v>
      </c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>
      <c r="A14" s="20" t="s">
        <v>33</v>
      </c>
      <c r="B14" s="21">
        <f t="shared" ref="B14:L14" si="1">B3+B5-B6</f>
        <v>1749400000</v>
      </c>
      <c r="C14" s="21">
        <f t="shared" si="1"/>
        <v>1323710000</v>
      </c>
      <c r="D14" s="21">
        <f t="shared" si="1"/>
        <v>2117300000</v>
      </c>
      <c r="E14" s="21">
        <f t="shared" si="1"/>
        <v>3336100000</v>
      </c>
      <c r="F14" s="21">
        <f t="shared" si="1"/>
        <v>3767900000</v>
      </c>
      <c r="G14" s="21">
        <f t="shared" si="1"/>
        <v>5711500000</v>
      </c>
      <c r="H14" s="21">
        <f t="shared" si="1"/>
        <v>7159600000</v>
      </c>
      <c r="I14" s="21">
        <f t="shared" si="1"/>
        <v>6435800000</v>
      </c>
      <c r="J14" s="21">
        <f t="shared" si="1"/>
        <v>11086900000</v>
      </c>
      <c r="K14" s="21">
        <f t="shared" si="1"/>
        <v>13732000000</v>
      </c>
      <c r="L14" s="22">
        <f t="shared" si="1"/>
        <v>28554800000</v>
      </c>
    </row>
    <row r="15">
      <c r="A15" s="23" t="s">
        <v>34</v>
      </c>
      <c r="B15" s="24">
        <f t="shared" ref="B15:L15" si="2">B8-B11</f>
        <v>376700000</v>
      </c>
      <c r="C15" s="24">
        <f t="shared" si="2"/>
        <v>363300000</v>
      </c>
      <c r="D15" s="24">
        <f t="shared" si="2"/>
        <v>376700000</v>
      </c>
      <c r="E15" s="24">
        <f t="shared" si="2"/>
        <v>416000000</v>
      </c>
      <c r="F15" s="24">
        <f t="shared" si="2"/>
        <v>391100000</v>
      </c>
      <c r="G15" s="24">
        <f t="shared" si="2"/>
        <v>316800000</v>
      </c>
      <c r="H15" s="24">
        <f t="shared" si="2"/>
        <v>348600000</v>
      </c>
      <c r="I15" s="24">
        <f t="shared" si="2"/>
        <v>351000000</v>
      </c>
      <c r="J15" s="24">
        <f t="shared" si="2"/>
        <v>420000000</v>
      </c>
      <c r="K15" s="24">
        <f t="shared" si="2"/>
        <v>98400000</v>
      </c>
      <c r="L15" s="25">
        <f t="shared" si="2"/>
        <v>287800000</v>
      </c>
    </row>
    <row r="16">
      <c r="A16" s="23" t="s">
        <v>35</v>
      </c>
      <c r="B16" s="26">
        <f t="shared" ref="B16:L16" si="3">B3/B4</f>
        <v>11.20967742</v>
      </c>
      <c r="C16" s="26">
        <f t="shared" si="3"/>
        <v>13.0074565</v>
      </c>
      <c r="D16" s="26">
        <f t="shared" si="3"/>
        <v>14.66666667</v>
      </c>
      <c r="E16" s="26">
        <f t="shared" si="3"/>
        <v>23.94480519</v>
      </c>
      <c r="F16" s="26">
        <f t="shared" si="3"/>
        <v>29.24688141</v>
      </c>
      <c r="G16" s="26">
        <f t="shared" si="3"/>
        <v>44.32477216</v>
      </c>
      <c r="H16" s="26">
        <f t="shared" si="3"/>
        <v>57.22689076</v>
      </c>
      <c r="I16" s="26">
        <f t="shared" si="3"/>
        <v>50.75376884</v>
      </c>
      <c r="J16" s="26">
        <f t="shared" si="3"/>
        <v>90.4040404</v>
      </c>
      <c r="K16" s="26">
        <f t="shared" si="3"/>
        <v>114.0949134</v>
      </c>
      <c r="L16" s="27">
        <f t="shared" si="3"/>
        <v>243.5829413</v>
      </c>
    </row>
    <row r="17">
      <c r="A17" s="23" t="s">
        <v>36</v>
      </c>
      <c r="B17" s="26">
        <f t="shared" ref="B17:L17" si="4">B15/B4</f>
        <v>3.037903226</v>
      </c>
      <c r="C17" s="26">
        <f t="shared" si="4"/>
        <v>3.009942005</v>
      </c>
      <c r="D17" s="26">
        <f t="shared" si="4"/>
        <v>3.139166667</v>
      </c>
      <c r="E17" s="26">
        <f t="shared" si="4"/>
        <v>3.376623377</v>
      </c>
      <c r="F17" s="26">
        <f t="shared" si="4"/>
        <v>3.277494361</v>
      </c>
      <c r="G17" s="26">
        <f t="shared" si="4"/>
        <v>2.624689312</v>
      </c>
      <c r="H17" s="26">
        <f t="shared" si="4"/>
        <v>2.929411765</v>
      </c>
      <c r="I17" s="26">
        <f t="shared" si="4"/>
        <v>2.939698492</v>
      </c>
      <c r="J17" s="26">
        <f t="shared" si="4"/>
        <v>3.535353535</v>
      </c>
      <c r="K17" s="26">
        <f t="shared" si="4"/>
        <v>0.8557118505</v>
      </c>
      <c r="L17" s="27">
        <f t="shared" si="4"/>
        <v>2.501897591</v>
      </c>
    </row>
    <row r="18">
      <c r="A18" s="23" t="s">
        <v>37</v>
      </c>
      <c r="B18" s="28">
        <f t="shared" ref="B18:L18" si="5">B17/B16</f>
        <v>0.2710071942</v>
      </c>
      <c r="C18" s="28">
        <f t="shared" si="5"/>
        <v>0.2314012739</v>
      </c>
      <c r="D18" s="28">
        <f t="shared" si="5"/>
        <v>0.2140340909</v>
      </c>
      <c r="E18" s="28">
        <f t="shared" si="5"/>
        <v>0.1410169492</v>
      </c>
      <c r="F18" s="28">
        <f t="shared" si="5"/>
        <v>0.1120630372</v>
      </c>
      <c r="G18" s="28">
        <f t="shared" si="5"/>
        <v>0.05921495327</v>
      </c>
      <c r="H18" s="28">
        <f t="shared" si="5"/>
        <v>0.05118942731</v>
      </c>
      <c r="I18" s="28">
        <f t="shared" si="5"/>
        <v>0.05792079208</v>
      </c>
      <c r="J18" s="28">
        <f t="shared" si="5"/>
        <v>0.03910614525</v>
      </c>
      <c r="K18" s="28">
        <f t="shared" si="5"/>
        <v>0.0075</v>
      </c>
      <c r="L18" s="29">
        <f t="shared" si="5"/>
        <v>0.01027123483</v>
      </c>
    </row>
    <row r="19">
      <c r="A19" s="30" t="s">
        <v>38</v>
      </c>
      <c r="B19" s="31"/>
      <c r="C19" s="31">
        <f t="shared" ref="C19:L19" si="6">(C6-B6)/B6</f>
        <v>-0.1489986649</v>
      </c>
      <c r="D19" s="31">
        <f t="shared" si="6"/>
        <v>0.1317853781</v>
      </c>
      <c r="E19" s="31">
        <f t="shared" si="6"/>
        <v>-0.02134738009</v>
      </c>
      <c r="F19" s="31">
        <f t="shared" si="6"/>
        <v>0.0492917847</v>
      </c>
      <c r="G19" s="31">
        <f t="shared" si="6"/>
        <v>-0.1681965443</v>
      </c>
      <c r="H19" s="31">
        <f t="shared" si="6"/>
        <v>0.4086335605</v>
      </c>
      <c r="I19" s="31">
        <f t="shared" si="6"/>
        <v>-0.08179723502</v>
      </c>
      <c r="J19" s="31">
        <f t="shared" si="6"/>
        <v>0.06223337516</v>
      </c>
      <c r="K19" s="31">
        <f t="shared" si="6"/>
        <v>-0.284195606</v>
      </c>
      <c r="L19" s="32">
        <f t="shared" si="6"/>
        <v>0.03564356436</v>
      </c>
    </row>
    <row r="20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>
      <c r="A21" s="35" t="s">
        <v>39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>
      <c r="A22" s="36" t="s">
        <v>40</v>
      </c>
      <c r="B22" s="37" t="str">
        <f t="shared" ref="B22:E22" si="7">(#REF!*4)/B9</f>
        <v>#REF!</v>
      </c>
      <c r="C22" s="37" t="str">
        <f t="shared" si="7"/>
        <v>#REF!</v>
      </c>
      <c r="D22" s="37" t="str">
        <f t="shared" si="7"/>
        <v>#REF!</v>
      </c>
      <c r="E22" s="37" t="str">
        <f t="shared" si="7"/>
        <v>#REF!</v>
      </c>
      <c r="F22" s="37" t="str">
        <f>(Model!A16*4)/F9</f>
        <v>#VALUE!</v>
      </c>
      <c r="G22" s="37">
        <f>(Model!B16*4)/G9</f>
        <v>0.06429134203</v>
      </c>
      <c r="H22" s="37">
        <f>(Model!C16*4)/H9</f>
        <v>0.06470508105</v>
      </c>
      <c r="I22" s="37">
        <f>(Model!D16*4)/I9</f>
        <v>0.06042398056</v>
      </c>
      <c r="J22" s="37">
        <f>(Model!E16*4)/J9</f>
        <v>0.1013326208</v>
      </c>
      <c r="K22" s="37">
        <f>(Model!F16*4)/K9</f>
        <v>0.05809701933</v>
      </c>
      <c r="L22" s="38">
        <f>(Model!G16*4)/L9</f>
        <v>0.1352325712</v>
      </c>
    </row>
    <row r="23">
      <c r="A23" s="39" t="s">
        <v>41</v>
      </c>
      <c r="B23" s="28" t="str">
        <f t="shared" ref="B23:E23" si="8">(#REF!*4)/B12</f>
        <v>#REF!</v>
      </c>
      <c r="C23" s="28" t="str">
        <f t="shared" si="8"/>
        <v>#REF!</v>
      </c>
      <c r="D23" s="28" t="str">
        <f t="shared" si="8"/>
        <v>#REF!</v>
      </c>
      <c r="E23" s="28" t="str">
        <f t="shared" si="8"/>
        <v>#REF!</v>
      </c>
      <c r="F23" s="28" t="str">
        <f>(Model!A16*4)/F12</f>
        <v>#VALUE!</v>
      </c>
      <c r="G23" s="28">
        <f>(Model!B16*4)/G12</f>
        <v>0.2148247821</v>
      </c>
      <c r="H23" s="28">
        <f>(Model!C16*4)/H12</f>
        <v>0.2112754365</v>
      </c>
      <c r="I23" s="28">
        <f>(Model!D16*4)/I12</f>
        <v>0.1973430351</v>
      </c>
      <c r="J23" s="28">
        <f>(Model!E16*4)/J12</f>
        <v>0.3200421941</v>
      </c>
      <c r="K23" s="28">
        <f>(Model!F16*4)/K12</f>
        <v>0.2214799589</v>
      </c>
      <c r="L23" s="29">
        <f>(Model!G16*4)/L12</f>
        <v>0.480118323</v>
      </c>
    </row>
    <row r="24">
      <c r="A24" s="30" t="s">
        <v>42</v>
      </c>
      <c r="B24" s="31" t="str">
        <f t="shared" ref="B24:E24" si="9">((#REF!-#REF!)*4)/(B5+B12)</f>
        <v>#REF!</v>
      </c>
      <c r="C24" s="31" t="str">
        <f t="shared" si="9"/>
        <v>#REF!</v>
      </c>
      <c r="D24" s="31" t="str">
        <f t="shared" si="9"/>
        <v>#REF!</v>
      </c>
      <c r="E24" s="31" t="str">
        <f t="shared" si="9"/>
        <v>#REF!</v>
      </c>
      <c r="F24" s="31" t="str">
        <f>((Model!A11-Model!A15)*4)/(F5+F12)</f>
        <v>#VALUE!</v>
      </c>
      <c r="G24" s="31">
        <f>((Model!B11-Model!B15)*4)/(G5+G12)</f>
        <v>0.1889949136</v>
      </c>
      <c r="H24" s="31">
        <f>((Model!C11-Model!C15)*4)/(H5+H12)</f>
        <v>0.177213229</v>
      </c>
      <c r="I24" s="31">
        <f>((Model!D11-Model!D15)*4)/(I5+I12)</f>
        <v>0.1599443672</v>
      </c>
      <c r="J24" s="31">
        <f>((Model!E11-Model!E15)*4)/(J5+J12)</f>
        <v>0.2472432676</v>
      </c>
      <c r="K24" s="31">
        <f>((Model!F11-Model!F15)*4)/(K5+K12)</f>
        <v>0.1639291205</v>
      </c>
      <c r="L24" s="32">
        <f>((Model!G11-Model!G15)*4)/(L5+L12)</f>
        <v>0.3471321696</v>
      </c>
    </row>
    <row r="25">
      <c r="A25" s="18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>
      <c r="A26" s="20" t="s">
        <v>43</v>
      </c>
      <c r="B26" s="41">
        <f t="shared" ref="B26:J26" si="10">B8/B10</f>
        <v>1.416273894</v>
      </c>
      <c r="C26" s="41">
        <f t="shared" si="10"/>
        <v>1.42765812</v>
      </c>
      <c r="D26" s="41">
        <f t="shared" si="10"/>
        <v>1.429359673</v>
      </c>
      <c r="E26" s="41">
        <f t="shared" si="10"/>
        <v>1.429263566</v>
      </c>
      <c r="F26" s="41">
        <f t="shared" si="10"/>
        <v>1.400589971</v>
      </c>
      <c r="G26" s="41">
        <f t="shared" si="10"/>
        <v>1.417320251</v>
      </c>
      <c r="H26" s="41">
        <f t="shared" si="10"/>
        <v>1.473775408</v>
      </c>
      <c r="I26" s="41">
        <f t="shared" si="10"/>
        <v>1.469356167</v>
      </c>
      <c r="J26" s="41">
        <f t="shared" si="10"/>
        <v>1.493413649</v>
      </c>
      <c r="K26" s="41">
        <f>K8/K11</f>
        <v>1.023000865</v>
      </c>
      <c r="L26" s="42">
        <f>L8/L10</f>
        <v>1.436702</v>
      </c>
    </row>
    <row r="27">
      <c r="A27" s="23" t="s">
        <v>44</v>
      </c>
      <c r="B27" s="40">
        <f t="shared" ref="B27:L27" si="11">(B6+B7)/B10</f>
        <v>0.5786855198</v>
      </c>
      <c r="C27" s="40">
        <f t="shared" si="11"/>
        <v>0.1520376068</v>
      </c>
      <c r="D27" s="40">
        <f t="shared" si="11"/>
        <v>0.566893733</v>
      </c>
      <c r="E27" s="40">
        <f t="shared" si="11"/>
        <v>0.6304909561</v>
      </c>
      <c r="F27" s="40">
        <f t="shared" si="11"/>
        <v>0.7684210526</v>
      </c>
      <c r="G27" s="40">
        <f t="shared" si="11"/>
        <v>0.6967807567</v>
      </c>
      <c r="H27" s="40">
        <f t="shared" si="11"/>
        <v>0.776407864</v>
      </c>
      <c r="I27" s="40">
        <f t="shared" si="11"/>
        <v>0.7921949613</v>
      </c>
      <c r="J27" s="40">
        <f t="shared" si="11"/>
        <v>0.3079036208</v>
      </c>
      <c r="K27" s="40">
        <f t="shared" si="11"/>
        <v>0.6027765045</v>
      </c>
      <c r="L27" s="43">
        <f t="shared" si="11"/>
        <v>0.3402192243</v>
      </c>
    </row>
    <row r="28">
      <c r="A28" s="30" t="s">
        <v>45</v>
      </c>
      <c r="B28" s="44">
        <f t="shared" ref="B28:L28" si="12">B5/B12</f>
        <v>0.4374441199</v>
      </c>
      <c r="C28" s="44">
        <f t="shared" si="12"/>
        <v>0.04373905165</v>
      </c>
      <c r="D28" s="44">
        <f t="shared" si="12"/>
        <v>0.4272283708</v>
      </c>
      <c r="E28" s="44">
        <f t="shared" si="12"/>
        <v>0.4257488479</v>
      </c>
      <c r="F28" s="44">
        <f t="shared" si="12"/>
        <v>0.3660643704</v>
      </c>
      <c r="G28" s="44">
        <f t="shared" si="12"/>
        <v>0.3917393085</v>
      </c>
      <c r="H28" s="44">
        <f t="shared" si="12"/>
        <v>0.4356721895</v>
      </c>
      <c r="I28" s="44">
        <f t="shared" si="12"/>
        <v>0.4268232181</v>
      </c>
      <c r="J28" s="44">
        <f t="shared" si="12"/>
        <v>0.4062236287</v>
      </c>
      <c r="K28" s="44">
        <f t="shared" si="12"/>
        <v>0.5877440904</v>
      </c>
      <c r="L28" s="45">
        <f t="shared" si="12"/>
        <v>0.4827350816</v>
      </c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46" t="s">
        <v>46</v>
      </c>
      <c r="B30" s="47" t="s">
        <v>47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B31" s="48" t="s">
        <v>48</v>
      </c>
    </row>
    <row r="32">
      <c r="B32" s="49" t="s">
        <v>49</v>
      </c>
    </row>
  </sheetData>
  <conditionalFormatting sqref="A27:Y27">
    <cfRule type="cellIs" dxfId="0" priority="1" operator="lessThan">
      <formula>0.5</formula>
    </cfRule>
  </conditionalFormatting>
  <conditionalFormatting sqref="A27:Y27">
    <cfRule type="cellIs" dxfId="1" priority="2" operator="greaterThan">
      <formula>2</formula>
    </cfRule>
  </conditionalFormatting>
  <conditionalFormatting sqref="A28:Y28">
    <cfRule type="cellIs" dxfId="2" priority="3" operator="greaterThan">
      <formula>2</formula>
    </cfRule>
  </conditionalFormatting>
  <conditionalFormatting sqref="A28:Y28">
    <cfRule type="cellIs" dxfId="1" priority="4" operator="lessThan">
      <formula>0.1</formula>
    </cfRule>
  </conditionalFormatting>
  <conditionalFormatting sqref="A18:H18 I18:I19 J18:Y18">
    <cfRule type="cellIs" dxfId="3" priority="5" operator="greaterThan">
      <formula>"100%"</formula>
    </cfRule>
  </conditionalFormatting>
  <conditionalFormatting sqref="A22:Y22">
    <cfRule type="cellIs" dxfId="2" priority="6" operator="lessThan">
      <formula>"2.50%"</formula>
    </cfRule>
  </conditionalFormatting>
  <conditionalFormatting sqref="A23:Y23">
    <cfRule type="cellIs" dxfId="1" priority="7" operator="greaterThan">
      <formula>"30%"</formula>
    </cfRule>
  </conditionalFormatting>
  <conditionalFormatting sqref="A23:Y23">
    <cfRule type="cellIs" dxfId="4" priority="8" operator="lessThan">
      <formula>"2.50%"</formula>
    </cfRule>
  </conditionalFormatting>
  <conditionalFormatting sqref="A24:Y24">
    <cfRule type="cellIs" dxfId="1" priority="9" operator="greaterThan">
      <formula>"25%"</formula>
    </cfRule>
  </conditionalFormatting>
  <conditionalFormatting sqref="A24:Y24">
    <cfRule type="cellIs" dxfId="2" priority="10" operator="lessThan">
      <formula>"2.50%"</formula>
    </cfRule>
  </conditionalFormatting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31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6.63"/>
  </cols>
  <sheetData>
    <row r="1">
      <c r="A1" s="50"/>
      <c r="B1" s="51" t="s">
        <v>50</v>
      </c>
      <c r="C1" s="52"/>
      <c r="D1" s="52"/>
      <c r="E1" s="52"/>
      <c r="F1" s="52"/>
      <c r="G1" s="52"/>
      <c r="H1" s="53"/>
      <c r="I1" s="54" t="s">
        <v>51</v>
      </c>
      <c r="J1" s="52"/>
      <c r="K1" s="52"/>
      <c r="L1" s="52"/>
      <c r="M1" s="52"/>
      <c r="N1" s="52"/>
      <c r="O1" s="52"/>
      <c r="P1" s="53"/>
      <c r="Q1" s="53"/>
      <c r="R1" s="53"/>
      <c r="S1" s="53"/>
      <c r="T1" s="53"/>
      <c r="U1" s="53"/>
      <c r="V1" s="53"/>
      <c r="W1" s="53"/>
      <c r="X1" s="53"/>
    </row>
    <row r="2">
      <c r="A2" s="50"/>
      <c r="B2" s="55" t="s">
        <v>17</v>
      </c>
      <c r="C2" s="55" t="s">
        <v>18</v>
      </c>
      <c r="D2" s="55" t="s">
        <v>19</v>
      </c>
      <c r="E2" s="55" t="s">
        <v>20</v>
      </c>
      <c r="F2" s="55" t="s">
        <v>21</v>
      </c>
      <c r="G2" s="55" t="s">
        <v>22</v>
      </c>
      <c r="H2" s="53"/>
      <c r="I2" s="56">
        <v>2019.0</v>
      </c>
      <c r="J2" s="56">
        <v>2020.0</v>
      </c>
      <c r="K2" s="56">
        <v>2021.0</v>
      </c>
      <c r="L2" s="56">
        <v>2022.0</v>
      </c>
      <c r="M2" s="56">
        <v>2023.0</v>
      </c>
      <c r="N2" s="56">
        <v>2024.0</v>
      </c>
      <c r="O2" s="57">
        <v>2025.0</v>
      </c>
      <c r="P2" s="53"/>
      <c r="Q2" s="53"/>
      <c r="R2" s="53"/>
      <c r="S2" s="53"/>
      <c r="T2" s="53"/>
      <c r="U2" s="53"/>
      <c r="V2" s="53"/>
      <c r="W2" s="53"/>
      <c r="X2" s="53"/>
    </row>
    <row r="3">
      <c r="A3" s="58" t="s">
        <v>52</v>
      </c>
      <c r="B3" s="59">
        <v>2.2089E9</v>
      </c>
      <c r="C3" s="59">
        <v>2.3919E9</v>
      </c>
      <c r="D3" s="59">
        <v>2.4995E9</v>
      </c>
      <c r="E3" s="59">
        <v>2.5457E9</v>
      </c>
      <c r="F3" s="59">
        <v>2.6486E9</v>
      </c>
      <c r="G3" s="59">
        <v>2.8934E9</v>
      </c>
      <c r="H3" s="60"/>
      <c r="I3" s="59">
        <v>5.88883E9</v>
      </c>
      <c r="J3" s="59">
        <v>5.7481E9</v>
      </c>
      <c r="K3" s="59">
        <v>5.635E9</v>
      </c>
      <c r="L3" s="59">
        <v>7.25E9</v>
      </c>
      <c r="M3" s="59">
        <v>7.961E9</v>
      </c>
      <c r="N3" s="59">
        <v>9.646E9</v>
      </c>
      <c r="O3" s="61"/>
      <c r="P3" s="61"/>
      <c r="Q3" s="61"/>
      <c r="R3" s="61"/>
      <c r="S3" s="61"/>
      <c r="T3" s="61"/>
      <c r="U3" s="61"/>
      <c r="V3" s="61"/>
      <c r="W3" s="61"/>
      <c r="X3" s="61"/>
    </row>
    <row r="4">
      <c r="A4" s="62" t="s">
        <v>53</v>
      </c>
      <c r="B4" s="63">
        <v>1.9868E9</v>
      </c>
      <c r="C4" s="63">
        <v>2.1381E9</v>
      </c>
      <c r="D4" s="63">
        <v>2.2389E9</v>
      </c>
      <c r="E4" s="64">
        <f>E3-297200000</f>
        <v>2248500000</v>
      </c>
      <c r="F4" s="65">
        <v>2.3747E9</v>
      </c>
      <c r="G4" s="65">
        <v>2.5224E9</v>
      </c>
      <c r="H4" s="66"/>
      <c r="I4" s="65">
        <v>5.5036E9</v>
      </c>
      <c r="J4" s="65">
        <v>5.3105E9</v>
      </c>
      <c r="K4" s="65">
        <v>5.148E9</v>
      </c>
      <c r="L4" s="65">
        <v>6.6003E9</v>
      </c>
      <c r="M4" s="65">
        <v>7.2069E9</v>
      </c>
      <c r="N4" s="65">
        <v>8.6123E9</v>
      </c>
    </row>
    <row r="5">
      <c r="A5" s="58" t="s">
        <v>54</v>
      </c>
      <c r="B5" s="67">
        <f t="shared" ref="B5:G5" si="1">B3-B4</f>
        <v>222100000</v>
      </c>
      <c r="C5" s="67">
        <f t="shared" si="1"/>
        <v>253800000</v>
      </c>
      <c r="D5" s="67">
        <f t="shared" si="1"/>
        <v>260600000</v>
      </c>
      <c r="E5" s="67">
        <f t="shared" si="1"/>
        <v>297200000</v>
      </c>
      <c r="F5" s="67">
        <f t="shared" si="1"/>
        <v>273900000</v>
      </c>
      <c r="G5" s="67">
        <f t="shared" si="1"/>
        <v>371000000</v>
      </c>
      <c r="H5" s="68"/>
      <c r="I5" s="67">
        <f t="shared" ref="I5:N5" si="2">I3-I4</f>
        <v>385230000</v>
      </c>
      <c r="J5" s="67">
        <f t="shared" si="2"/>
        <v>437600000</v>
      </c>
      <c r="K5" s="67">
        <f t="shared" si="2"/>
        <v>487000000</v>
      </c>
      <c r="L5" s="67">
        <f t="shared" si="2"/>
        <v>649700000</v>
      </c>
      <c r="M5" s="67">
        <f t="shared" si="2"/>
        <v>754100000</v>
      </c>
      <c r="N5" s="67">
        <f t="shared" si="2"/>
        <v>1033700000</v>
      </c>
    </row>
    <row r="6">
      <c r="A6" s="69" t="s">
        <v>55</v>
      </c>
      <c r="B6" s="63">
        <v>6.48E7</v>
      </c>
      <c r="C6" s="63">
        <v>7.93E7</v>
      </c>
      <c r="D6" s="63">
        <v>9.18E7</v>
      </c>
      <c r="E6" s="63">
        <v>5.76E7</v>
      </c>
      <c r="F6" s="65">
        <v>1.125E8</v>
      </c>
      <c r="G6" s="65">
        <v>3.89E7</v>
      </c>
      <c r="H6" s="66"/>
      <c r="I6" s="65">
        <v>2.273E8</v>
      </c>
      <c r="J6" s="65">
        <v>2.307E8</v>
      </c>
      <c r="K6" s="65">
        <v>2.45E8</v>
      </c>
      <c r="L6" s="65">
        <v>2.673E8</v>
      </c>
      <c r="M6" s="65">
        <v>3.032E8</v>
      </c>
      <c r="N6" s="65">
        <v>2.935E8</v>
      </c>
    </row>
    <row r="7">
      <c r="A7" s="62" t="s">
        <v>56</v>
      </c>
      <c r="B7" s="63">
        <v>1.65E7</v>
      </c>
      <c r="C7" s="63">
        <v>1.94E7</v>
      </c>
      <c r="D7" s="63">
        <v>1.87E7</v>
      </c>
      <c r="E7" s="63">
        <v>2.34E7</v>
      </c>
      <c r="F7" s="65">
        <v>1.76E7</v>
      </c>
      <c r="G7" s="65">
        <v>3.4E7</v>
      </c>
      <c r="H7" s="66"/>
      <c r="I7" s="65">
        <v>2.84E7</v>
      </c>
      <c r="J7" s="65">
        <v>2.99E7</v>
      </c>
      <c r="K7" s="65">
        <v>3.84E7</v>
      </c>
      <c r="L7" s="65">
        <v>4.63E7</v>
      </c>
      <c r="M7" s="65">
        <v>6.09E7</v>
      </c>
      <c r="N7" s="65">
        <v>7.8E7</v>
      </c>
    </row>
    <row r="8">
      <c r="A8" s="69" t="s">
        <v>57</v>
      </c>
      <c r="B8" s="63">
        <v>1.02E7</v>
      </c>
      <c r="C8" s="63">
        <v>1.07E7</v>
      </c>
      <c r="D8" s="63">
        <v>1.11E7</v>
      </c>
      <c r="E8" s="63">
        <v>1.15E7</v>
      </c>
      <c r="F8" s="65">
        <v>1.11E7</v>
      </c>
      <c r="G8" s="65">
        <v>1.11E7</v>
      </c>
      <c r="H8" s="66"/>
      <c r="I8" s="65">
        <v>2.96E7</v>
      </c>
      <c r="J8" s="65">
        <v>2.56E7</v>
      </c>
      <c r="K8" s="65">
        <v>2.55E7</v>
      </c>
      <c r="L8" s="65">
        <v>4.01E7</v>
      </c>
      <c r="M8" s="65">
        <v>3.96E7</v>
      </c>
      <c r="N8" s="65">
        <v>4.35E7</v>
      </c>
    </row>
    <row r="9">
      <c r="A9" s="69" t="s">
        <v>58</v>
      </c>
      <c r="B9" s="63">
        <v>4800000.0</v>
      </c>
      <c r="C9" s="63">
        <v>1.15E7</v>
      </c>
      <c r="D9" s="63">
        <v>1000000.0</v>
      </c>
      <c r="E9" s="63">
        <v>2100000.0</v>
      </c>
      <c r="F9" s="65">
        <v>3900000.0</v>
      </c>
      <c r="G9" s="65">
        <v>1.45E7</v>
      </c>
      <c r="H9" s="66"/>
      <c r="I9" s="65">
        <v>-4.99E7</v>
      </c>
      <c r="J9" s="70">
        <v>2.35E7</v>
      </c>
      <c r="K9" s="65">
        <v>1.03E7</v>
      </c>
      <c r="L9" s="65">
        <v>6700000.0</v>
      </c>
      <c r="M9" s="65">
        <v>1.21E7</v>
      </c>
      <c r="N9" s="65">
        <v>1.94E7</v>
      </c>
    </row>
    <row r="10">
      <c r="A10" s="71" t="s">
        <v>59</v>
      </c>
      <c r="B10" s="72">
        <f t="shared" ref="B10:G10" si="3">SUM(B6:B9)</f>
        <v>96300000</v>
      </c>
      <c r="C10" s="72">
        <f t="shared" si="3"/>
        <v>120900000</v>
      </c>
      <c r="D10" s="72">
        <f t="shared" si="3"/>
        <v>122600000</v>
      </c>
      <c r="E10" s="72">
        <f t="shared" si="3"/>
        <v>94600000</v>
      </c>
      <c r="F10" s="72">
        <f t="shared" si="3"/>
        <v>145100000</v>
      </c>
      <c r="G10" s="72">
        <f t="shared" si="3"/>
        <v>98500000</v>
      </c>
      <c r="H10" s="66"/>
      <c r="I10" s="72">
        <f t="shared" ref="I10:N10" si="4">SUM(I6:I9)</f>
        <v>235400000</v>
      </c>
      <c r="J10" s="72">
        <f t="shared" si="4"/>
        <v>309700000</v>
      </c>
      <c r="K10" s="72">
        <f t="shared" si="4"/>
        <v>319200000</v>
      </c>
      <c r="L10" s="72">
        <f t="shared" si="4"/>
        <v>360400000</v>
      </c>
      <c r="M10" s="72">
        <f t="shared" si="4"/>
        <v>415800000</v>
      </c>
      <c r="N10" s="72">
        <f t="shared" si="4"/>
        <v>434400000</v>
      </c>
    </row>
    <row r="11">
      <c r="A11" s="73" t="s">
        <v>60</v>
      </c>
      <c r="B11" s="74">
        <f t="shared" ref="B11:G11" si="5">B5-B10</f>
        <v>125800000</v>
      </c>
      <c r="C11" s="74">
        <f t="shared" si="5"/>
        <v>132900000</v>
      </c>
      <c r="D11" s="74">
        <f t="shared" si="5"/>
        <v>138000000</v>
      </c>
      <c r="E11" s="74">
        <f t="shared" si="5"/>
        <v>202600000</v>
      </c>
      <c r="F11" s="74">
        <f t="shared" si="5"/>
        <v>128800000</v>
      </c>
      <c r="G11" s="74">
        <f t="shared" si="5"/>
        <v>272500000</v>
      </c>
      <c r="H11" s="66"/>
      <c r="I11" s="74">
        <f t="shared" ref="I11:N11" si="6">I5-I10</f>
        <v>149830000</v>
      </c>
      <c r="J11" s="74">
        <f t="shared" si="6"/>
        <v>127900000</v>
      </c>
      <c r="K11" s="74">
        <f t="shared" si="6"/>
        <v>167800000</v>
      </c>
      <c r="L11" s="74">
        <f t="shared" si="6"/>
        <v>289300000</v>
      </c>
      <c r="M11" s="74">
        <f t="shared" si="6"/>
        <v>338300000</v>
      </c>
      <c r="N11" s="74">
        <f t="shared" si="6"/>
        <v>599300000</v>
      </c>
    </row>
    <row r="12">
      <c r="A12" s="69" t="s">
        <v>61</v>
      </c>
      <c r="B12" s="63">
        <v>1.4E7</v>
      </c>
      <c r="C12" s="63">
        <v>1.5E7</v>
      </c>
      <c r="D12" s="63">
        <v>1.12E7</v>
      </c>
      <c r="E12" s="63">
        <v>1.19E7</v>
      </c>
      <c r="F12" s="65">
        <v>1.37E7</v>
      </c>
      <c r="G12" s="65">
        <v>1.35E7</v>
      </c>
      <c r="H12" s="66"/>
      <c r="I12" s="65">
        <v>4.95E7</v>
      </c>
      <c r="J12" s="65">
        <v>3.77E7</v>
      </c>
      <c r="K12" s="65">
        <v>5.17E7</v>
      </c>
      <c r="L12" s="65">
        <v>5.17E7</v>
      </c>
      <c r="M12" s="65">
        <v>7.89E7</v>
      </c>
      <c r="N12" s="65">
        <v>5.21E7</v>
      </c>
    </row>
    <row r="13" ht="17.25" customHeight="1">
      <c r="A13" s="69" t="s">
        <v>62</v>
      </c>
      <c r="B13" s="63">
        <v>6600000.0</v>
      </c>
      <c r="C13" s="63">
        <v>4400000.0</v>
      </c>
      <c r="D13" s="63">
        <v>2800000.0</v>
      </c>
      <c r="E13" s="63">
        <v>1200000.0</v>
      </c>
      <c r="F13" s="63">
        <v>1400000.0</v>
      </c>
      <c r="G13" s="63">
        <v>1700000.0</v>
      </c>
      <c r="H13" s="66"/>
      <c r="I13" s="63">
        <v>0.0</v>
      </c>
      <c r="J13" s="63">
        <v>0.0</v>
      </c>
      <c r="K13" s="63">
        <v>-1500000.0</v>
      </c>
      <c r="L13" s="63">
        <v>-1500000.0</v>
      </c>
      <c r="M13" s="63">
        <v>-4.66E7</v>
      </c>
      <c r="N13" s="63">
        <v>1.5E7</v>
      </c>
    </row>
    <row r="14">
      <c r="A14" s="58" t="s">
        <v>63</v>
      </c>
      <c r="B14" s="67">
        <f t="shared" ref="B14:G14" si="7">B11-(B12+B13)</f>
        <v>105200000</v>
      </c>
      <c r="C14" s="67">
        <f t="shared" si="7"/>
        <v>113500000</v>
      </c>
      <c r="D14" s="67">
        <f t="shared" si="7"/>
        <v>124000000</v>
      </c>
      <c r="E14" s="67">
        <f t="shared" si="7"/>
        <v>189500000</v>
      </c>
      <c r="F14" s="67">
        <f t="shared" si="7"/>
        <v>113700000</v>
      </c>
      <c r="G14" s="67">
        <f t="shared" si="7"/>
        <v>257300000</v>
      </c>
      <c r="H14" s="66"/>
      <c r="I14" s="67">
        <f t="shared" ref="I14:N14" si="8">I11-(I12+I13)</f>
        <v>100330000</v>
      </c>
      <c r="J14" s="67">
        <f t="shared" si="8"/>
        <v>90200000</v>
      </c>
      <c r="K14" s="67">
        <f t="shared" si="8"/>
        <v>117600000</v>
      </c>
      <c r="L14" s="67">
        <f t="shared" si="8"/>
        <v>239100000</v>
      </c>
      <c r="M14" s="67">
        <f t="shared" si="8"/>
        <v>306000000</v>
      </c>
      <c r="N14" s="67">
        <f t="shared" si="8"/>
        <v>532200000</v>
      </c>
    </row>
    <row r="15">
      <c r="A15" s="62" t="s">
        <v>64</v>
      </c>
      <c r="B15" s="63">
        <v>1.34E7</v>
      </c>
      <c r="C15" s="63">
        <v>1.85E7</v>
      </c>
      <c r="D15" s="63">
        <v>3.45E7</v>
      </c>
      <c r="E15" s="63">
        <v>3.78E7</v>
      </c>
      <c r="F15" s="65">
        <v>2.75E7</v>
      </c>
      <c r="G15" s="75">
        <f>46300000</f>
        <v>46300000</v>
      </c>
      <c r="H15" s="66"/>
      <c r="I15" s="65">
        <v>2.95E7</v>
      </c>
      <c r="J15" s="65">
        <v>2.96E7</v>
      </c>
      <c r="K15" s="65">
        <v>3.2E7</v>
      </c>
      <c r="L15" s="65">
        <v>5.9E7</v>
      </c>
      <c r="M15" s="65">
        <v>6.16E7</v>
      </c>
      <c r="N15" s="65">
        <v>1.042E8</v>
      </c>
    </row>
    <row r="16">
      <c r="A16" s="58" t="s">
        <v>65</v>
      </c>
      <c r="B16" s="67">
        <f t="shared" ref="B16:G16" si="9">B14-B15</f>
        <v>91800000</v>
      </c>
      <c r="C16" s="67">
        <f t="shared" si="9"/>
        <v>95000000</v>
      </c>
      <c r="D16" s="67">
        <f t="shared" si="9"/>
        <v>89500000</v>
      </c>
      <c r="E16" s="67">
        <f t="shared" si="9"/>
        <v>151700000</v>
      </c>
      <c r="F16" s="67">
        <f t="shared" si="9"/>
        <v>86200000</v>
      </c>
      <c r="G16" s="67">
        <f t="shared" si="9"/>
        <v>211000000</v>
      </c>
      <c r="H16" s="66"/>
      <c r="I16" s="67">
        <f t="shared" ref="I16:N16" si="10">I14-I15</f>
        <v>70830000</v>
      </c>
      <c r="J16" s="67">
        <f t="shared" si="10"/>
        <v>60600000</v>
      </c>
      <c r="K16" s="67">
        <f t="shared" si="10"/>
        <v>85600000</v>
      </c>
      <c r="L16" s="67">
        <f t="shared" si="10"/>
        <v>180100000</v>
      </c>
      <c r="M16" s="67">
        <f t="shared" si="10"/>
        <v>244400000</v>
      </c>
      <c r="N16" s="67">
        <f t="shared" si="10"/>
        <v>428000000</v>
      </c>
    </row>
    <row r="17">
      <c r="A17" s="62" t="s">
        <v>66</v>
      </c>
      <c r="B17" s="76">
        <f t="shared" ref="B17:G17" si="11">B16/B18</f>
        <v>0.7605633803</v>
      </c>
      <c r="C17" s="76">
        <f t="shared" si="11"/>
        <v>0.7983193277</v>
      </c>
      <c r="D17" s="77">
        <f t="shared" si="11"/>
        <v>0.7495812395</v>
      </c>
      <c r="E17" s="77">
        <f t="shared" si="11"/>
        <v>1.276936027</v>
      </c>
      <c r="F17" s="77">
        <f t="shared" si="11"/>
        <v>0.7496174951</v>
      </c>
      <c r="G17" s="77">
        <f t="shared" si="11"/>
        <v>1.834261264</v>
      </c>
      <c r="H17" s="66"/>
      <c r="I17" s="77">
        <f t="shared" ref="I17:N17" si="12">I16/I18</f>
        <v>0.5374051593</v>
      </c>
      <c r="J17" s="77">
        <f t="shared" si="12"/>
        <v>0.4694035631</v>
      </c>
      <c r="K17" s="77">
        <f t="shared" si="12"/>
        <v>0.674015748</v>
      </c>
      <c r="L17" s="77">
        <f t="shared" si="12"/>
        <v>1.452419355</v>
      </c>
      <c r="M17" s="77">
        <f t="shared" si="12"/>
        <v>2.048119718</v>
      </c>
      <c r="N17" s="77">
        <f t="shared" si="12"/>
        <v>3.602693603</v>
      </c>
    </row>
    <row r="18">
      <c r="A18" s="62" t="s">
        <v>67</v>
      </c>
      <c r="B18" s="77">
        <f>MAIN!G4</f>
        <v>120700000</v>
      </c>
      <c r="C18" s="77">
        <f>MAIN!H4</f>
        <v>119000000</v>
      </c>
      <c r="D18" s="77">
        <f>MAIN!I4</f>
        <v>119400000</v>
      </c>
      <c r="E18" s="77">
        <f>MAIN!J4</f>
        <v>118800000</v>
      </c>
      <c r="F18" s="77">
        <f>MAIN!K4</f>
        <v>114991980</v>
      </c>
      <c r="G18" s="77">
        <f>MAIN!L4</f>
        <v>115032686</v>
      </c>
      <c r="H18" s="66"/>
      <c r="I18" s="78">
        <v>1.318E8</v>
      </c>
      <c r="J18" s="78">
        <v>1.291E8</v>
      </c>
      <c r="K18" s="78">
        <v>1.27E8</v>
      </c>
      <c r="L18" s="65">
        <v>1.24E8</v>
      </c>
      <c r="M18" s="78">
        <v>1.19328962E8</v>
      </c>
      <c r="N18" s="65">
        <v>1.188E8</v>
      </c>
    </row>
    <row r="19">
      <c r="A19" s="62"/>
      <c r="B19" s="79"/>
      <c r="C19" s="79"/>
      <c r="D19" s="79"/>
      <c r="E19" s="79"/>
      <c r="F19" s="79"/>
      <c r="G19" s="79"/>
      <c r="H19" s="66"/>
      <c r="I19" s="79"/>
      <c r="J19" s="79"/>
      <c r="K19" s="79"/>
      <c r="L19" s="79"/>
      <c r="M19" s="79"/>
      <c r="N19" s="79"/>
    </row>
    <row r="20">
      <c r="A20" s="80" t="s">
        <v>68</v>
      </c>
      <c r="B20" s="81"/>
      <c r="C20" s="81">
        <f t="shared" ref="C20:G20" si="13">(C3-B3)/B3</f>
        <v>0.08284666576</v>
      </c>
      <c r="D20" s="81">
        <f t="shared" si="13"/>
        <v>0.04498515824</v>
      </c>
      <c r="E20" s="81">
        <f t="shared" si="13"/>
        <v>0.01848369674</v>
      </c>
      <c r="F20" s="81">
        <f t="shared" si="13"/>
        <v>0.04042110225</v>
      </c>
      <c r="G20" s="82">
        <f t="shared" si="13"/>
        <v>0.09242618742</v>
      </c>
      <c r="H20" s="60"/>
      <c r="I20" s="82"/>
      <c r="J20" s="82">
        <f t="shared" ref="J20:N20" si="14">(J3-I3)/I3</f>
        <v>-0.02389778615</v>
      </c>
      <c r="K20" s="82">
        <f t="shared" si="14"/>
        <v>-0.01967606687</v>
      </c>
      <c r="L20" s="82">
        <f t="shared" si="14"/>
        <v>0.2866015972</v>
      </c>
      <c r="M20" s="82">
        <f t="shared" si="14"/>
        <v>0.09806896552</v>
      </c>
      <c r="N20" s="82">
        <f t="shared" si="14"/>
        <v>0.211656827</v>
      </c>
      <c r="O20" s="61"/>
      <c r="P20" s="61"/>
      <c r="Q20" s="61"/>
      <c r="R20" s="61"/>
      <c r="S20" s="61"/>
      <c r="T20" s="61"/>
      <c r="U20" s="61"/>
      <c r="V20" s="61"/>
      <c r="W20" s="61"/>
      <c r="X20" s="61"/>
    </row>
    <row r="21">
      <c r="A21" s="83" t="s">
        <v>69</v>
      </c>
      <c r="B21" s="84">
        <f t="shared" ref="B21:G21" si="15">B5/B3</f>
        <v>0.100547784</v>
      </c>
      <c r="C21" s="84">
        <f t="shared" si="15"/>
        <v>0.1061081149</v>
      </c>
      <c r="D21" s="84">
        <f t="shared" si="15"/>
        <v>0.1042608522</v>
      </c>
      <c r="E21" s="84">
        <f t="shared" si="15"/>
        <v>0.1167458852</v>
      </c>
      <c r="F21" s="84">
        <f t="shared" si="15"/>
        <v>0.1034131239</v>
      </c>
      <c r="G21" s="84">
        <f t="shared" si="15"/>
        <v>0.128222852</v>
      </c>
      <c r="H21" s="66"/>
      <c r="I21" s="84">
        <f t="shared" ref="I21:N21" si="16">I5/I3</f>
        <v>0.06541706927</v>
      </c>
      <c r="J21" s="84">
        <f t="shared" si="16"/>
        <v>0.07612950366</v>
      </c>
      <c r="K21" s="84">
        <f t="shared" si="16"/>
        <v>0.08642413487</v>
      </c>
      <c r="L21" s="84">
        <f t="shared" si="16"/>
        <v>0.0896137931</v>
      </c>
      <c r="M21" s="84">
        <f t="shared" si="16"/>
        <v>0.09472428087</v>
      </c>
      <c r="N21" s="84">
        <f t="shared" si="16"/>
        <v>0.1071635911</v>
      </c>
    </row>
    <row r="22">
      <c r="A22" s="83" t="s">
        <v>70</v>
      </c>
      <c r="B22" s="84">
        <f t="shared" ref="B22:G22" si="17">B11/B3</f>
        <v>0.05695142379</v>
      </c>
      <c r="C22" s="84">
        <f t="shared" si="17"/>
        <v>0.05556252352</v>
      </c>
      <c r="D22" s="84">
        <f t="shared" si="17"/>
        <v>0.05521104221</v>
      </c>
      <c r="E22" s="84">
        <f t="shared" si="17"/>
        <v>0.07958518286</v>
      </c>
      <c r="F22" s="84">
        <f t="shared" si="17"/>
        <v>0.04862946462</v>
      </c>
      <c r="G22" s="84">
        <f t="shared" si="17"/>
        <v>0.09417985761</v>
      </c>
      <c r="H22" s="66"/>
      <c r="I22" s="84">
        <f t="shared" ref="I22:N22" si="18">I11/I3</f>
        <v>0.02544308462</v>
      </c>
      <c r="J22" s="84">
        <f t="shared" si="18"/>
        <v>0.02225083071</v>
      </c>
      <c r="K22" s="84">
        <f t="shared" si="18"/>
        <v>0.02977817214</v>
      </c>
      <c r="L22" s="84">
        <f t="shared" si="18"/>
        <v>0.03990344828</v>
      </c>
      <c r="M22" s="84">
        <f t="shared" si="18"/>
        <v>0.04249466147</v>
      </c>
      <c r="N22" s="84">
        <f t="shared" si="18"/>
        <v>0.06212938005</v>
      </c>
    </row>
    <row r="23">
      <c r="A23" s="85" t="s">
        <v>71</v>
      </c>
      <c r="B23" s="86">
        <f t="shared" ref="B23:G23" si="19">B16/B3</f>
        <v>0.04155914709</v>
      </c>
      <c r="C23" s="86">
        <f t="shared" si="19"/>
        <v>0.03971737949</v>
      </c>
      <c r="D23" s="86">
        <f t="shared" si="19"/>
        <v>0.03580716143</v>
      </c>
      <c r="E23" s="86">
        <f t="shared" si="19"/>
        <v>0.05959068233</v>
      </c>
      <c r="F23" s="86">
        <f t="shared" si="19"/>
        <v>0.03254549573</v>
      </c>
      <c r="G23" s="86">
        <f t="shared" si="19"/>
        <v>0.07292458699</v>
      </c>
      <c r="H23" s="66"/>
      <c r="I23" s="86">
        <f t="shared" ref="I23:N23" si="20">I16/I3</f>
        <v>0.01202785613</v>
      </c>
      <c r="J23" s="86">
        <f t="shared" si="20"/>
        <v>0.01054261408</v>
      </c>
      <c r="K23" s="86">
        <f t="shared" si="20"/>
        <v>0.01519077196</v>
      </c>
      <c r="L23" s="86">
        <f t="shared" si="20"/>
        <v>0.02484137931</v>
      </c>
      <c r="M23" s="86">
        <f t="shared" si="20"/>
        <v>0.03069966085</v>
      </c>
      <c r="N23" s="86">
        <f t="shared" si="20"/>
        <v>0.04437072362</v>
      </c>
    </row>
    <row r="24">
      <c r="A24" s="62"/>
      <c r="B24" s="62"/>
      <c r="C24" s="62"/>
      <c r="D24" s="62"/>
      <c r="E24" s="62"/>
      <c r="F24" s="62"/>
      <c r="G24" s="62"/>
      <c r="H24" s="66"/>
      <c r="I24" s="62"/>
      <c r="J24" s="62"/>
      <c r="K24" s="62"/>
      <c r="L24" s="62"/>
      <c r="M24" s="62"/>
      <c r="N24" s="62"/>
    </row>
    <row r="25">
      <c r="A25" s="62"/>
      <c r="B25" s="62"/>
      <c r="C25" s="62"/>
      <c r="D25" s="62"/>
      <c r="E25" s="62"/>
      <c r="F25" s="62"/>
      <c r="G25" s="62"/>
      <c r="H25" s="66"/>
      <c r="I25" s="62"/>
      <c r="J25" s="62"/>
      <c r="K25" s="62"/>
      <c r="L25" s="62"/>
      <c r="M25" s="62"/>
      <c r="N25" s="62"/>
    </row>
    <row r="26">
      <c r="A26" s="87"/>
      <c r="B26" s="87"/>
      <c r="C26" s="87"/>
      <c r="D26" s="87"/>
      <c r="E26" s="87"/>
      <c r="F26" s="87"/>
      <c r="G26" s="87"/>
      <c r="H26" s="66"/>
      <c r="I26" s="87"/>
      <c r="J26" s="87"/>
      <c r="K26" s="87"/>
      <c r="L26" s="87"/>
      <c r="M26" s="87"/>
      <c r="N26" s="87"/>
    </row>
    <row r="27">
      <c r="A27" s="88" t="s">
        <v>72</v>
      </c>
      <c r="B27" s="89">
        <v>9.18E7</v>
      </c>
      <c r="C27" s="89">
        <v>9.5E7</v>
      </c>
      <c r="D27" s="89">
        <v>8.95E7</v>
      </c>
      <c r="E27" s="89">
        <v>1.517E8</v>
      </c>
      <c r="F27" s="90">
        <v>8.62E7</v>
      </c>
      <c r="G27" s="90">
        <v>2.11E8</v>
      </c>
      <c r="H27" s="60"/>
      <c r="I27" s="90">
        <v>7.03E7</v>
      </c>
      <c r="J27" s="90">
        <v>6.06E7</v>
      </c>
      <c r="K27" s="90">
        <v>1.039E8</v>
      </c>
      <c r="L27" s="90">
        <v>1.801E8</v>
      </c>
      <c r="M27" s="90">
        <v>2.444E8</v>
      </c>
      <c r="N27" s="90">
        <v>4.28E8</v>
      </c>
      <c r="O27" s="61"/>
      <c r="P27" s="61"/>
      <c r="Q27" s="61"/>
      <c r="R27" s="61"/>
      <c r="S27" s="61"/>
      <c r="T27" s="61"/>
      <c r="U27" s="61"/>
      <c r="V27" s="61"/>
      <c r="W27" s="61"/>
      <c r="X27" s="61"/>
    </row>
    <row r="28">
      <c r="A28" s="62" t="s">
        <v>73</v>
      </c>
      <c r="B28" s="63">
        <v>3.57E7</v>
      </c>
      <c r="C28" s="63">
        <v>3.69E7</v>
      </c>
      <c r="D28" s="63">
        <v>3.93E7</v>
      </c>
      <c r="E28" s="63">
        <v>4.0E7</v>
      </c>
      <c r="F28" s="65">
        <v>3.74E7</v>
      </c>
      <c r="G28" s="65">
        <v>4.53E7</v>
      </c>
      <c r="H28" s="66"/>
      <c r="I28" s="65">
        <v>1.354E8</v>
      </c>
      <c r="J28" s="65">
        <v>1.247E8</v>
      </c>
      <c r="K28" s="65">
        <v>1.263E8</v>
      </c>
      <c r="L28" s="65">
        <v>1.159E8</v>
      </c>
      <c r="M28" s="65">
        <v>1.308E8</v>
      </c>
      <c r="N28" s="65">
        <v>1.519E8</v>
      </c>
    </row>
    <row r="29">
      <c r="A29" s="69" t="s">
        <v>74</v>
      </c>
      <c r="B29" s="63">
        <v>2.27E7</v>
      </c>
      <c r="C29" s="63">
        <v>1.19E7</v>
      </c>
      <c r="D29" s="63">
        <v>1.27E7</v>
      </c>
      <c r="E29" s="63">
        <v>1.01E7</v>
      </c>
      <c r="F29" s="65">
        <v>2.6E7</v>
      </c>
      <c r="G29" s="65">
        <v>1.52E7</v>
      </c>
      <c r="H29" s="66"/>
      <c r="I29" s="65">
        <v>3.41E7</v>
      </c>
      <c r="J29" s="65">
        <v>2.58E7</v>
      </c>
      <c r="K29" s="65">
        <v>3.34E7</v>
      </c>
      <c r="L29" s="65">
        <v>5.1E7</v>
      </c>
      <c r="M29" s="65">
        <v>5.56E7</v>
      </c>
      <c r="N29" s="65">
        <v>5.74E7</v>
      </c>
    </row>
    <row r="30">
      <c r="A30" s="69" t="s">
        <v>75</v>
      </c>
      <c r="B30" s="63">
        <v>-3.15E7</v>
      </c>
      <c r="C30" s="63">
        <v>-1.57E7</v>
      </c>
      <c r="D30" s="63">
        <v>7700000.0</v>
      </c>
      <c r="E30" s="63">
        <v>-5.15E7</v>
      </c>
      <c r="F30" s="65">
        <v>1.91E7</v>
      </c>
      <c r="G30" s="65">
        <v>-9.74E7</v>
      </c>
      <c r="H30" s="66"/>
      <c r="I30" s="65"/>
      <c r="J30" s="65"/>
      <c r="K30" s="65"/>
      <c r="L30" s="65">
        <v>0.0</v>
      </c>
      <c r="M30" s="65">
        <v>-4.56E7</v>
      </c>
      <c r="N30" s="65">
        <v>-9.1E7</v>
      </c>
    </row>
    <row r="31">
      <c r="A31" s="69" t="s">
        <v>76</v>
      </c>
      <c r="B31" s="63">
        <v>700000.0</v>
      </c>
      <c r="C31" s="63">
        <v>4800000.0</v>
      </c>
      <c r="D31" s="63">
        <v>400000.0</v>
      </c>
      <c r="E31" s="63">
        <v>0.0</v>
      </c>
      <c r="F31" s="65">
        <v>0.0</v>
      </c>
      <c r="G31" s="65">
        <v>400000.0</v>
      </c>
      <c r="H31" s="66"/>
      <c r="I31" s="65"/>
      <c r="J31" s="65"/>
      <c r="K31" s="65"/>
      <c r="L31" s="65">
        <v>900000.0</v>
      </c>
      <c r="M31" s="65">
        <v>1600000.0</v>
      </c>
      <c r="N31" s="65">
        <v>5900000.0</v>
      </c>
    </row>
    <row r="32">
      <c r="A32" s="69" t="s">
        <v>77</v>
      </c>
      <c r="B32" s="63">
        <v>5800000.0</v>
      </c>
      <c r="C32" s="63">
        <v>3300000.0</v>
      </c>
      <c r="D32" s="63">
        <v>2000000.0</v>
      </c>
      <c r="E32" s="63">
        <v>2100000.0</v>
      </c>
      <c r="F32" s="65">
        <v>1300000.0</v>
      </c>
      <c r="G32" s="65">
        <v>1300000.0</v>
      </c>
      <c r="H32" s="66"/>
      <c r="I32" s="65"/>
      <c r="J32" s="65"/>
      <c r="K32" s="65"/>
      <c r="L32" s="65">
        <v>-3.33E7</v>
      </c>
      <c r="M32" s="65">
        <v>6300000.0</v>
      </c>
      <c r="N32" s="65">
        <v>1.32E7</v>
      </c>
    </row>
    <row r="33">
      <c r="A33" s="69" t="s">
        <v>78</v>
      </c>
      <c r="B33" s="63">
        <v>2700000.0</v>
      </c>
      <c r="C33" s="63">
        <v>-2.01E7</v>
      </c>
      <c r="D33" s="63">
        <v>-4600000.0</v>
      </c>
      <c r="E33" s="63">
        <v>-9900000.0</v>
      </c>
      <c r="F33" s="65">
        <v>-100000.0</v>
      </c>
      <c r="G33" s="65">
        <v>-1.49E7</v>
      </c>
      <c r="H33" s="66"/>
      <c r="I33" s="65"/>
      <c r="J33" s="65"/>
      <c r="K33" s="65"/>
      <c r="L33" s="65">
        <v>-2.79E7</v>
      </c>
      <c r="M33" s="65">
        <v>-3600000.0</v>
      </c>
      <c r="N33" s="65">
        <v>-3.19E7</v>
      </c>
    </row>
    <row r="34">
      <c r="A34" s="69" t="s">
        <v>79</v>
      </c>
      <c r="B34" s="63">
        <v>-6300000.0</v>
      </c>
      <c r="C34" s="63">
        <v>3300000.0</v>
      </c>
      <c r="D34" s="63">
        <v>-1800000.0</v>
      </c>
      <c r="E34" s="63">
        <v>1.59E7</v>
      </c>
      <c r="F34" s="65">
        <v>6200000.0</v>
      </c>
      <c r="G34" s="65">
        <v>1.22E7</v>
      </c>
      <c r="H34" s="66"/>
      <c r="I34" s="65">
        <f>-86100000+49500000+29500000+24200000</f>
        <v>17100000</v>
      </c>
      <c r="J34" s="65">
        <f>2500000+37700000+29600000+10000000</f>
        <v>79800000</v>
      </c>
      <c r="K34" s="65">
        <f>2500000+31700000+32100000+15200000</f>
        <v>81500000</v>
      </c>
      <c r="L34" s="65">
        <v>-5300000.0</v>
      </c>
      <c r="M34" s="65">
        <v>-2200000.0</v>
      </c>
      <c r="N34" s="65">
        <v>1.11E7</v>
      </c>
    </row>
    <row r="35">
      <c r="A35" s="69" t="s">
        <v>80</v>
      </c>
      <c r="B35" s="64">
        <f>-16800000+152700000-10100000-139300000</f>
        <v>-13500000</v>
      </c>
      <c r="C35" s="64">
        <f>-80900000+107000000+9400000-56000000</f>
        <v>-20500000</v>
      </c>
      <c r="D35" s="64">
        <f>-111700000+23400000+37700000+28200000</f>
        <v>-22400000</v>
      </c>
      <c r="E35" s="64">
        <f>-61300000+59900000+8100000-21700000</f>
        <v>-15000000</v>
      </c>
      <c r="F35" s="75">
        <f>-66900000-27700000+3000000+45800000</f>
        <v>-45800000</v>
      </c>
      <c r="G35" s="75">
        <f>1000000*(-151.9-129.8-9.4+270.4)</f>
        <v>-20700000</v>
      </c>
      <c r="H35" s="66"/>
      <c r="I35" s="65">
        <v>1.091E8</v>
      </c>
      <c r="J35" s="65">
        <v>-2.35E7</v>
      </c>
      <c r="K35" s="75">
        <f>-78900000</f>
        <v>-78900000</v>
      </c>
      <c r="L35" s="75">
        <f>-133300000-717200000-51200000+831400000</f>
        <v>-70300000</v>
      </c>
      <c r="M35" s="75">
        <f>-402200000+245100000+8600000+87400000</f>
        <v>-61100000</v>
      </c>
      <c r="N35" s="75">
        <f>-270000000+343700000+45100000-188800000</f>
        <v>-70000000</v>
      </c>
    </row>
    <row r="36">
      <c r="A36" s="69" t="s">
        <v>81</v>
      </c>
      <c r="B36" s="75"/>
      <c r="C36" s="75"/>
      <c r="D36" s="75"/>
      <c r="E36" s="64"/>
      <c r="F36" s="75"/>
      <c r="G36" s="75"/>
      <c r="H36" s="66"/>
      <c r="I36" s="65">
        <v>-2.1E7</v>
      </c>
      <c r="J36" s="65">
        <v>-2.78E7</v>
      </c>
      <c r="K36" s="65">
        <v>-3.94E7</v>
      </c>
      <c r="L36" s="75"/>
      <c r="M36" s="75"/>
      <c r="N36" s="75"/>
    </row>
    <row r="37">
      <c r="A37" s="91" t="s">
        <v>82</v>
      </c>
      <c r="B37" s="67">
        <f t="shared" ref="B37:G37" si="21">SUM(B27:B35)</f>
        <v>108100000</v>
      </c>
      <c r="C37" s="67">
        <f t="shared" si="21"/>
        <v>98900000</v>
      </c>
      <c r="D37" s="67">
        <f t="shared" si="21"/>
        <v>122800000</v>
      </c>
      <c r="E37" s="67">
        <f t="shared" si="21"/>
        <v>143400000</v>
      </c>
      <c r="F37" s="67">
        <f t="shared" si="21"/>
        <v>130300000</v>
      </c>
      <c r="G37" s="67">
        <f t="shared" si="21"/>
        <v>152400000</v>
      </c>
      <c r="H37" s="66"/>
      <c r="I37" s="67">
        <f t="shared" ref="I37:K37" si="22">SUM(I27:I36)</f>
        <v>345000000</v>
      </c>
      <c r="J37" s="67">
        <f t="shared" si="22"/>
        <v>239600000</v>
      </c>
      <c r="K37" s="67">
        <f t="shared" si="22"/>
        <v>226800000</v>
      </c>
      <c r="L37" s="67">
        <f t="shared" ref="L37:N37" si="23">SUM(L27:L35)</f>
        <v>211100000</v>
      </c>
      <c r="M37" s="67">
        <f t="shared" si="23"/>
        <v>326200000</v>
      </c>
      <c r="N37" s="67">
        <f t="shared" si="23"/>
        <v>474600000</v>
      </c>
    </row>
    <row r="38">
      <c r="A38" s="62"/>
      <c r="B38" s="64"/>
      <c r="C38" s="64"/>
      <c r="D38" s="64"/>
      <c r="E38" s="64"/>
      <c r="F38" s="64"/>
      <c r="G38" s="64"/>
      <c r="H38" s="66"/>
      <c r="I38" s="64"/>
      <c r="J38" s="64"/>
      <c r="K38" s="64"/>
      <c r="L38" s="64"/>
      <c r="M38" s="64"/>
      <c r="N38" s="64"/>
    </row>
    <row r="39">
      <c r="A39" s="69" t="s">
        <v>83</v>
      </c>
      <c r="B39" s="63">
        <v>0.0</v>
      </c>
      <c r="C39" s="63">
        <v>-3.61E7</v>
      </c>
      <c r="D39" s="63">
        <v>0.0</v>
      </c>
      <c r="E39" s="63">
        <v>0.0</v>
      </c>
      <c r="F39" s="65">
        <v>0.0</v>
      </c>
      <c r="G39" s="65">
        <v>0.0</v>
      </c>
      <c r="H39" s="66"/>
      <c r="I39" s="65">
        <v>2700000.0</v>
      </c>
      <c r="J39" s="65">
        <v>0.0</v>
      </c>
      <c r="K39" s="65">
        <v>-3.147E8</v>
      </c>
      <c r="L39" s="65">
        <v>0.0</v>
      </c>
      <c r="M39" s="65">
        <v>0.0</v>
      </c>
      <c r="N39" s="65">
        <v>-3.61E7</v>
      </c>
    </row>
    <row r="40">
      <c r="A40" s="69" t="s">
        <v>84</v>
      </c>
      <c r="B40" s="63">
        <v>-4.04E7</v>
      </c>
      <c r="C40" s="63">
        <v>-3.69E7</v>
      </c>
      <c r="D40" s="63">
        <v>-4.6E7</v>
      </c>
      <c r="E40" s="63">
        <v>-4.76E7</v>
      </c>
      <c r="F40" s="65">
        <v>-3.67E7</v>
      </c>
      <c r="G40" s="65">
        <v>-3.25E7</v>
      </c>
      <c r="H40" s="66"/>
      <c r="I40" s="65">
        <v>-8.05E7</v>
      </c>
      <c r="J40" s="65">
        <v>-5.28E7</v>
      </c>
      <c r="K40" s="65">
        <v>-5.22E7</v>
      </c>
      <c r="L40" s="65">
        <v>-1.09E8</v>
      </c>
      <c r="M40" s="65">
        <v>-1.251E8</v>
      </c>
      <c r="N40" s="65">
        <v>-1.709E8</v>
      </c>
    </row>
    <row r="41">
      <c r="A41" s="69" t="s">
        <v>85</v>
      </c>
      <c r="B41" s="69">
        <v>0.0</v>
      </c>
      <c r="C41" s="63">
        <v>2900000.0</v>
      </c>
      <c r="D41" s="63">
        <v>0.0</v>
      </c>
      <c r="E41" s="63">
        <v>0.0</v>
      </c>
      <c r="F41" s="65">
        <v>0.0</v>
      </c>
      <c r="G41" s="65">
        <v>0.0</v>
      </c>
      <c r="H41" s="66"/>
      <c r="I41" s="65">
        <v>1.165E8</v>
      </c>
      <c r="J41" s="65">
        <v>1800000.0</v>
      </c>
      <c r="K41" s="65">
        <v>2600000.0</v>
      </c>
      <c r="L41" s="65">
        <v>100000.0</v>
      </c>
      <c r="M41" s="65">
        <v>2700000.0</v>
      </c>
      <c r="N41" s="65">
        <v>2900000.0</v>
      </c>
    </row>
    <row r="42">
      <c r="A42" s="69" t="s">
        <v>86</v>
      </c>
      <c r="B42" s="69">
        <v>0.0</v>
      </c>
      <c r="C42" s="63">
        <v>0.0</v>
      </c>
      <c r="D42" s="63">
        <v>-5000000.0</v>
      </c>
      <c r="E42" s="63">
        <v>-3400000.0</v>
      </c>
      <c r="F42" s="65">
        <v>0.0</v>
      </c>
      <c r="G42" s="65">
        <v>-2500000.0</v>
      </c>
      <c r="H42" s="66"/>
      <c r="I42" s="65">
        <v>0.0</v>
      </c>
      <c r="J42" s="65">
        <v>0.0</v>
      </c>
      <c r="K42" s="65">
        <v>0.0</v>
      </c>
      <c r="L42" s="65">
        <v>0.0</v>
      </c>
      <c r="M42" s="65">
        <v>0.0</v>
      </c>
      <c r="N42" s="65">
        <v>-8400000.0</v>
      </c>
    </row>
    <row r="43">
      <c r="A43" s="91" t="s">
        <v>87</v>
      </c>
      <c r="B43" s="67">
        <f t="shared" ref="B43:G43" si="24">SUM(B39:B42)</f>
        <v>-40400000</v>
      </c>
      <c r="C43" s="67">
        <f t="shared" si="24"/>
        <v>-70100000</v>
      </c>
      <c r="D43" s="67">
        <f t="shared" si="24"/>
        <v>-51000000</v>
      </c>
      <c r="E43" s="67">
        <f t="shared" si="24"/>
        <v>-51000000</v>
      </c>
      <c r="F43" s="67">
        <f t="shared" si="24"/>
        <v>-36700000</v>
      </c>
      <c r="G43" s="67">
        <f t="shared" si="24"/>
        <v>-35000000</v>
      </c>
      <c r="H43" s="66"/>
      <c r="I43" s="67">
        <f t="shared" ref="I43:N43" si="25">SUM(I39:I42)</f>
        <v>38700000</v>
      </c>
      <c r="J43" s="67">
        <f t="shared" si="25"/>
        <v>-51000000</v>
      </c>
      <c r="K43" s="67">
        <f t="shared" si="25"/>
        <v>-364300000</v>
      </c>
      <c r="L43" s="67">
        <f t="shared" si="25"/>
        <v>-108900000</v>
      </c>
      <c r="M43" s="67">
        <f t="shared" si="25"/>
        <v>-122400000</v>
      </c>
      <c r="N43" s="67">
        <f t="shared" si="25"/>
        <v>-212500000</v>
      </c>
    </row>
    <row r="44">
      <c r="A44" s="62"/>
      <c r="B44" s="64"/>
      <c r="C44" s="64"/>
      <c r="D44" s="64"/>
      <c r="E44" s="64"/>
      <c r="F44" s="64"/>
      <c r="G44" s="62"/>
      <c r="H44" s="66"/>
      <c r="I44" s="62"/>
      <c r="J44" s="62"/>
      <c r="K44" s="62"/>
      <c r="L44" s="62"/>
      <c r="M44" s="62"/>
      <c r="N44" s="62"/>
    </row>
    <row r="45">
      <c r="A45" s="69" t="s">
        <v>88</v>
      </c>
      <c r="B45" s="63">
        <v>2.85E8</v>
      </c>
      <c r="C45" s="63">
        <v>1.8E8</v>
      </c>
      <c r="D45" s="63">
        <v>2.0E7</v>
      </c>
      <c r="E45" s="63">
        <v>3.13E8</v>
      </c>
      <c r="F45" s="65">
        <v>3.1E8</v>
      </c>
      <c r="G45" s="65">
        <v>1.9E8</v>
      </c>
      <c r="H45" s="66"/>
      <c r="I45" s="65">
        <v>0.0</v>
      </c>
      <c r="J45" s="65">
        <v>0.0</v>
      </c>
      <c r="K45" s="65">
        <v>2.2E8</v>
      </c>
      <c r="L45" s="65">
        <v>1.235E9</v>
      </c>
      <c r="M45" s="65">
        <v>8.91E8</v>
      </c>
      <c r="N45" s="65">
        <v>7.98E8</v>
      </c>
    </row>
    <row r="46">
      <c r="A46" s="69" t="s">
        <v>89</v>
      </c>
      <c r="B46" s="63">
        <v>-2.57E8</v>
      </c>
      <c r="C46" s="63">
        <v>-2.08E8</v>
      </c>
      <c r="D46" s="63">
        <v>-2.0E7</v>
      </c>
      <c r="E46" s="63">
        <v>-3.13E8</v>
      </c>
      <c r="F46" s="65">
        <v>-1.6E8</v>
      </c>
      <c r="G46" s="65">
        <v>-2.5E8</v>
      </c>
      <c r="H46" s="66"/>
      <c r="I46" s="65">
        <v>0.0</v>
      </c>
      <c r="J46" s="65">
        <v>0.0</v>
      </c>
      <c r="K46" s="65">
        <v>-2.2E8</v>
      </c>
      <c r="L46" s="65">
        <v>-1.235E9</v>
      </c>
      <c r="M46" s="65">
        <v>-8.91E8</v>
      </c>
      <c r="N46" s="65">
        <v>-7.98E8</v>
      </c>
    </row>
    <row r="47">
      <c r="A47" s="69" t="s">
        <v>90</v>
      </c>
      <c r="C47" s="63">
        <v>7.5E8</v>
      </c>
      <c r="D47" s="63">
        <v>0.0</v>
      </c>
      <c r="E47" s="63">
        <v>0.0</v>
      </c>
      <c r="F47" s="49">
        <v>0.0</v>
      </c>
      <c r="G47" s="65">
        <v>0.0</v>
      </c>
      <c r="H47" s="66"/>
      <c r="I47" s="65">
        <v>4.8E7</v>
      </c>
      <c r="J47" s="65">
        <v>0.0</v>
      </c>
      <c r="K47" s="65">
        <v>3.65E8</v>
      </c>
      <c r="L47" s="65">
        <v>0.0</v>
      </c>
      <c r="M47" s="65">
        <v>0.0</v>
      </c>
      <c r="N47" s="65">
        <v>7.5E8</v>
      </c>
    </row>
    <row r="48">
      <c r="A48" s="69" t="s">
        <v>91</v>
      </c>
      <c r="B48" s="63">
        <v>-4600000.0</v>
      </c>
      <c r="C48" s="63">
        <v>-6.043E8</v>
      </c>
      <c r="D48" s="63">
        <v>-4400000.0</v>
      </c>
      <c r="E48" s="63">
        <v>-4400000.0</v>
      </c>
      <c r="F48" s="65">
        <v>-4400000.0</v>
      </c>
      <c r="G48" s="65">
        <v>-4300000.0</v>
      </c>
      <c r="H48" s="66"/>
      <c r="I48" s="65">
        <v>-2.13E8</v>
      </c>
      <c r="J48" s="65">
        <v>-1.219E8</v>
      </c>
      <c r="K48" s="65">
        <v>-1.75E8</v>
      </c>
      <c r="L48" s="65">
        <v>-3.32E7</v>
      </c>
      <c r="M48" s="65">
        <v>-1.83E7</v>
      </c>
      <c r="N48" s="65">
        <v>-6.177E8</v>
      </c>
    </row>
    <row r="49">
      <c r="A49" s="69" t="s">
        <v>92</v>
      </c>
      <c r="B49" s="63">
        <v>-2250000.0</v>
      </c>
      <c r="C49" s="63">
        <v>-2300000.0</v>
      </c>
      <c r="D49" s="63">
        <v>-2300000.0</v>
      </c>
      <c r="E49" s="63">
        <v>-2600000.0</v>
      </c>
      <c r="F49" s="65">
        <v>-2600000.0</v>
      </c>
      <c r="G49" s="65">
        <v>-2600000.0</v>
      </c>
      <c r="H49" s="66"/>
      <c r="I49" s="65">
        <v>-3.82E7</v>
      </c>
      <c r="J49" s="65">
        <v>-3.37E7</v>
      </c>
      <c r="K49" s="65">
        <v>-4.0E7</v>
      </c>
      <c r="L49" s="65">
        <v>-8400000.0</v>
      </c>
      <c r="M49" s="65">
        <v>-9900000.0</v>
      </c>
      <c r="N49" s="65">
        <v>-9700000.0</v>
      </c>
    </row>
    <row r="50">
      <c r="A50" s="69" t="s">
        <v>93</v>
      </c>
      <c r="B50" s="63">
        <v>3900000.0</v>
      </c>
      <c r="C50" s="63">
        <v>0.0</v>
      </c>
      <c r="D50" s="63">
        <v>0.0</v>
      </c>
      <c r="E50" s="63">
        <v>0.0</v>
      </c>
      <c r="F50" s="65">
        <v>0.0</v>
      </c>
      <c r="G50" s="65">
        <v>300000.0</v>
      </c>
      <c r="H50" s="66"/>
      <c r="I50" s="65">
        <v>0.0</v>
      </c>
      <c r="J50" s="65">
        <v>0.0</v>
      </c>
      <c r="K50" s="65">
        <v>200000.0</v>
      </c>
      <c r="L50" s="65">
        <v>200000.0</v>
      </c>
      <c r="M50" s="65">
        <v>300000.0</v>
      </c>
      <c r="N50" s="65">
        <v>3900000.0</v>
      </c>
    </row>
    <row r="51">
      <c r="A51" s="69" t="s">
        <v>94</v>
      </c>
      <c r="B51" s="63">
        <v>-1.65E7</v>
      </c>
      <c r="C51" s="63">
        <v>-1.0E7</v>
      </c>
      <c r="D51" s="63">
        <v>-1.0E8</v>
      </c>
      <c r="E51" s="63">
        <v>-2.55E7</v>
      </c>
      <c r="F51" s="65">
        <v>-7.77E7</v>
      </c>
      <c r="G51" s="65">
        <v>-4.0E7</v>
      </c>
      <c r="H51" s="66"/>
      <c r="I51" s="65">
        <v>-6.73E7</v>
      </c>
      <c r="J51" s="65">
        <v>-100000.0</v>
      </c>
      <c r="K51" s="65">
        <v>-3.59E7</v>
      </c>
      <c r="L51" s="65">
        <v>-3.46E7</v>
      </c>
      <c r="M51" s="65">
        <v>-3.56E7</v>
      </c>
      <c r="N51" s="65">
        <v>-1.52E8</v>
      </c>
    </row>
    <row r="52">
      <c r="A52" s="69" t="s">
        <v>95</v>
      </c>
      <c r="B52" s="63">
        <v>-1.016E8</v>
      </c>
      <c r="C52" s="63">
        <v>0.0</v>
      </c>
      <c r="D52" s="63">
        <v>0.0</v>
      </c>
      <c r="E52" s="63">
        <v>-1.8E7</v>
      </c>
      <c r="F52" s="65">
        <v>-2.116E8</v>
      </c>
      <c r="G52" s="65">
        <v>0.0</v>
      </c>
      <c r="H52" s="66"/>
      <c r="I52" s="65">
        <v>-9200000.0</v>
      </c>
      <c r="J52" s="65">
        <v>-1.91E7</v>
      </c>
      <c r="K52" s="65">
        <v>-2.06E7</v>
      </c>
      <c r="L52" s="65">
        <v>-4.49E7</v>
      </c>
      <c r="M52" s="65">
        <v>-8.23E7</v>
      </c>
      <c r="N52" s="65">
        <v>-1.196E8</v>
      </c>
    </row>
    <row r="53">
      <c r="A53" s="69" t="s">
        <v>96</v>
      </c>
      <c r="B53" s="63">
        <v>3.23E7</v>
      </c>
      <c r="C53" s="63">
        <v>0.0</v>
      </c>
      <c r="D53" s="63">
        <v>0.0</v>
      </c>
      <c r="E53" s="63">
        <v>0.0</v>
      </c>
      <c r="F53" s="65">
        <v>9.86E7</v>
      </c>
      <c r="G53" s="65">
        <v>0.0</v>
      </c>
      <c r="H53" s="66"/>
      <c r="I53" s="65">
        <v>0.0</v>
      </c>
      <c r="J53" s="65">
        <v>0.0</v>
      </c>
      <c r="K53" s="65">
        <v>0.0</v>
      </c>
      <c r="L53" s="65">
        <v>0.0</v>
      </c>
      <c r="M53" s="65">
        <v>5000000.0</v>
      </c>
      <c r="N53" s="65">
        <v>3.23E7</v>
      </c>
    </row>
    <row r="54">
      <c r="A54" s="69" t="s">
        <v>97</v>
      </c>
      <c r="B54" s="63">
        <v>-6.9E7</v>
      </c>
      <c r="C54" s="63">
        <v>0.0</v>
      </c>
      <c r="D54" s="63">
        <v>0.0</v>
      </c>
      <c r="E54" s="63">
        <v>-1.56E7</v>
      </c>
      <c r="F54" s="65">
        <v>-1.56E8</v>
      </c>
      <c r="G54" s="65">
        <v>0.0</v>
      </c>
      <c r="H54" s="66"/>
      <c r="I54" s="65">
        <v>-4.65E7</v>
      </c>
      <c r="J54" s="65">
        <v>-2.95E7</v>
      </c>
      <c r="K54" s="65">
        <v>-2.6E7</v>
      </c>
      <c r="L54" s="65">
        <v>0.0</v>
      </c>
      <c r="M54" s="65">
        <v>-6.67E7</v>
      </c>
      <c r="N54" s="65">
        <v>-8.46E7</v>
      </c>
    </row>
    <row r="55">
      <c r="A55" s="69" t="s">
        <v>98</v>
      </c>
      <c r="B55" s="63">
        <v>0.0</v>
      </c>
      <c r="C55" s="63">
        <v>-9000000.0</v>
      </c>
      <c r="D55" s="63">
        <v>-600000.0</v>
      </c>
      <c r="E55" s="63">
        <v>-1500000.0</v>
      </c>
      <c r="F55" s="65">
        <v>-200000.0</v>
      </c>
      <c r="G55" s="65">
        <v>0.0</v>
      </c>
      <c r="H55" s="66"/>
      <c r="I55" s="65">
        <v>0.0</v>
      </c>
      <c r="J55" s="65">
        <v>0.0</v>
      </c>
      <c r="K55" s="65">
        <v>0.0</v>
      </c>
      <c r="L55" s="65">
        <v>-800000.0</v>
      </c>
      <c r="M55" s="65">
        <v>-400000.0</v>
      </c>
      <c r="N55" s="65">
        <v>-1.11E7</v>
      </c>
    </row>
    <row r="56">
      <c r="A56" s="91" t="s">
        <v>99</v>
      </c>
      <c r="B56" s="67">
        <f t="shared" ref="B56:G56" si="26">SUM(B45:B55)</f>
        <v>-129750000</v>
      </c>
      <c r="C56" s="67">
        <f t="shared" si="26"/>
        <v>96400000</v>
      </c>
      <c r="D56" s="67">
        <f t="shared" si="26"/>
        <v>-107300000</v>
      </c>
      <c r="E56" s="67">
        <f t="shared" si="26"/>
        <v>-67600000</v>
      </c>
      <c r="F56" s="67">
        <f t="shared" si="26"/>
        <v>-203900000</v>
      </c>
      <c r="G56" s="67">
        <f t="shared" si="26"/>
        <v>-106600000</v>
      </c>
      <c r="H56" s="66"/>
      <c r="I56" s="67">
        <f t="shared" ref="I56:N56" si="27">SUM(I45:I55)</f>
        <v>-326200000</v>
      </c>
      <c r="J56" s="67">
        <f t="shared" si="27"/>
        <v>-204300000</v>
      </c>
      <c r="K56" s="67">
        <f t="shared" si="27"/>
        <v>67700000</v>
      </c>
      <c r="L56" s="67">
        <f t="shared" si="27"/>
        <v>-121700000</v>
      </c>
      <c r="M56" s="67">
        <f t="shared" si="27"/>
        <v>-207900000</v>
      </c>
      <c r="N56" s="67">
        <f t="shared" si="27"/>
        <v>-208500000</v>
      </c>
    </row>
    <row r="57">
      <c r="A57" s="62"/>
      <c r="B57" s="64"/>
      <c r="C57" s="64"/>
      <c r="D57" s="64"/>
      <c r="E57" s="64"/>
      <c r="F57" s="64"/>
      <c r="G57" s="64"/>
      <c r="H57" s="66"/>
      <c r="I57" s="64"/>
      <c r="J57" s="64"/>
      <c r="K57" s="64"/>
      <c r="L57" s="64"/>
      <c r="M57" s="64"/>
      <c r="N57" s="64"/>
    </row>
    <row r="58">
      <c r="A58" s="58" t="s">
        <v>100</v>
      </c>
      <c r="B58" s="67">
        <f t="shared" ref="B58:G58" si="28">B37+B43+B56</f>
        <v>-62050000</v>
      </c>
      <c r="C58" s="67">
        <f t="shared" si="28"/>
        <v>125200000</v>
      </c>
      <c r="D58" s="67">
        <f t="shared" si="28"/>
        <v>-35500000</v>
      </c>
      <c r="E58" s="67">
        <f t="shared" si="28"/>
        <v>24800000</v>
      </c>
      <c r="F58" s="67">
        <f t="shared" si="28"/>
        <v>-110300000</v>
      </c>
      <c r="G58" s="67">
        <f t="shared" si="28"/>
        <v>10800000</v>
      </c>
      <c r="H58" s="66"/>
      <c r="I58" s="67">
        <f t="shared" ref="I58:N58" si="29">I37+I43+I56</f>
        <v>57500000</v>
      </c>
      <c r="J58" s="67">
        <f t="shared" si="29"/>
        <v>-15700000</v>
      </c>
      <c r="K58" s="67">
        <f t="shared" si="29"/>
        <v>-69800000</v>
      </c>
      <c r="L58" s="67">
        <f t="shared" si="29"/>
        <v>-19500000</v>
      </c>
      <c r="M58" s="67">
        <f t="shared" si="29"/>
        <v>-4100000</v>
      </c>
      <c r="N58" s="67">
        <f t="shared" si="29"/>
        <v>53600000</v>
      </c>
    </row>
    <row r="59">
      <c r="A59" s="62"/>
      <c r="B59" s="64"/>
      <c r="C59" s="64"/>
      <c r="D59" s="64"/>
      <c r="E59" s="64"/>
      <c r="F59" s="64"/>
      <c r="G59" s="64"/>
      <c r="H59" s="66"/>
      <c r="I59" s="64"/>
      <c r="J59" s="64"/>
      <c r="K59" s="64"/>
      <c r="L59" s="64"/>
      <c r="M59" s="64"/>
      <c r="N59" s="64"/>
    </row>
    <row r="60">
      <c r="A60" s="92" t="s">
        <v>101</v>
      </c>
      <c r="B60" s="93">
        <v>3.704E8</v>
      </c>
      <c r="C60" s="93">
        <v>3.081E8</v>
      </c>
      <c r="D60" s="93">
        <v>4.34E8</v>
      </c>
      <c r="E60" s="93">
        <v>3.985E8</v>
      </c>
      <c r="F60" s="94">
        <v>4.233E8</v>
      </c>
      <c r="G60" s="94">
        <v>3.03E8</v>
      </c>
      <c r="H60" s="66"/>
      <c r="I60" s="94">
        <v>4.222E9</v>
      </c>
      <c r="J60" s="94">
        <v>4.795E8</v>
      </c>
      <c r="K60" s="94">
        <v>4.638E8</v>
      </c>
      <c r="L60" s="94">
        <v>3.94E8</v>
      </c>
      <c r="M60" s="94">
        <v>3.745E8</v>
      </c>
      <c r="N60" s="94">
        <v>3.704E8</v>
      </c>
    </row>
    <row r="61">
      <c r="A61" s="95" t="s">
        <v>102</v>
      </c>
      <c r="B61" s="96">
        <f t="shared" ref="B61:G61" si="30">+B58+B60</f>
        <v>308350000</v>
      </c>
      <c r="C61" s="96">
        <f t="shared" si="30"/>
        <v>433300000</v>
      </c>
      <c r="D61" s="96">
        <f t="shared" si="30"/>
        <v>398500000</v>
      </c>
      <c r="E61" s="96">
        <f t="shared" si="30"/>
        <v>423300000</v>
      </c>
      <c r="F61" s="96">
        <f t="shared" si="30"/>
        <v>313000000</v>
      </c>
      <c r="G61" s="96">
        <f t="shared" si="30"/>
        <v>313800000</v>
      </c>
      <c r="H61" s="66"/>
      <c r="I61" s="96">
        <f t="shared" ref="I61:N61" si="31">+I58+I60</f>
        <v>4279500000</v>
      </c>
      <c r="J61" s="96">
        <f t="shared" si="31"/>
        <v>463800000</v>
      </c>
      <c r="K61" s="96">
        <f t="shared" si="31"/>
        <v>394000000</v>
      </c>
      <c r="L61" s="96">
        <f t="shared" si="31"/>
        <v>374500000</v>
      </c>
      <c r="M61" s="96">
        <f t="shared" si="31"/>
        <v>370400000</v>
      </c>
      <c r="N61" s="96">
        <f t="shared" si="31"/>
        <v>424000000</v>
      </c>
    </row>
    <row r="62">
      <c r="A62" s="62"/>
      <c r="B62" s="62"/>
      <c r="C62" s="62"/>
      <c r="D62" s="62"/>
      <c r="E62" s="62"/>
      <c r="F62" s="62"/>
      <c r="G62" s="62"/>
      <c r="H62" s="66"/>
      <c r="I62" s="62"/>
      <c r="J62" s="62"/>
      <c r="K62" s="62"/>
      <c r="L62" s="62"/>
      <c r="M62" s="62"/>
      <c r="N62" s="62"/>
    </row>
    <row r="63">
      <c r="A63" s="97" t="s">
        <v>23</v>
      </c>
      <c r="B63" s="98">
        <f>MAIN!G3</f>
        <v>5350000000</v>
      </c>
      <c r="C63" s="98">
        <f>MAIN!H3</f>
        <v>6810000000</v>
      </c>
      <c r="D63" s="98">
        <f>MAIN!I3</f>
        <v>6060000000</v>
      </c>
      <c r="E63" s="98">
        <f>MAIN!J3</f>
        <v>10740000000</v>
      </c>
      <c r="F63" s="98">
        <f>MAIN!K3</f>
        <v>13120000000</v>
      </c>
      <c r="G63" s="98">
        <f>MAIN!L3</f>
        <v>28020000000</v>
      </c>
      <c r="H63" s="99"/>
      <c r="I63" s="97">
        <v>1.13E9</v>
      </c>
      <c r="J63" s="97">
        <v>1.04E9</v>
      </c>
      <c r="K63" s="97">
        <v>1.44E9</v>
      </c>
      <c r="L63" s="97">
        <v>1.39E9</v>
      </c>
      <c r="M63" s="97">
        <v>3.49E9</v>
      </c>
      <c r="N63" s="97">
        <v>1.074E10</v>
      </c>
      <c r="O63" s="70">
        <v>2.848E10</v>
      </c>
      <c r="P63" s="100"/>
      <c r="Q63" s="100"/>
      <c r="R63" s="100"/>
      <c r="S63" s="100"/>
      <c r="T63" s="100"/>
      <c r="U63" s="100"/>
      <c r="V63" s="100"/>
      <c r="W63" s="100"/>
      <c r="X63" s="101"/>
    </row>
    <row r="64">
      <c r="A64" s="71" t="s">
        <v>103</v>
      </c>
      <c r="B64" s="72">
        <f t="shared" ref="B64:G64" si="32">B40</f>
        <v>-40400000</v>
      </c>
      <c r="C64" s="72">
        <f t="shared" si="32"/>
        <v>-36900000</v>
      </c>
      <c r="D64" s="72">
        <f t="shared" si="32"/>
        <v>-46000000</v>
      </c>
      <c r="E64" s="72">
        <f t="shared" si="32"/>
        <v>-47600000</v>
      </c>
      <c r="F64" s="72">
        <f t="shared" si="32"/>
        <v>-36700000</v>
      </c>
      <c r="G64" s="72">
        <f t="shared" si="32"/>
        <v>-32500000</v>
      </c>
      <c r="H64" s="66"/>
      <c r="I64" s="72">
        <f t="shared" ref="I64:N64" si="33">I40</f>
        <v>-80500000</v>
      </c>
      <c r="J64" s="72">
        <f t="shared" si="33"/>
        <v>-52800000</v>
      </c>
      <c r="K64" s="72">
        <f t="shared" si="33"/>
        <v>-52200000</v>
      </c>
      <c r="L64" s="72">
        <f t="shared" si="33"/>
        <v>-109000000</v>
      </c>
      <c r="M64" s="72">
        <f t="shared" si="33"/>
        <v>-125100000</v>
      </c>
      <c r="N64" s="72">
        <f t="shared" si="33"/>
        <v>-170900000</v>
      </c>
    </row>
    <row r="65">
      <c r="A65" s="102" t="s">
        <v>104</v>
      </c>
      <c r="B65" s="96">
        <f t="shared" ref="B65:F65" si="34">+B37+B64</f>
        <v>67700000</v>
      </c>
      <c r="C65" s="96">
        <f t="shared" si="34"/>
        <v>62000000</v>
      </c>
      <c r="D65" s="96">
        <f t="shared" si="34"/>
        <v>76800000</v>
      </c>
      <c r="E65" s="96">
        <f t="shared" si="34"/>
        <v>95800000</v>
      </c>
      <c r="F65" s="96">
        <f t="shared" si="34"/>
        <v>93600000</v>
      </c>
      <c r="G65" s="96">
        <f>G37+G64</f>
        <v>119900000</v>
      </c>
      <c r="H65" s="66"/>
      <c r="I65" s="96">
        <f t="shared" ref="I65:N65" si="35">I37+I64</f>
        <v>264500000</v>
      </c>
      <c r="J65" s="96">
        <f t="shared" si="35"/>
        <v>186800000</v>
      </c>
      <c r="K65" s="96">
        <f t="shared" si="35"/>
        <v>174600000</v>
      </c>
      <c r="L65" s="96">
        <f t="shared" si="35"/>
        <v>102100000</v>
      </c>
      <c r="M65" s="96">
        <f t="shared" si="35"/>
        <v>201100000</v>
      </c>
      <c r="N65" s="96">
        <f t="shared" si="35"/>
        <v>303700000</v>
      </c>
      <c r="O65" s="70">
        <v>4.5E8</v>
      </c>
    </row>
    <row r="66">
      <c r="A66" s="103" t="s">
        <v>105</v>
      </c>
      <c r="B66" s="104"/>
      <c r="C66" s="104">
        <f t="shared" ref="C66:G66" si="36">(C65-B65)/B65</f>
        <v>-0.08419497784</v>
      </c>
      <c r="D66" s="104">
        <f t="shared" si="36"/>
        <v>0.2387096774</v>
      </c>
      <c r="E66" s="104">
        <f t="shared" si="36"/>
        <v>0.2473958333</v>
      </c>
      <c r="F66" s="104">
        <f t="shared" si="36"/>
        <v>-0.02296450939</v>
      </c>
      <c r="G66" s="104">
        <f t="shared" si="36"/>
        <v>0.280982906</v>
      </c>
      <c r="H66" s="105"/>
      <c r="I66" s="104"/>
      <c r="J66" s="104">
        <f t="shared" ref="J66:N66" si="37">(J65-I65)/I65</f>
        <v>-0.2937618147</v>
      </c>
      <c r="K66" s="104">
        <f t="shared" si="37"/>
        <v>-0.06531049251</v>
      </c>
      <c r="L66" s="104">
        <f t="shared" si="37"/>
        <v>-0.4152348225</v>
      </c>
      <c r="M66" s="104">
        <f t="shared" si="37"/>
        <v>0.9696376102</v>
      </c>
      <c r="N66" s="104">
        <f t="shared" si="37"/>
        <v>0.5101939334</v>
      </c>
      <c r="O66" s="106"/>
      <c r="P66" s="106"/>
      <c r="Q66" s="106"/>
      <c r="R66" s="106"/>
      <c r="S66" s="106"/>
      <c r="T66" s="106"/>
      <c r="U66" s="106"/>
      <c r="V66" s="106"/>
      <c r="W66" s="106"/>
      <c r="X66" s="106"/>
    </row>
    <row r="67">
      <c r="A67" s="73" t="s">
        <v>106</v>
      </c>
      <c r="B67" s="104">
        <f>B65/MAIN!G3</f>
        <v>0.01265420561</v>
      </c>
      <c r="C67" s="104">
        <f>C65/MAIN!H3</f>
        <v>0.009104258443</v>
      </c>
      <c r="D67" s="104">
        <f>D65/MAIN!I3</f>
        <v>0.01267326733</v>
      </c>
      <c r="E67" s="104">
        <f>E65/MAIN!J3</f>
        <v>0.008919925512</v>
      </c>
      <c r="F67" s="104">
        <f>F65/MAIN!K3</f>
        <v>0.007134146341</v>
      </c>
      <c r="G67" s="104">
        <f>G65/MAIN!L3</f>
        <v>0.004279086367</v>
      </c>
      <c r="H67" s="60"/>
      <c r="I67" s="104">
        <f t="shared" ref="I67:O67" si="38">I65/I63</f>
        <v>0.2340707965</v>
      </c>
      <c r="J67" s="104">
        <f t="shared" si="38"/>
        <v>0.1796153846</v>
      </c>
      <c r="K67" s="104">
        <f t="shared" si="38"/>
        <v>0.12125</v>
      </c>
      <c r="L67" s="104">
        <f t="shared" si="38"/>
        <v>0.07345323741</v>
      </c>
      <c r="M67" s="104">
        <f t="shared" si="38"/>
        <v>0.0576217765</v>
      </c>
      <c r="N67" s="107">
        <f t="shared" si="38"/>
        <v>0.02827746741</v>
      </c>
      <c r="O67" s="106">
        <f t="shared" si="38"/>
        <v>0.0158005618</v>
      </c>
      <c r="P67" s="61"/>
      <c r="Q67" s="61"/>
      <c r="R67" s="61"/>
      <c r="S67" s="61"/>
      <c r="T67" s="61"/>
      <c r="U67" s="61"/>
      <c r="V67" s="61"/>
      <c r="W67" s="61"/>
      <c r="X67" s="61"/>
    </row>
    <row r="68">
      <c r="A68" s="108" t="s">
        <v>107</v>
      </c>
      <c r="B68" s="108"/>
      <c r="C68" s="108"/>
      <c r="D68" s="109"/>
      <c r="E68" s="109"/>
      <c r="F68" s="109"/>
      <c r="G68" s="109"/>
      <c r="H68" s="110"/>
      <c r="I68" s="111">
        <v>0.0214</v>
      </c>
      <c r="J68" s="111">
        <v>0.0089</v>
      </c>
      <c r="K68" s="111">
        <v>0.0145</v>
      </c>
      <c r="L68" s="111">
        <v>0.0284</v>
      </c>
      <c r="M68" s="111">
        <v>0.0375</v>
      </c>
      <c r="N68" s="112">
        <v>0.045</v>
      </c>
      <c r="O68" s="113">
        <v>0.0405</v>
      </c>
      <c r="P68" s="114"/>
      <c r="Q68" s="114"/>
      <c r="R68" s="114"/>
      <c r="S68" s="114"/>
      <c r="T68" s="114"/>
      <c r="U68" s="114"/>
      <c r="V68" s="114"/>
      <c r="W68" s="114"/>
      <c r="X68" s="115"/>
    </row>
  </sheetData>
  <mergeCells count="2">
    <mergeCell ref="B1:G1"/>
    <mergeCell ref="I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5"/>
    <col customWidth="1" min="2" max="2" width="14.0"/>
    <col customWidth="1" min="10" max="11" width="12.63"/>
    <col customWidth="1" min="12" max="12" width="13.38"/>
    <col customWidth="1" min="13" max="13" width="13.5"/>
  </cols>
  <sheetData>
    <row r="1">
      <c r="A1" s="116" t="s">
        <v>108</v>
      </c>
      <c r="B1" s="117" t="s">
        <v>109</v>
      </c>
      <c r="C1" s="117" t="s">
        <v>110</v>
      </c>
      <c r="D1" s="117" t="s">
        <v>111</v>
      </c>
      <c r="E1" s="117" t="s">
        <v>112</v>
      </c>
      <c r="F1" s="117" t="s">
        <v>113</v>
      </c>
      <c r="G1" s="117" t="s">
        <v>114</v>
      </c>
      <c r="H1" s="117" t="s">
        <v>115</v>
      </c>
      <c r="I1" s="117" t="s">
        <v>116</v>
      </c>
      <c r="J1" s="117" t="s">
        <v>117</v>
      </c>
      <c r="K1" s="117" t="s">
        <v>118</v>
      </c>
      <c r="L1" s="117" t="s">
        <v>119</v>
      </c>
      <c r="M1" s="118" t="s">
        <v>120</v>
      </c>
      <c r="N1" s="61"/>
    </row>
    <row r="2">
      <c r="A2" s="119" t="s">
        <v>121</v>
      </c>
      <c r="B2" s="120">
        <v>0.05</v>
      </c>
      <c r="C2" s="121">
        <v>4.5E8</v>
      </c>
      <c r="D2" s="122">
        <f t="shared" ref="D2:M2" si="1">C2*(1+$B2)</f>
        <v>472500000</v>
      </c>
      <c r="E2" s="122">
        <f t="shared" si="1"/>
        <v>496125000</v>
      </c>
      <c r="F2" s="122">
        <f t="shared" si="1"/>
        <v>520931250</v>
      </c>
      <c r="G2" s="122">
        <f t="shared" si="1"/>
        <v>546977812.5</v>
      </c>
      <c r="H2" s="122">
        <f t="shared" si="1"/>
        <v>574326703.1</v>
      </c>
      <c r="I2" s="122">
        <f t="shared" si="1"/>
        <v>603043038.3</v>
      </c>
      <c r="J2" s="122">
        <f t="shared" si="1"/>
        <v>633195190.2</v>
      </c>
      <c r="K2" s="122">
        <f t="shared" si="1"/>
        <v>664854949.7</v>
      </c>
      <c r="L2" s="122">
        <f t="shared" si="1"/>
        <v>698097697.2</v>
      </c>
      <c r="M2" s="123">
        <f t="shared" si="1"/>
        <v>733002582</v>
      </c>
    </row>
    <row r="3">
      <c r="A3" s="119" t="s">
        <v>122</v>
      </c>
      <c r="B3" s="120">
        <v>0.15</v>
      </c>
      <c r="C3" s="121">
        <v>4.5E8</v>
      </c>
      <c r="D3" s="122">
        <f t="shared" ref="D3:M3" si="2">C3*(1+$B3)</f>
        <v>517500000</v>
      </c>
      <c r="E3" s="122">
        <f t="shared" si="2"/>
        <v>595125000</v>
      </c>
      <c r="F3" s="122">
        <f t="shared" si="2"/>
        <v>684393750</v>
      </c>
      <c r="G3" s="122">
        <f t="shared" si="2"/>
        <v>787052812.5</v>
      </c>
      <c r="H3" s="122">
        <f t="shared" si="2"/>
        <v>905110734.4</v>
      </c>
      <c r="I3" s="122">
        <f t="shared" si="2"/>
        <v>1040877345</v>
      </c>
      <c r="J3" s="122">
        <f t="shared" si="2"/>
        <v>1197008946</v>
      </c>
      <c r="K3" s="122">
        <f t="shared" si="2"/>
        <v>1376560288</v>
      </c>
      <c r="L3" s="122">
        <f t="shared" si="2"/>
        <v>1583044331</v>
      </c>
      <c r="M3" s="123">
        <f t="shared" si="2"/>
        <v>1820500981</v>
      </c>
    </row>
    <row r="4">
      <c r="A4" s="119" t="s">
        <v>123</v>
      </c>
      <c r="B4" s="120">
        <v>0.2</v>
      </c>
      <c r="C4" s="121">
        <v>4.5E8</v>
      </c>
      <c r="D4" s="122">
        <f t="shared" ref="D4:M4" si="3">C4*(1+$B4)</f>
        <v>540000000</v>
      </c>
      <c r="E4" s="122">
        <f t="shared" si="3"/>
        <v>648000000</v>
      </c>
      <c r="F4" s="122">
        <f t="shared" si="3"/>
        <v>777600000</v>
      </c>
      <c r="G4" s="122">
        <f t="shared" si="3"/>
        <v>933120000</v>
      </c>
      <c r="H4" s="122">
        <f t="shared" si="3"/>
        <v>1119744000</v>
      </c>
      <c r="I4" s="122">
        <f t="shared" si="3"/>
        <v>1343692800</v>
      </c>
      <c r="J4" s="122">
        <f t="shared" si="3"/>
        <v>1612431360</v>
      </c>
      <c r="K4" s="122">
        <f t="shared" si="3"/>
        <v>1934917632</v>
      </c>
      <c r="L4" s="122">
        <f t="shared" si="3"/>
        <v>2321901158</v>
      </c>
      <c r="M4" s="123">
        <f t="shared" si="3"/>
        <v>2786281390</v>
      </c>
    </row>
    <row r="5">
      <c r="A5" s="119" t="s">
        <v>124</v>
      </c>
      <c r="B5" s="120">
        <v>0.35</v>
      </c>
      <c r="C5" s="121">
        <v>4.5E8</v>
      </c>
      <c r="D5" s="122">
        <f t="shared" ref="D5:M5" si="4">C5*(1+$B5)</f>
        <v>607500000</v>
      </c>
      <c r="E5" s="122">
        <f t="shared" si="4"/>
        <v>820125000</v>
      </c>
      <c r="F5" s="122">
        <f t="shared" si="4"/>
        <v>1107168750</v>
      </c>
      <c r="G5" s="122">
        <f t="shared" si="4"/>
        <v>1494677813</v>
      </c>
      <c r="H5" s="122">
        <f t="shared" si="4"/>
        <v>2017815047</v>
      </c>
      <c r="I5" s="122">
        <f t="shared" si="4"/>
        <v>2724050313</v>
      </c>
      <c r="J5" s="122">
        <f t="shared" si="4"/>
        <v>3677467923</v>
      </c>
      <c r="K5" s="122">
        <f t="shared" si="4"/>
        <v>4964581696</v>
      </c>
      <c r="L5" s="122">
        <f t="shared" si="4"/>
        <v>6702185290</v>
      </c>
      <c r="M5" s="123">
        <f t="shared" si="4"/>
        <v>9047950141</v>
      </c>
    </row>
    <row r="6">
      <c r="A6" s="124" t="s">
        <v>125</v>
      </c>
      <c r="B6" s="125">
        <v>0.45</v>
      </c>
      <c r="C6" s="126">
        <v>4.5E8</v>
      </c>
      <c r="D6" s="127">
        <f t="shared" ref="D6:M6" si="5">C6*(1+$B6)</f>
        <v>652500000</v>
      </c>
      <c r="E6" s="127">
        <f t="shared" si="5"/>
        <v>946125000</v>
      </c>
      <c r="F6" s="127">
        <f t="shared" si="5"/>
        <v>1371881250</v>
      </c>
      <c r="G6" s="127">
        <f t="shared" si="5"/>
        <v>1989227813</v>
      </c>
      <c r="H6" s="127">
        <f t="shared" si="5"/>
        <v>2884380328</v>
      </c>
      <c r="I6" s="127">
        <f t="shared" si="5"/>
        <v>4182351476</v>
      </c>
      <c r="J6" s="127">
        <f t="shared" si="5"/>
        <v>6064409640</v>
      </c>
      <c r="K6" s="127">
        <f t="shared" si="5"/>
        <v>8793393978</v>
      </c>
      <c r="L6" s="127">
        <f t="shared" si="5"/>
        <v>12750421268</v>
      </c>
      <c r="M6" s="128">
        <f t="shared" si="5"/>
        <v>18488110838</v>
      </c>
    </row>
    <row r="8">
      <c r="A8" s="55" t="s">
        <v>126</v>
      </c>
      <c r="B8" s="129">
        <v>0.085</v>
      </c>
      <c r="C8" s="130" t="s">
        <v>127</v>
      </c>
      <c r="D8" s="49" t="s">
        <v>128</v>
      </c>
      <c r="E8" s="131"/>
      <c r="F8" s="131"/>
      <c r="G8" s="131"/>
      <c r="H8" s="131"/>
      <c r="I8" s="131"/>
      <c r="J8" s="131"/>
      <c r="K8" s="131"/>
      <c r="L8" s="131"/>
    </row>
    <row r="9">
      <c r="A9" s="56" t="s">
        <v>129</v>
      </c>
      <c r="B9" s="100">
        <f>Model!N18</f>
        <v>118800000</v>
      </c>
      <c r="D9" s="49" t="s">
        <v>130</v>
      </c>
    </row>
    <row r="10">
      <c r="A10" s="56" t="s">
        <v>131</v>
      </c>
      <c r="B10" s="132">
        <v>0.03</v>
      </c>
      <c r="C10" s="133"/>
      <c r="D10" s="49" t="s">
        <v>132</v>
      </c>
      <c r="E10" s="133"/>
      <c r="F10" s="133"/>
      <c r="G10" s="133"/>
      <c r="H10" s="133"/>
      <c r="I10" s="133"/>
      <c r="J10" s="133"/>
      <c r="K10" s="133"/>
      <c r="L10" s="133"/>
    </row>
    <row r="11">
      <c r="A11" s="56" t="s">
        <v>133</v>
      </c>
      <c r="B11" s="49">
        <v>10.0</v>
      </c>
      <c r="D11" s="49" t="s">
        <v>134</v>
      </c>
    </row>
    <row r="12">
      <c r="A12" s="134"/>
      <c r="D12" s="49" t="s">
        <v>135</v>
      </c>
    </row>
    <row r="13">
      <c r="A13" s="135" t="s">
        <v>136</v>
      </c>
      <c r="B13" s="136"/>
      <c r="D13" s="49" t="s">
        <v>137</v>
      </c>
    </row>
    <row r="14">
      <c r="A14" s="119" t="s">
        <v>121</v>
      </c>
      <c r="B14" s="123">
        <f t="shared" ref="B14:B18" si="6">((M2*(1+$B$10))/((1+$B$8-$B$10)))/((1+$B$8)^$B$11)</f>
        <v>316513973.2</v>
      </c>
    </row>
    <row r="15">
      <c r="A15" s="119" t="s">
        <v>122</v>
      </c>
      <c r="B15" s="123">
        <f t="shared" si="6"/>
        <v>786100912.7</v>
      </c>
      <c r="C15" s="134" t="s">
        <v>138</v>
      </c>
      <c r="D15" s="137" t="s">
        <v>139</v>
      </c>
      <c r="E15" s="49" t="s">
        <v>140</v>
      </c>
      <c r="G15" s="138" t="s">
        <v>141</v>
      </c>
      <c r="H15" s="49" t="s">
        <v>142</v>
      </c>
    </row>
    <row r="16">
      <c r="A16" s="119" t="s">
        <v>123</v>
      </c>
      <c r="B16" s="123">
        <f t="shared" si="6"/>
        <v>1203129450</v>
      </c>
    </row>
    <row r="17">
      <c r="A17" s="119" t="s">
        <v>124</v>
      </c>
      <c r="B17" s="123">
        <f t="shared" si="6"/>
        <v>3906947559</v>
      </c>
      <c r="C17" s="134" t="s">
        <v>143</v>
      </c>
      <c r="D17" s="49" t="s">
        <v>144</v>
      </c>
    </row>
    <row r="18">
      <c r="A18" s="124" t="s">
        <v>125</v>
      </c>
      <c r="B18" s="128">
        <f t="shared" si="6"/>
        <v>7983253487</v>
      </c>
      <c r="D18" s="49" t="s">
        <v>145</v>
      </c>
    </row>
    <row r="20">
      <c r="A20" s="139" t="s">
        <v>146</v>
      </c>
      <c r="B20" s="140"/>
    </row>
    <row r="21">
      <c r="A21" s="119" t="s">
        <v>121</v>
      </c>
      <c r="B21" s="123">
        <f t="shared" ref="B21:B25" si="7">NPV($B$8,D2:M2)</f>
        <v>3774109463</v>
      </c>
    </row>
    <row r="22">
      <c r="A22" s="119" t="s">
        <v>122</v>
      </c>
      <c r="B22" s="123">
        <f t="shared" si="7"/>
        <v>6283972104</v>
      </c>
    </row>
    <row r="23">
      <c r="A23" s="119" t="s">
        <v>123</v>
      </c>
      <c r="B23" s="123">
        <f t="shared" si="7"/>
        <v>8163460393</v>
      </c>
    </row>
    <row r="24">
      <c r="A24" s="119" t="s">
        <v>124</v>
      </c>
      <c r="B24" s="123">
        <f t="shared" si="7"/>
        <v>18093955160</v>
      </c>
    </row>
    <row r="25">
      <c r="A25" s="124" t="s">
        <v>125</v>
      </c>
      <c r="B25" s="128">
        <f t="shared" si="7"/>
        <v>30696387875</v>
      </c>
    </row>
    <row r="26">
      <c r="B26" s="122"/>
    </row>
    <row r="27">
      <c r="A27" s="56" t="s">
        <v>147</v>
      </c>
      <c r="B27" s="122">
        <f>MAIN!L5-MAIN!L6</f>
        <v>534800000</v>
      </c>
    </row>
    <row r="28">
      <c r="B28" s="122"/>
    </row>
    <row r="29">
      <c r="A29" s="135" t="s">
        <v>33</v>
      </c>
      <c r="B29" s="141"/>
    </row>
    <row r="30">
      <c r="A30" s="119" t="s">
        <v>121</v>
      </c>
      <c r="B30" s="123">
        <f t="shared" ref="B30:B34" si="8">B21+B14</f>
        <v>4090623436</v>
      </c>
    </row>
    <row r="31">
      <c r="A31" s="119" t="s">
        <v>122</v>
      </c>
      <c r="B31" s="123">
        <f t="shared" si="8"/>
        <v>7070073017</v>
      </c>
    </row>
    <row r="32">
      <c r="A32" s="119" t="s">
        <v>123</v>
      </c>
      <c r="B32" s="123">
        <f t="shared" si="8"/>
        <v>9366589843</v>
      </c>
    </row>
    <row r="33">
      <c r="A33" s="119" t="s">
        <v>124</v>
      </c>
      <c r="B33" s="123">
        <f t="shared" si="8"/>
        <v>22000902719</v>
      </c>
    </row>
    <row r="34">
      <c r="A34" s="124" t="s">
        <v>125</v>
      </c>
      <c r="B34" s="128">
        <f t="shared" si="8"/>
        <v>38679641362</v>
      </c>
    </row>
    <row r="35">
      <c r="B35" s="122"/>
    </row>
    <row r="36">
      <c r="A36" s="139" t="s">
        <v>148</v>
      </c>
      <c r="B36" s="141"/>
    </row>
    <row r="37">
      <c r="A37" s="119" t="s">
        <v>121</v>
      </c>
      <c r="B37" s="142">
        <f t="shared" ref="B37:B41" si="9">((B30-$B$27)/$B$9)</f>
        <v>29.93117371</v>
      </c>
    </row>
    <row r="38">
      <c r="A38" s="119" t="s">
        <v>122</v>
      </c>
      <c r="B38" s="142">
        <f t="shared" si="9"/>
        <v>55.01071563</v>
      </c>
    </row>
    <row r="39">
      <c r="A39" s="119" t="s">
        <v>123</v>
      </c>
      <c r="B39" s="142">
        <f t="shared" si="9"/>
        <v>74.34166535</v>
      </c>
    </row>
    <row r="40">
      <c r="A40" s="119" t="s">
        <v>124</v>
      </c>
      <c r="B40" s="142">
        <f t="shared" si="9"/>
        <v>180.6911003</v>
      </c>
    </row>
    <row r="41">
      <c r="A41" s="124" t="s">
        <v>125</v>
      </c>
      <c r="B41" s="143">
        <f t="shared" si="9"/>
        <v>321.0845232</v>
      </c>
      <c r="C41" s="133"/>
      <c r="D41" s="133"/>
    </row>
    <row r="42">
      <c r="B42" s="122"/>
      <c r="C42" s="133"/>
      <c r="D42" s="133"/>
    </row>
    <row r="43">
      <c r="A43" s="144" t="s">
        <v>149</v>
      </c>
      <c r="B43" s="145">
        <v>247.66</v>
      </c>
      <c r="C43" s="133"/>
      <c r="D43" s="133"/>
    </row>
    <row r="44">
      <c r="A44" s="18"/>
    </row>
    <row r="45">
      <c r="A45" s="146" t="s">
        <v>150</v>
      </c>
      <c r="B45" s="147"/>
    </row>
    <row r="46">
      <c r="A46" s="119" t="s">
        <v>121</v>
      </c>
      <c r="B46" s="148">
        <f t="shared" ref="B46:B50" si="10">((B37-$B$43)/B37)</f>
        <v>-7.274316351</v>
      </c>
    </row>
    <row r="47">
      <c r="A47" s="119" t="s">
        <v>122</v>
      </c>
      <c r="B47" s="148">
        <f t="shared" si="10"/>
        <v>-3.502031961</v>
      </c>
    </row>
    <row r="48">
      <c r="A48" s="119" t="s">
        <v>123</v>
      </c>
      <c r="B48" s="148">
        <f t="shared" si="10"/>
        <v>-2.331375466</v>
      </c>
    </row>
    <row r="49">
      <c r="A49" s="119" t="s">
        <v>124</v>
      </c>
      <c r="B49" s="148">
        <f t="shared" si="10"/>
        <v>-0.3706264423</v>
      </c>
    </row>
    <row r="50">
      <c r="A50" s="124" t="s">
        <v>125</v>
      </c>
      <c r="B50" s="149">
        <f t="shared" si="10"/>
        <v>0.2286766192</v>
      </c>
    </row>
  </sheetData>
  <conditionalFormatting sqref="B46:B50">
    <cfRule type="cellIs" dxfId="1" priority="1" operator="greaterThan">
      <formula>"30%"</formula>
    </cfRule>
  </conditionalFormatting>
  <conditionalFormatting sqref="B46:B50">
    <cfRule type="cellIs" dxfId="9" priority="2" operator="lessThan">
      <formula>"-30%"</formula>
    </cfRule>
  </conditionalFormatting>
  <drawing r:id="rId1"/>
</worksheet>
</file>