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  <sheet state="visible" name="Oil Price" sheetId="3" r:id="rId6"/>
    <sheet state="visible" name="Oil Price Extra Tables" sheetId="4" r:id="rId7"/>
    <sheet state="visible" name="Predictions" sheetId="5" r:id="rId8"/>
  </sheets>
  <definedNames>
    <definedName hidden="1" localSheetId="2" name="Z_3F812DB3_7F39_4F86_B0F6_21C327095D3B_.wvu.FilterData">'Oil Price'!$A$2:$H$142</definedName>
  </definedNames>
  <calcPr/>
  <customWorkbookViews>
    <customWorkbookView activeSheetId="0" maximized="1" windowHeight="0" windowWidth="0" guid="{3F812DB3-7F39-4F86-B0F6-21C327095D3B}" name="By Year"/>
  </customWorkbookViews>
</workbook>
</file>

<file path=xl/sharedStrings.xml><?xml version="1.0" encoding="utf-8"?>
<sst xmlns="http://schemas.openxmlformats.org/spreadsheetml/2006/main" count="323" uniqueCount="246">
  <si>
    <t>December 31, 2022</t>
  </si>
  <si>
    <t>March 31, 2023</t>
  </si>
  <si>
    <t>June 30, 2023</t>
  </si>
  <si>
    <t>September 30, 2023</t>
  </si>
  <si>
    <t>December 31, 2023</t>
  </si>
  <si>
    <t>March 31, 2024</t>
  </si>
  <si>
    <t>June 30, 2024</t>
  </si>
  <si>
    <t>September 30, 2024</t>
  </si>
  <si>
    <t>December 31, 2024</t>
  </si>
  <si>
    <t>March 31, 2025</t>
  </si>
  <si>
    <t>June 30, 2025</t>
  </si>
  <si>
    <t>Variables</t>
  </si>
  <si>
    <t>4Q 2022</t>
  </si>
  <si>
    <t>1Q 2023</t>
  </si>
  <si>
    <t>2Q 2023</t>
  </si>
  <si>
    <t>3Q 2023</t>
  </si>
  <si>
    <t>4Q 2023</t>
  </si>
  <si>
    <t>1Q 2024</t>
  </si>
  <si>
    <t>2Q 2024</t>
  </si>
  <si>
    <t>3Q 2024</t>
  </si>
  <si>
    <t>4Q 2024</t>
  </si>
  <si>
    <t>1Q 2025</t>
  </si>
  <si>
    <t>2Q 2025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</si>
  <si>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</si>
  <si>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</si>
  <si>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</si>
  <si>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</si>
  <si>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</si>
  <si>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</si>
  <si>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</si>
  <si>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</si>
  <si>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</si>
  <si>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</si>
  <si>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</si>
  <si>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Market Cap</t>
  </si>
  <si>
    <t>Nº Shares</t>
  </si>
  <si>
    <t>Debt</t>
  </si>
  <si>
    <t>Cash</t>
  </si>
  <si>
    <t>Receivables</t>
  </si>
  <si>
    <t>Current Assets</t>
  </si>
  <si>
    <t>Total Assets</t>
  </si>
  <si>
    <t>Current Liabilities</t>
  </si>
  <si>
    <t>Total Liabilities</t>
  </si>
  <si>
    <t>Equity</t>
  </si>
  <si>
    <t>EV</t>
  </si>
  <si>
    <t>NCAV</t>
  </si>
  <si>
    <t>Market Price</t>
  </si>
  <si>
    <t>NCAV Price</t>
  </si>
  <si>
    <t>NCAV ratio</t>
  </si>
  <si>
    <t>Cash Burn Out q/q</t>
  </si>
  <si>
    <t>Book value / Per Share</t>
  </si>
  <si>
    <t>P/B ratio</t>
  </si>
  <si>
    <t>(simple anualization)</t>
  </si>
  <si>
    <t xml:space="preserve">ROA </t>
  </si>
  <si>
    <t>ROE</t>
  </si>
  <si>
    <t>ROIC</t>
  </si>
  <si>
    <t>P/E ratio</t>
  </si>
  <si>
    <t>Current Ratio</t>
  </si>
  <si>
    <t>Quick Ratio</t>
  </si>
  <si>
    <t>Debt / Equity</t>
  </si>
  <si>
    <t>NOTES</t>
  </si>
  <si>
    <t>VIPER ENERGY INC</t>
  </si>
  <si>
    <t>https://www.viperenergy.com/</t>
  </si>
  <si>
    <t xml:space="preserve">Viper’s mineral and royalty interests provide significant exposure to perpetual ownership of high margin, largely undeveloped assets with zero capital requirements to support its sustainable free cash flow. Viper is a publicly traded Delaware corporation focused on owning and acquiring mineral and royalty interests, primarily in the Permian Basin.
</t>
  </si>
  <si>
    <t>Subsidiary of:</t>
  </si>
  <si>
    <t>Diamondback Energy, Inc</t>
  </si>
  <si>
    <t>https://ir.diamondbackenergy.com/</t>
  </si>
  <si>
    <t>BY QUARTERS</t>
  </si>
  <si>
    <t>BY YEARS</t>
  </si>
  <si>
    <t>WTI Oil Price</t>
  </si>
  <si>
    <t>Oil</t>
  </si>
  <si>
    <t>Natural Gas</t>
  </si>
  <si>
    <t xml:space="preserve">Natural gas liquids </t>
  </si>
  <si>
    <t>REVENUE</t>
  </si>
  <si>
    <t>Other</t>
  </si>
  <si>
    <t>Average rate of change</t>
  </si>
  <si>
    <t>CAGR</t>
  </si>
  <si>
    <t>Revenue</t>
  </si>
  <si>
    <t>COGS</t>
  </si>
  <si>
    <t>Gross Profit</t>
  </si>
  <si>
    <t>Production and ad valorem taxes</t>
  </si>
  <si>
    <t>Depletion</t>
  </si>
  <si>
    <t>General and administrative expenses—related party</t>
  </si>
  <si>
    <t>General and administrative expenses</t>
  </si>
  <si>
    <t>OPERATING EXPENSES</t>
  </si>
  <si>
    <t>Other expenses</t>
  </si>
  <si>
    <t>Operating Expenses</t>
  </si>
  <si>
    <t>Operating Income</t>
  </si>
  <si>
    <t>Interest expense, net</t>
  </si>
  <si>
    <t>Gain (loss) on derivative instruments, net</t>
  </si>
  <si>
    <t xml:space="preserve">Gain (loss) on revaluation of investment </t>
  </si>
  <si>
    <t>PRETAX EXPENSES</t>
  </si>
  <si>
    <t>Other income, net</t>
  </si>
  <si>
    <t>Pretax Expenses</t>
  </si>
  <si>
    <t>Pretax Income</t>
  </si>
  <si>
    <t>NET INCOME</t>
  </si>
  <si>
    <t>Taxes</t>
  </si>
  <si>
    <t>Net Income</t>
  </si>
  <si>
    <t>Net income (loss) attributable to non-controlling interest</t>
  </si>
  <si>
    <t>Net income (loss) attributable to Viper Energy, Inc.</t>
  </si>
  <si>
    <t>EPS</t>
  </si>
  <si>
    <t>Shares</t>
  </si>
  <si>
    <t>Revenue q/q Y/Y</t>
  </si>
  <si>
    <t>Gross Margin</t>
  </si>
  <si>
    <t>GAR (Geometric Average Return)</t>
  </si>
  <si>
    <t>Operating Margin</t>
  </si>
  <si>
    <t>Profit Margin</t>
  </si>
  <si>
    <t>Net Income q/q Y/Y</t>
  </si>
  <si>
    <t>Interest coverage ratio</t>
  </si>
  <si>
    <t>***CASH FLOW QUARTERS NOT VERY REALIABLE***</t>
  </si>
  <si>
    <t>Net income</t>
  </si>
  <si>
    <t>Provision for (benefit from) deferred income taxes</t>
  </si>
  <si>
    <t>(Gain) loss on derivative instruments, net</t>
  </si>
  <si>
    <t>Net cash receipts (payments) on derivatives</t>
  </si>
  <si>
    <t>Royalty income receivable</t>
  </si>
  <si>
    <t>Royalty income receivable—related party</t>
  </si>
  <si>
    <t>Accounts payable and accrued liabilities</t>
  </si>
  <si>
    <t>Accounts payable—related party</t>
  </si>
  <si>
    <t>Income taxes payable</t>
  </si>
  <si>
    <t>CFO</t>
  </si>
  <si>
    <t>Acquisitions of oil and natural gas interests—related party</t>
  </si>
  <si>
    <t>Acquisitions of oil and natural gas interests</t>
  </si>
  <si>
    <t>Proceeds from sale of oil and natural gas interests</t>
  </si>
  <si>
    <t>CFI</t>
  </si>
  <si>
    <t>Proceeds from borrowings under credit facility</t>
  </si>
  <si>
    <t>Repayment on credit facility</t>
  </si>
  <si>
    <t>Proceeds from Notes</t>
  </si>
  <si>
    <t>Repayment of Notes</t>
  </si>
  <si>
    <t xml:space="preserve">Debt issuance costs </t>
  </si>
  <si>
    <t>Net proceeds from public offering</t>
  </si>
  <si>
    <t>Proceeds from public offering to Diamondback</t>
  </si>
  <si>
    <t>Repurchases under share buyback program</t>
  </si>
  <si>
    <t>Dividends to stockholders</t>
  </si>
  <si>
    <t>Dividends to Diamondback</t>
  </si>
  <si>
    <t>Dividends to other non-controlling interest</t>
  </si>
  <si>
    <t>CFF</t>
  </si>
  <si>
    <t>Net change in cash and cash equivalents</t>
  </si>
  <si>
    <t>Cash and cash equivalents at beginning of period</t>
  </si>
  <si>
    <t>Cash and cash equivalents at end of period</t>
  </si>
  <si>
    <t>CAPEX</t>
  </si>
  <si>
    <t>FCF</t>
  </si>
  <si>
    <t>STD</t>
  </si>
  <si>
    <t>FCF Growth q/q Y/Y</t>
  </si>
  <si>
    <t>FCF Yield</t>
  </si>
  <si>
    <t>Avg 10-Year US Treasury Yield</t>
  </si>
  <si>
    <t>CFO Growth q/q Y/Y</t>
  </si>
  <si>
    <t>CFO Yield Growth q/q Y/Y</t>
  </si>
  <si>
    <t>CFO Yield</t>
  </si>
  <si>
    <t>WTI Oil Price Growth q/q Y/Y</t>
  </si>
  <si>
    <t>https://fred.stlouisfed.org/graph/?g=1MsE8</t>
  </si>
  <si>
    <t>observation_date</t>
  </si>
  <si>
    <t>Year</t>
  </si>
  <si>
    <t>Month</t>
  </si>
  <si>
    <t>Quarter</t>
  </si>
  <si>
    <t>Q&amp;Y</t>
  </si>
  <si>
    <t>WTISPLC</t>
  </si>
  <si>
    <t>q/q price</t>
  </si>
  <si>
    <t>y/y price</t>
  </si>
  <si>
    <t>WTI y/y price</t>
  </si>
  <si>
    <t>Total Revenue</t>
  </si>
  <si>
    <t>WTI q/q price</t>
  </si>
  <si>
    <t>1Q 2014</t>
  </si>
  <si>
    <t>2Q 2014</t>
  </si>
  <si>
    <t>3Q 2014</t>
  </si>
  <si>
    <t>4Q 2014</t>
  </si>
  <si>
    <t>1Q 2015</t>
  </si>
  <si>
    <t>2Q 2015</t>
  </si>
  <si>
    <t>3Q 2015</t>
  </si>
  <si>
    <t>4Q 2015</t>
  </si>
  <si>
    <t>1Q 2016</t>
  </si>
  <si>
    <t>2Q 2016</t>
  </si>
  <si>
    <t>3Q 2016</t>
  </si>
  <si>
    <t>4Q 2016</t>
  </si>
  <si>
    <t>1Q 2017</t>
  </si>
  <si>
    <t>2Q 2017</t>
  </si>
  <si>
    <t>3Q 2017</t>
  </si>
  <si>
    <t>4Q 2017</t>
  </si>
  <si>
    <t>1Q 2018</t>
  </si>
  <si>
    <t>2Q 2018</t>
  </si>
  <si>
    <t>3Q 2018</t>
  </si>
  <si>
    <t>4Q 2018</t>
  </si>
  <si>
    <t>1Q 2019</t>
  </si>
  <si>
    <t>2Q 2019</t>
  </si>
  <si>
    <t>3Q 2019</t>
  </si>
  <si>
    <t>4Q 2019</t>
  </si>
  <si>
    <t>1Q 2020</t>
  </si>
  <si>
    <t>2Q 2020</t>
  </si>
  <si>
    <t>3Q 2020</t>
  </si>
  <si>
    <t>4Q 2020</t>
  </si>
  <si>
    <t>1Q 2021</t>
  </si>
  <si>
    <t>2Q 2021</t>
  </si>
  <si>
    <t>3Q 2021</t>
  </si>
  <si>
    <t>4Q 2021</t>
  </si>
  <si>
    <t>1Q 2022</t>
  </si>
  <si>
    <t>2Q 2022</t>
  </si>
  <si>
    <t>3Q 2022</t>
  </si>
  <si>
    <t>3Q 2025</t>
  </si>
  <si>
    <t>Expected Growth</t>
  </si>
  <si>
    <t>CFO based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</si>
  <si>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</si>
  <si>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</si>
  <si>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</si>
  <si>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</si>
  <si>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</si>
  <si>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</si>
  <si>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</si>
  <si>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</si>
  <si>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</si>
  <si>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</si>
  <si>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</si>
  <si>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Bearish</t>
  </si>
  <si>
    <t>Mildly Bearish</t>
  </si>
  <si>
    <t>Average</t>
  </si>
  <si>
    <t>Mildly Bullish</t>
  </si>
  <si>
    <t>Bulllish</t>
  </si>
  <si>
    <t>Discount rate</t>
  </si>
  <si>
    <t>Insights:</t>
  </si>
  <si>
    <t>- Due to the royalty structure of Viper, we will use CFO as measure of valuation, FCF is way to lumpy due to high investments in royalty rights and so forth.</t>
  </si>
  <si>
    <t>N Shares</t>
  </si>
  <si>
    <t>- Strong financials due to be a royalty company, strong current and quick ratios, moderately low debt.</t>
  </si>
  <si>
    <t>LTGR</t>
  </si>
  <si>
    <t>- Strong dividend record (Around 6% yield).</t>
  </si>
  <si>
    <t>N years</t>
  </si>
  <si>
    <t>- Recent merge with Sitio Royalties it might put Viper in the scope of mutual funds because of its size (now large cap).</t>
  </si>
  <si>
    <t>- Very strong company to face a reccesion, as the first impact will fall on the extracting companies.</t>
  </si>
  <si>
    <t>PV Terminal Value</t>
  </si>
  <si>
    <t>MS &lt; -30%</t>
  </si>
  <si>
    <t xml:space="preserve"> </t>
  </si>
  <si>
    <t>-30% &lt; MS &lt; +30%</t>
  </si>
  <si>
    <t>MS &gt; +30%</t>
  </si>
  <si>
    <t>Strategy:</t>
  </si>
  <si>
    <t>SHORT</t>
  </si>
  <si>
    <t>1 of 9</t>
  </si>
  <si>
    <t>UNDECISIVE</t>
  </si>
  <si>
    <t>2 of 9</t>
  </si>
  <si>
    <t>LONG</t>
  </si>
  <si>
    <t>6 of 9</t>
  </si>
  <si>
    <t>Problems:</t>
  </si>
  <si>
    <t>- In the long run, the overgrowing adoption of electrical vehicules might impact the demand for oil severely damaging growth prospects for the company.</t>
  </si>
  <si>
    <t>- Crashing oil prices as a result of a new crisis like 2008.</t>
  </si>
  <si>
    <t>NPV</t>
  </si>
  <si>
    <t>NET DEBT</t>
  </si>
  <si>
    <t>IV</t>
  </si>
  <si>
    <t>Current Stock price</t>
  </si>
  <si>
    <t>Margin of Safety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</si>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</sst>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$]#,##0.00"/>
    <numFmt numFmtId="165" formatCode="[$$]#,##0"/>
    <numFmt numFmtId="166" formatCode="#,##0.0000"/>
    <numFmt numFmtId="167" formatCode="yyyy-mm-dd"/>
    <numFmt numFmtId="168" formatCode="#,##0.000"/>
    <numFmt numFmtId="169" formatCode="#,##0.00\ [$€-1]"/>
    <numFmt numFmtId="170" formatCode="0.000"/>
  </numFmts>
  <fonts count="1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i/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0000FF"/>
      <name val="Arial"/>
    </font>
    <font/>
    <font>
      <b/>
      <i/>
      <color rgb="FFB45F06"/>
      <name val="Arial"/>
    </font>
    <font>
      <b/>
      <i/>
      <color theme="1"/>
      <name val="Arial"/>
    </font>
    <font>
      <b/>
      <color rgb="FFFFFFFF"/>
      <name val="Arial"/>
      <scheme val="minor"/>
    </font>
    <font>
      <b/>
      <color theme="1"/>
      <name val="Arial"/>
      <scheme val="minor"/>
    </font>
    <font>
      <i/>
      <color rgb="FFBF9000"/>
      <name val="Arial"/>
    </font>
    <font>
      <color rgb="FFBF9000"/>
      <name val="Arial"/>
    </font>
    <font>
      <i/>
      <color rgb="FFB45F06"/>
      <name val="Arial"/>
      <scheme val="minor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34A853"/>
        <bgColor rgb="FF34A85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B7E1CD"/>
        <bgColor rgb="FFB7E1CD"/>
      </patternFill>
    </fill>
  </fills>
  <borders count="5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bottom style="double">
        <color rgb="FF000000"/>
      </bottom>
    </border>
    <border>
      <top style="double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49" xfId="0" applyAlignment="1" applyBorder="1" applyFont="1" applyNumberForma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3" xfId="0" applyAlignment="1" applyBorder="1" applyFont="1" applyNumberFormat="1">
      <alignment readingOrder="0" shrinkToFit="0" vertical="center" wrapText="0"/>
    </xf>
    <xf borderId="6" fillId="0" fontId="2" numFmtId="3" xfId="0" applyAlignment="1" applyBorder="1" applyFont="1" applyNumberFormat="1">
      <alignment readingOrder="0" shrinkToFit="0" vertical="center" wrapText="0"/>
    </xf>
    <xf borderId="4" fillId="0" fontId="2" numFmtId="3" xfId="0" applyAlignment="1" applyBorder="1" applyFont="1" applyNumberFormat="1">
      <alignment readingOrder="0" shrinkToFit="0" vertical="center" wrapText="0"/>
    </xf>
    <xf borderId="5" fillId="0" fontId="2" numFmtId="3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3" xfId="0" applyAlignment="1" applyBorder="1" applyFont="1" applyNumberFormat="1">
      <alignment readingOrder="0" shrinkToFit="0" vertical="center" wrapText="0"/>
    </xf>
    <xf borderId="9" fillId="0" fontId="2" numFmtId="3" xfId="0" applyAlignment="1" applyBorder="1" applyFont="1" applyNumberFormat="1">
      <alignment readingOrder="0" shrinkToFit="0" vertical="center" wrapText="0"/>
    </xf>
    <xf borderId="7" fillId="0" fontId="2" numFmtId="3" xfId="0" applyAlignment="1" applyBorder="1" applyFont="1" applyNumberFormat="1">
      <alignment readingOrder="0" shrinkToFit="0" vertical="center" wrapText="0"/>
    </xf>
    <xf borderId="8" fillId="0" fontId="2" numFmtId="3" xfId="0" applyAlignment="1" applyBorder="1" applyFont="1" applyNumberFormat="1">
      <alignment readingOrder="0" shrinkToFit="0" vertical="center" wrapText="0"/>
    </xf>
    <xf borderId="6" fillId="0" fontId="2" numFmtId="3" xfId="0" applyAlignment="1" applyBorder="1" applyFont="1" applyNumberFormat="1">
      <alignment readingOrder="0" shrinkToFit="0" vertical="center" wrapText="0"/>
    </xf>
    <xf borderId="5" fillId="0" fontId="2" numFmtId="3" xfId="0" applyAlignment="1" applyBorder="1" applyFont="1" applyNumberFormat="1">
      <alignment shrinkToFit="0" vertical="center" wrapText="0"/>
    </xf>
    <xf borderId="5" fillId="0" fontId="2" numFmtId="3" xfId="0" applyAlignment="1" applyBorder="1" applyFont="1" applyNumberFormat="1">
      <alignment shrinkToFit="0" vertical="center" wrapText="0"/>
    </xf>
    <xf borderId="6" fillId="0" fontId="2" numFmtId="3" xfId="0" applyAlignment="1" applyBorder="1" applyFont="1" applyNumberForma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3" xfId="0" applyAlignment="1" applyBorder="1" applyFont="1" applyNumberFormat="1">
      <alignment readingOrder="0" shrinkToFit="0" vertical="center" wrapText="0"/>
    </xf>
    <xf borderId="12" fillId="0" fontId="2" numFmtId="3" xfId="0" applyAlignment="1" applyBorder="1" applyFont="1" applyNumberFormat="1">
      <alignment readingOrder="0" shrinkToFit="0" vertical="center" wrapText="0"/>
    </xf>
    <xf borderId="10" fillId="0" fontId="2" numFmtId="3" xfId="0" applyAlignment="1" applyBorder="1" applyFont="1" applyNumberFormat="1">
      <alignment readingOrder="0" shrinkToFit="0" vertical="center" wrapText="0"/>
    </xf>
    <xf borderId="11" fillId="0" fontId="2" numFmtId="3" xfId="0" applyAlignment="1" applyBorder="1" applyFont="1" applyNumberFormat="1">
      <alignment readingOrder="0" shrinkToFit="0" vertical="center" wrapText="0"/>
    </xf>
    <xf borderId="0" fillId="0" fontId="1" numFmtId="3" xfId="0" applyAlignment="1" applyFont="1" applyNumberFormat="1">
      <alignment vertical="bottom"/>
    </xf>
    <xf borderId="13" fillId="0" fontId="1" numFmtId="0" xfId="0" applyAlignment="1" applyBorder="1" applyFont="1">
      <alignment vertical="bottom"/>
    </xf>
    <xf borderId="13" fillId="0" fontId="1" numFmtId="3" xfId="0" applyAlignment="1" applyBorder="1" applyFont="1" applyNumberFormat="1">
      <alignment horizontal="right" vertical="bottom"/>
    </xf>
    <xf borderId="14" fillId="0" fontId="1" numFmtId="3" xfId="0" applyAlignment="1" applyBorder="1" applyFont="1" applyNumberFormat="1">
      <alignment horizontal="right" vertical="bottom"/>
    </xf>
    <xf borderId="15" fillId="0" fontId="1" numFmtId="3" xfId="0" applyAlignment="1" applyBorder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16" fillId="0" fontId="1" numFmtId="0" xfId="0" applyAlignment="1" applyBorder="1" applyFont="1">
      <alignment vertical="bottom"/>
    </xf>
    <xf borderId="16" fillId="0" fontId="1" numFmtId="3" xfId="0" applyAlignment="1" applyBorder="1" applyFont="1" applyNumberFormat="1">
      <alignment horizontal="right" vertical="bottom"/>
    </xf>
    <xf borderId="17" fillId="0" fontId="1" numFmtId="3" xfId="0" applyAlignment="1" applyBorder="1" applyFont="1" applyNumberFormat="1">
      <alignment horizontal="right" vertical="bottom"/>
    </xf>
    <xf borderId="16" fillId="0" fontId="1" numFmtId="164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17" fillId="0" fontId="1" numFmtId="164" xfId="0" applyAlignment="1" applyBorder="1" applyFont="1" applyNumberFormat="1">
      <alignment horizontal="right" vertical="bottom"/>
    </xf>
    <xf borderId="16" fillId="0" fontId="1" numFmtId="10" xfId="0" applyAlignment="1" applyBorder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17" fillId="0" fontId="1" numFmtId="10" xfId="0" applyAlignment="1" applyBorder="1" applyFont="1" applyNumberFormat="1">
      <alignment horizontal="right" vertical="bottom"/>
    </xf>
    <xf borderId="16" fillId="0" fontId="1" numFmtId="10" xfId="0" applyAlignment="1" applyBorder="1" applyFont="1" applyNumberFormat="1">
      <alignment vertical="bottom"/>
    </xf>
    <xf borderId="13" fillId="0" fontId="1" numFmtId="164" xfId="0" applyAlignment="1" applyBorder="1" applyFont="1" applyNumberFormat="1">
      <alignment readingOrder="0" vertical="bottom"/>
    </xf>
    <xf borderId="13" fillId="0" fontId="1" numFmtId="164" xfId="0" applyAlignment="1" applyBorder="1" applyFont="1" applyNumberFormat="1">
      <alignment vertical="bottom"/>
    </xf>
    <xf borderId="14" fillId="0" fontId="1" numFmtId="164" xfId="0" applyAlignment="1" applyBorder="1" applyFont="1" applyNumberFormat="1">
      <alignment vertical="bottom"/>
    </xf>
    <xf borderId="15" fillId="0" fontId="1" numFmtId="164" xfId="0" applyAlignment="1" applyBorder="1" applyFont="1" applyNumberFormat="1">
      <alignment vertical="bottom"/>
    </xf>
    <xf borderId="13" fillId="0" fontId="2" numFmtId="164" xfId="0" applyBorder="1" applyFont="1" applyNumberFormat="1"/>
    <xf borderId="14" fillId="0" fontId="2" numFmtId="164" xfId="0" applyBorder="1" applyFont="1" applyNumberFormat="1"/>
    <xf borderId="15" fillId="0" fontId="2" numFmtId="164" xfId="0" applyBorder="1" applyFont="1" applyNumberFormat="1"/>
    <xf borderId="18" fillId="0" fontId="1" numFmtId="164" xfId="0" applyAlignment="1" applyBorder="1" applyFont="1" applyNumberFormat="1">
      <alignment readingOrder="0" vertical="bottom"/>
    </xf>
    <xf borderId="18" fillId="0" fontId="1" numFmtId="4" xfId="0" applyAlignment="1" applyBorder="1" applyFont="1" applyNumberFormat="1">
      <alignment vertical="bottom"/>
    </xf>
    <xf borderId="19" fillId="0" fontId="1" numFmtId="4" xfId="0" applyAlignment="1" applyBorder="1" applyFont="1" applyNumberFormat="1">
      <alignment vertical="bottom"/>
    </xf>
    <xf borderId="20" fillId="0" fontId="1" numFmtId="4" xfId="0" applyAlignment="1" applyBorder="1" applyFont="1" applyNumberFormat="1">
      <alignment vertical="bottom"/>
    </xf>
    <xf borderId="18" fillId="0" fontId="2" numFmtId="4" xfId="0" applyBorder="1" applyFont="1" applyNumberFormat="1"/>
    <xf borderId="19" fillId="0" fontId="2" numFmtId="4" xfId="0" applyBorder="1" applyFont="1" applyNumberFormat="1"/>
    <xf borderId="20" fillId="0" fontId="2" numFmtId="4" xfId="0" applyBorder="1" applyFont="1" applyNumberFormat="1"/>
    <xf borderId="0" fillId="0" fontId="3" numFmtId="0" xfId="0" applyAlignment="1" applyFont="1">
      <alignment vertical="bottom"/>
    </xf>
    <xf borderId="14" fillId="0" fontId="1" numFmtId="10" xfId="0" applyAlignment="1" applyBorder="1" applyFont="1" applyNumberFormat="1">
      <alignment horizontal="right" vertical="bottom"/>
    </xf>
    <xf borderId="15" fillId="0" fontId="1" numFmtId="10" xfId="0" applyAlignment="1" applyBorder="1" applyFont="1" applyNumberFormat="1">
      <alignment horizontal="right" vertical="bottom"/>
    </xf>
    <xf borderId="13" fillId="0" fontId="1" numFmtId="10" xfId="0" applyAlignment="1" applyBorder="1" applyFont="1" applyNumberFormat="1">
      <alignment horizontal="right" vertical="bottom"/>
    </xf>
    <xf borderId="18" fillId="0" fontId="1" numFmtId="0" xfId="0" applyAlignment="1" applyBorder="1" applyFont="1">
      <alignment vertical="bottom"/>
    </xf>
    <xf borderId="18" fillId="0" fontId="1" numFmtId="10" xfId="0" applyAlignment="1" applyBorder="1" applyFont="1" applyNumberFormat="1">
      <alignment horizontal="right" vertical="bottom"/>
    </xf>
    <xf borderId="19" fillId="0" fontId="1" numFmtId="10" xfId="0" applyAlignment="1" applyBorder="1" applyFont="1" applyNumberFormat="1">
      <alignment horizontal="right" vertical="bottom"/>
    </xf>
    <xf borderId="20" fillId="0" fontId="1" numFmtId="10" xfId="0" applyAlignment="1" applyBorder="1" applyFont="1" applyNumberFormat="1">
      <alignment horizontal="right" vertical="bottom"/>
    </xf>
    <xf borderId="21" fillId="0" fontId="1" numFmtId="4" xfId="0" applyAlignment="1" applyBorder="1" applyFont="1" applyNumberFormat="1">
      <alignment readingOrder="0" vertical="bottom"/>
    </xf>
    <xf borderId="21" fillId="0" fontId="1" numFmtId="4" xfId="0" applyAlignment="1" applyBorder="1" applyFont="1" applyNumberFormat="1">
      <alignment vertical="bottom"/>
    </xf>
    <xf borderId="22" fillId="0" fontId="1" numFmtId="4" xfId="0" applyAlignment="1" applyBorder="1" applyFont="1" applyNumberFormat="1">
      <alignment vertical="bottom"/>
    </xf>
    <xf borderId="23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vertical="bottom"/>
    </xf>
    <xf borderId="21" fillId="0" fontId="2" numFmtId="4" xfId="0" applyBorder="1" applyFont="1" applyNumberFormat="1"/>
    <xf borderId="22" fillId="0" fontId="2" numFmtId="4" xfId="0" applyBorder="1" applyFont="1" applyNumberFormat="1"/>
    <xf borderId="23" fillId="0" fontId="2" numFmtId="4" xfId="0" applyBorder="1" applyFont="1" applyNumberFormat="1"/>
    <xf borderId="0" fillId="0" fontId="2" numFmtId="4" xfId="0" applyFont="1" applyNumberFormat="1"/>
    <xf borderId="0" fillId="0" fontId="1" numFmtId="2" xfId="0" applyAlignment="1" applyFont="1" applyNumberFormat="1">
      <alignment horizontal="right" vertical="bottom"/>
    </xf>
    <xf borderId="14" fillId="0" fontId="1" numFmtId="2" xfId="0" applyAlignment="1" applyBorder="1" applyFont="1" applyNumberFormat="1">
      <alignment horizontal="right" vertical="bottom"/>
    </xf>
    <xf borderId="15" fillId="0" fontId="1" numFmtId="2" xfId="0" applyAlignment="1" applyBorder="1" applyFont="1" applyNumberFormat="1">
      <alignment horizontal="right" vertical="bottom"/>
    </xf>
    <xf borderId="13" fillId="0" fontId="1" numFmtId="2" xfId="0" applyAlignment="1" applyBorder="1" applyFont="1" applyNumberFormat="1">
      <alignment horizontal="right" vertical="bottom"/>
    </xf>
    <xf borderId="17" fillId="0" fontId="1" numFmtId="2" xfId="0" applyAlignment="1" applyBorder="1" applyFont="1" applyNumberFormat="1">
      <alignment horizontal="right" vertical="bottom"/>
    </xf>
    <xf borderId="16" fillId="0" fontId="1" numFmtId="2" xfId="0" applyAlignment="1" applyBorder="1" applyFont="1" applyNumberFormat="1">
      <alignment horizontal="right" vertical="bottom"/>
    </xf>
    <xf borderId="19" fillId="0" fontId="1" numFmtId="2" xfId="0" applyAlignment="1" applyBorder="1" applyFont="1" applyNumberFormat="1">
      <alignment horizontal="right" vertical="bottom"/>
    </xf>
    <xf borderId="20" fillId="0" fontId="1" numFmtId="2" xfId="0" applyAlignment="1" applyBorder="1" applyFont="1" applyNumberFormat="1">
      <alignment horizontal="right" vertical="bottom"/>
    </xf>
    <xf borderId="18" fillId="0" fontId="1" numFmtId="2" xfId="0" applyAlignment="1" applyBorder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4" numFmtId="0" xfId="0" applyAlignment="1" applyFont="1">
      <alignment horizontal="center" vertical="bottom"/>
    </xf>
    <xf borderId="19" fillId="2" fontId="4" numFmtId="0" xfId="0" applyAlignment="1" applyBorder="1" applyFont="1">
      <alignment horizontal="center" vertical="bottom"/>
    </xf>
    <xf borderId="19" fillId="0" fontId="7" numFmtId="0" xfId="0" applyBorder="1" applyFont="1"/>
    <xf borderId="22" fillId="2" fontId="4" numFmtId="0" xfId="0" applyAlignment="1" applyBorder="1" applyFont="1">
      <alignment readingOrder="0" vertical="bottom"/>
    </xf>
    <xf borderId="19" fillId="2" fontId="4" numFmtId="0" xfId="0" applyAlignment="1" applyBorder="1" applyFont="1">
      <alignment readingOrder="0" vertical="bottom"/>
    </xf>
    <xf borderId="19" fillId="2" fontId="4" numFmtId="0" xfId="0" applyAlignment="1" applyBorder="1" applyFont="1">
      <alignment vertical="bottom"/>
    </xf>
    <xf borderId="19" fillId="2" fontId="4" numFmtId="0" xfId="0" applyAlignment="1" applyBorder="1" applyFont="1">
      <alignment horizontal="right" readingOrder="0" vertical="bottom"/>
    </xf>
    <xf borderId="19" fillId="2" fontId="4" numFmtId="0" xfId="0" applyAlignment="1" applyBorder="1" applyFont="1">
      <alignment horizontal="right" vertical="bottom"/>
    </xf>
    <xf borderId="21" fillId="3" fontId="8" numFmtId="164" xfId="0" applyAlignment="1" applyBorder="1" applyFill="1" applyFont="1" applyNumberFormat="1">
      <alignment readingOrder="0" vertical="bottom"/>
    </xf>
    <xf borderId="22" fillId="3" fontId="8" numFmtId="164" xfId="0" applyAlignment="1" applyBorder="1" applyFont="1" applyNumberFormat="1">
      <alignment horizontal="right" readingOrder="0" vertical="bottom"/>
    </xf>
    <xf borderId="0" fillId="3" fontId="8" numFmtId="164" xfId="0" applyAlignment="1" applyFont="1" applyNumberFormat="1">
      <alignment vertical="bottom"/>
    </xf>
    <xf borderId="23" fillId="0" fontId="9" numFmtId="0" xfId="0" applyAlignment="1" applyBorder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3" xfId="0" applyAlignment="1" applyFont="1" applyNumberFormat="1">
      <alignment horizontal="right" readingOrder="0" vertical="bottom"/>
    </xf>
    <xf borderId="0" fillId="3" fontId="1" numFmtId="3" xfId="0" applyAlignment="1" applyFont="1" applyNumberFormat="1">
      <alignment horizontal="right" vertical="bottom"/>
    </xf>
    <xf borderId="0" fillId="3" fontId="1" numFmtId="0" xfId="0" applyAlignment="1" applyFont="1">
      <alignment vertical="bottom"/>
    </xf>
    <xf borderId="0" fillId="0" fontId="10" numFmtId="0" xfId="0" applyAlignment="1" applyFont="1">
      <alignment horizontal="center" readingOrder="0"/>
    </xf>
    <xf borderId="24" fillId="4" fontId="10" numFmtId="0" xfId="0" applyAlignment="1" applyBorder="1" applyFill="1" applyFont="1">
      <alignment horizontal="center" readingOrder="0"/>
    </xf>
    <xf borderId="25" fillId="0" fontId="7" numFmtId="0" xfId="0" applyBorder="1" applyFont="1"/>
    <xf borderId="0" fillId="0" fontId="11" numFmtId="0" xfId="0" applyAlignment="1" applyFont="1">
      <alignment readingOrder="0"/>
    </xf>
    <xf borderId="26" fillId="0" fontId="11" numFmtId="0" xfId="0" applyAlignment="1" applyBorder="1" applyFont="1">
      <alignment readingOrder="0"/>
    </xf>
    <xf borderId="27" fillId="0" fontId="11" numFmtId="0" xfId="0" applyAlignment="1" applyBorder="1" applyFont="1">
      <alignment readingOrder="0"/>
    </xf>
    <xf borderId="21" fillId="3" fontId="4" numFmtId="0" xfId="0" applyAlignment="1" applyBorder="1" applyFont="1">
      <alignment vertical="bottom"/>
    </xf>
    <xf borderId="22" fillId="3" fontId="4" numFmtId="3" xfId="0" applyAlignment="1" applyBorder="1" applyFont="1" applyNumberFormat="1">
      <alignment horizontal="right" vertical="bottom"/>
    </xf>
    <xf borderId="22" fillId="3" fontId="4" numFmtId="3" xfId="0" applyAlignment="1" applyBorder="1" applyFont="1" applyNumberFormat="1">
      <alignment horizontal="right" readingOrder="0" vertical="bottom"/>
    </xf>
    <xf borderId="0" fillId="0" fontId="2" numFmtId="165" xfId="0" applyFont="1" applyNumberFormat="1"/>
    <xf borderId="28" fillId="0" fontId="2" numFmtId="165" xfId="0" applyBorder="1" applyFont="1" applyNumberFormat="1"/>
    <xf borderId="29" fillId="0" fontId="2" numFmtId="10" xfId="0" applyBorder="1" applyFont="1" applyNumberFormat="1"/>
    <xf borderId="0" fillId="3" fontId="1" numFmtId="3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horizontal="right" readingOrder="0" vertical="bottom"/>
    </xf>
    <xf borderId="24" fillId="5" fontId="10" numFmtId="0" xfId="0" applyAlignment="1" applyBorder="1" applyFill="1" applyFont="1">
      <alignment horizontal="center" readingOrder="0"/>
    </xf>
    <xf borderId="30" fillId="0" fontId="11" numFmtId="0" xfId="0" applyAlignment="1" applyBorder="1" applyFont="1">
      <alignment readingOrder="0"/>
    </xf>
    <xf borderId="31" fillId="0" fontId="11" numFmtId="0" xfId="0" applyAlignment="1" applyBorder="1" applyFont="1">
      <alignment readingOrder="0"/>
    </xf>
    <xf borderId="14" fillId="3" fontId="1" numFmtId="0" xfId="0" applyAlignment="1" applyBorder="1" applyFont="1">
      <alignment vertical="bottom"/>
    </xf>
    <xf borderId="14" fillId="3" fontId="1" numFmtId="3" xfId="0" applyAlignment="1" applyBorder="1" applyFont="1" applyNumberFormat="1">
      <alignment horizontal="right" vertical="bottom"/>
    </xf>
    <xf borderId="19" fillId="3" fontId="4" numFmtId="0" xfId="0" applyAlignment="1" applyBorder="1" applyFont="1">
      <alignment vertical="bottom"/>
    </xf>
    <xf borderId="19" fillId="3" fontId="4" numFmtId="3" xfId="0" applyAlignment="1" applyBorder="1" applyFont="1" applyNumberFormat="1">
      <alignment horizontal="right" vertical="bottom"/>
    </xf>
    <xf borderId="14" fillId="3" fontId="1" numFmtId="0" xfId="0" applyAlignment="1" applyBorder="1" applyFont="1">
      <alignment readingOrder="0" vertical="bottom"/>
    </xf>
    <xf borderId="14" fillId="3" fontId="1" numFmtId="3" xfId="0" applyAlignment="1" applyBorder="1" applyFont="1" applyNumberFormat="1">
      <alignment horizontal="right" readingOrder="0" vertical="bottom"/>
    </xf>
    <xf borderId="0" fillId="3" fontId="1" numFmtId="3" xfId="0" applyAlignment="1" applyFont="1" applyNumberFormat="1">
      <alignment horizontal="left" readingOrder="0" vertical="bottom"/>
    </xf>
    <xf borderId="0" fillId="0" fontId="2" numFmtId="3" xfId="0" applyAlignment="1" applyFont="1" applyNumberFormat="1">
      <alignment horizontal="right"/>
    </xf>
    <xf borderId="22" fillId="3" fontId="4" numFmtId="3" xfId="0" applyAlignment="1" applyBorder="1" applyFont="1" applyNumberFormat="1">
      <alignment readingOrder="0" vertical="bottom"/>
    </xf>
    <xf borderId="0" fillId="3" fontId="4" numFmtId="3" xfId="0" applyAlignment="1" applyFont="1" applyNumberFormat="1">
      <alignment vertical="bottom"/>
    </xf>
    <xf borderId="0" fillId="0" fontId="4" numFmtId="3" xfId="0" applyAlignment="1" applyFont="1" applyNumberFormat="1">
      <alignment vertical="bottom"/>
    </xf>
    <xf borderId="0" fillId="0" fontId="11" numFmtId="3" xfId="0" applyFont="1" applyNumberFormat="1"/>
    <xf borderId="0" fillId="3" fontId="1" numFmtId="4" xfId="0" applyAlignment="1" applyFont="1" applyNumberFormat="1">
      <alignment horizontal="center" vertical="bottom"/>
    </xf>
    <xf borderId="0" fillId="3" fontId="1" numFmtId="4" xfId="0" applyAlignment="1" applyFont="1" applyNumberFormat="1">
      <alignment horizontal="right" vertical="bottom"/>
    </xf>
    <xf borderId="0" fillId="3" fontId="1" numFmtId="4" xfId="0" applyAlignment="1" applyFont="1" applyNumberFormat="1">
      <alignment horizontal="right" readingOrder="0" vertical="bottom"/>
    </xf>
    <xf borderId="0" fillId="3" fontId="1" numFmtId="10" xfId="0" applyAlignment="1" applyFont="1" applyNumberFormat="1">
      <alignment vertical="bottom"/>
    </xf>
    <xf borderId="32" fillId="3" fontId="4" numFmtId="0" xfId="0" applyAlignment="1" applyBorder="1" applyFont="1">
      <alignment vertical="bottom"/>
    </xf>
    <xf borderId="33" fillId="3" fontId="4" numFmtId="10" xfId="0" applyAlignment="1" applyBorder="1" applyFont="1" applyNumberFormat="1">
      <alignment horizontal="center" vertical="bottom"/>
    </xf>
    <xf borderId="33" fillId="3" fontId="4" numFmtId="10" xfId="0" applyAlignment="1" applyBorder="1" applyFont="1" applyNumberFormat="1">
      <alignment horizontal="right" vertical="bottom"/>
    </xf>
    <xf borderId="0" fillId="0" fontId="2" numFmtId="166" xfId="0" applyFont="1" applyNumberFormat="1"/>
    <xf borderId="34" fillId="3" fontId="1" numFmtId="0" xfId="0" applyAlignment="1" applyBorder="1" applyFont="1">
      <alignment vertical="bottom"/>
    </xf>
    <xf borderId="0" fillId="3" fontId="1" numFmtId="10" xfId="0" applyAlignment="1" applyFont="1" applyNumberFormat="1">
      <alignment horizontal="right" vertical="bottom"/>
    </xf>
    <xf borderId="0" fillId="0" fontId="11" numFmtId="166" xfId="0" applyAlignment="1" applyFont="1" applyNumberFormat="1">
      <alignment readingOrder="0"/>
    </xf>
    <xf borderId="0" fillId="0" fontId="2" numFmtId="10" xfId="0" applyFont="1" applyNumberFormat="1"/>
    <xf borderId="0" fillId="0" fontId="2" numFmtId="0" xfId="0" applyFont="1"/>
    <xf borderId="35" fillId="3" fontId="1" numFmtId="0" xfId="0" applyAlignment="1" applyBorder="1" applyFont="1">
      <alignment vertical="bottom"/>
    </xf>
    <xf borderId="36" fillId="3" fontId="1" numFmtId="10" xfId="0" applyAlignment="1" applyBorder="1" applyFont="1" applyNumberFormat="1">
      <alignment horizontal="right" vertical="bottom"/>
    </xf>
    <xf borderId="36" fillId="3" fontId="4" numFmtId="10" xfId="0" applyAlignment="1" applyBorder="1" applyFont="1" applyNumberFormat="1">
      <alignment readingOrder="0" vertical="bottom"/>
    </xf>
    <xf borderId="36" fillId="3" fontId="1" numFmtId="10" xfId="0" applyAlignment="1" applyBorder="1" applyFont="1" applyNumberFormat="1">
      <alignment vertical="bottom"/>
    </xf>
    <xf borderId="0" fillId="0" fontId="1" numFmtId="10" xfId="0" applyAlignment="1" applyFont="1" applyNumberFormat="1">
      <alignment vertical="bottom"/>
    </xf>
    <xf borderId="0" fillId="3" fontId="4" numFmtId="0" xfId="0" applyAlignment="1" applyFont="1">
      <alignment horizontal="center" readingOrder="0" vertical="bottom"/>
    </xf>
    <xf borderId="22" fillId="3" fontId="4" numFmtId="0" xfId="0" applyAlignment="1" applyBorder="1" applyFont="1">
      <alignment readingOrder="0" vertical="bottom"/>
    </xf>
    <xf borderId="22" fillId="3" fontId="4" numFmtId="2" xfId="0" applyAlignment="1" applyBorder="1" applyFont="1" applyNumberFormat="1">
      <alignment horizontal="center" readingOrder="0" vertical="bottom"/>
    </xf>
    <xf borderId="22" fillId="3" fontId="4" numFmtId="2" xfId="0" applyAlignment="1" applyBorder="1" applyFont="1" applyNumberFormat="1">
      <alignment vertical="bottom"/>
    </xf>
    <xf borderId="37" fillId="3" fontId="1" numFmtId="0" xfId="0" applyAlignment="1" applyBorder="1" applyFont="1">
      <alignment vertical="bottom"/>
    </xf>
    <xf borderId="38" fillId="3" fontId="1" numFmtId="0" xfId="0" applyAlignment="1" applyBorder="1" applyFont="1">
      <alignment vertical="bottom"/>
    </xf>
    <xf borderId="38" fillId="3" fontId="1" numFmtId="10" xfId="0" applyAlignment="1" applyBorder="1" applyFont="1" applyNumberFormat="1">
      <alignment readingOrder="0" vertical="bottom"/>
    </xf>
    <xf borderId="38" fillId="3" fontId="1" numFmtId="10" xfId="0" applyAlignment="1" applyBorder="1" applyFont="1" applyNumberFormat="1">
      <alignment vertical="bottom"/>
    </xf>
    <xf borderId="0" fillId="3" fontId="4" numFmtId="0" xfId="0" applyAlignment="1" applyFont="1">
      <alignment vertical="bottom"/>
    </xf>
    <xf borderId="0" fillId="3" fontId="4" numFmtId="3" xfId="0" applyAlignment="1" applyFont="1" applyNumberFormat="1">
      <alignment horizontal="right" readingOrder="0" vertical="bottom"/>
    </xf>
    <xf borderId="0" fillId="3" fontId="4" numFmtId="3" xfId="0" applyAlignment="1" applyFont="1" applyNumberFormat="1">
      <alignment horizontal="right" vertical="bottom"/>
    </xf>
    <xf borderId="0" fillId="3" fontId="4" numFmtId="3" xfId="0" applyAlignment="1" applyFont="1" applyNumberFormat="1">
      <alignment readingOrder="0" vertical="bottom"/>
    </xf>
    <xf borderId="0" fillId="0" fontId="11" numFmtId="0" xfId="0" applyFont="1"/>
    <xf borderId="0" fillId="3" fontId="1" numFmtId="3" xfId="0" applyAlignment="1" applyFont="1" applyNumberFormat="1">
      <alignment readingOrder="0" vertical="bottom"/>
    </xf>
    <xf borderId="0" fillId="0" fontId="2" numFmtId="3" xfId="0" applyAlignment="1" applyFont="1" applyNumberFormat="1">
      <alignment readingOrder="0"/>
    </xf>
    <xf borderId="0" fillId="0" fontId="11" numFmtId="0" xfId="0" applyAlignment="1" applyFont="1">
      <alignment horizontal="center" readingOrder="0"/>
    </xf>
    <xf borderId="0" fillId="3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13" fillId="3" fontId="1" numFmtId="0" xfId="0" applyAlignment="1" applyBorder="1" applyFont="1">
      <alignment vertical="bottom"/>
    </xf>
    <xf borderId="18" fillId="3" fontId="1" numFmtId="0" xfId="0" applyAlignment="1" applyBorder="1" applyFont="1">
      <alignment vertical="bottom"/>
    </xf>
    <xf borderId="19" fillId="3" fontId="1" numFmtId="3" xfId="0" applyAlignment="1" applyBorder="1" applyFont="1" applyNumberFormat="1">
      <alignment horizontal="right" vertical="bottom"/>
    </xf>
    <xf borderId="39" fillId="3" fontId="1" numFmtId="3" xfId="0" applyAlignment="1" applyBorder="1" applyFont="1" applyNumberFormat="1">
      <alignment vertical="bottom"/>
    </xf>
    <xf borderId="39" fillId="3" fontId="1" numFmtId="3" xfId="0" applyAlignment="1" applyBorder="1" applyFont="1" applyNumberFormat="1">
      <alignment horizontal="right" vertical="bottom"/>
    </xf>
    <xf borderId="39" fillId="3" fontId="1" numFmtId="3" xfId="0" applyAlignment="1" applyBorder="1" applyFont="1" applyNumberFormat="1">
      <alignment horizontal="right" readingOrder="0" vertical="bottom"/>
    </xf>
    <xf borderId="40" fillId="0" fontId="11" numFmtId="0" xfId="0" applyAlignment="1" applyBorder="1" applyFont="1">
      <alignment readingOrder="0"/>
    </xf>
    <xf borderId="19" fillId="3" fontId="1" numFmtId="0" xfId="0" applyAlignment="1" applyBorder="1" applyFont="1">
      <alignment vertical="bottom"/>
    </xf>
    <xf borderId="41" fillId="0" fontId="2" numFmtId="3" xfId="0" applyBorder="1" applyFont="1" applyNumberFormat="1"/>
    <xf borderId="42" fillId="0" fontId="2" numFmtId="3" xfId="0" applyBorder="1" applyFont="1" applyNumberFormat="1"/>
    <xf borderId="19" fillId="3" fontId="1" numFmtId="10" xfId="0" applyAlignment="1" applyBorder="1" applyFont="1" applyNumberFormat="1">
      <alignment vertical="bottom"/>
    </xf>
    <xf borderId="19" fillId="3" fontId="1" numFmtId="10" xfId="0" applyAlignment="1" applyBorder="1" applyFont="1" applyNumberFormat="1">
      <alignment horizontal="right" vertical="bottom"/>
    </xf>
    <xf borderId="41" fillId="0" fontId="2" numFmtId="10" xfId="0" applyBorder="1" applyFont="1" applyNumberFormat="1"/>
    <xf borderId="42" fillId="0" fontId="2" numFmtId="10" xfId="0" applyBorder="1" applyFont="1" applyNumberFormat="1"/>
    <xf borderId="19" fillId="3" fontId="4" numFmtId="10" xfId="0" applyAlignment="1" applyBorder="1" applyFont="1" applyNumberFormat="1">
      <alignment horizontal="right" vertical="bottom"/>
    </xf>
    <xf borderId="19" fillId="0" fontId="4" numFmtId="10" xfId="0" applyAlignment="1" applyBorder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43" fillId="0" fontId="2" numFmtId="10" xfId="0" applyBorder="1" applyFont="1" applyNumberFormat="1"/>
    <xf borderId="44" fillId="0" fontId="2" numFmtId="10" xfId="0" applyBorder="1" applyFont="1" applyNumberFormat="1"/>
    <xf borderId="36" fillId="0" fontId="12" numFmtId="10" xfId="0" applyAlignment="1" applyBorder="1" applyFont="1" applyNumberFormat="1">
      <alignment vertical="bottom"/>
    </xf>
    <xf borderId="36" fillId="3" fontId="13" numFmtId="10" xfId="0" applyAlignment="1" applyBorder="1" applyFont="1" applyNumberFormat="1">
      <alignment vertical="bottom"/>
    </xf>
    <xf borderId="0" fillId="3" fontId="13" numFmtId="10" xfId="0" applyAlignment="1" applyFont="1" applyNumberFormat="1">
      <alignment vertical="bottom"/>
    </xf>
    <xf borderId="36" fillId="0" fontId="12" numFmtId="10" xfId="0" applyAlignment="1" applyBorder="1" applyFont="1" applyNumberFormat="1">
      <alignment horizontal="right" readingOrder="0" vertical="bottom"/>
    </xf>
    <xf borderId="36" fillId="0" fontId="12" numFmtId="10" xfId="0" applyAlignment="1" applyBorder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39" fillId="0" fontId="2" numFmtId="10" xfId="0" applyAlignment="1" applyBorder="1" applyFont="1" applyNumberFormat="1">
      <alignment readingOrder="0"/>
    </xf>
    <xf borderId="39" fillId="0" fontId="2" numFmtId="10" xfId="0" applyBorder="1" applyFont="1" applyNumberFormat="1"/>
    <xf borderId="36" fillId="0" fontId="11" numFmtId="10" xfId="0" applyAlignment="1" applyBorder="1" applyFont="1" applyNumberFormat="1">
      <alignment readingOrder="0"/>
    </xf>
    <xf borderId="36" fillId="0" fontId="11" numFmtId="10" xfId="0" applyBorder="1" applyFont="1" applyNumberFormat="1"/>
    <xf borderId="0" fillId="0" fontId="11" numFmtId="10" xfId="0" applyFont="1" applyNumberFormat="1"/>
    <xf borderId="0" fillId="0" fontId="14" numFmtId="0" xfId="0" applyAlignment="1" applyFont="1">
      <alignment readingOrder="0"/>
    </xf>
    <xf borderId="0" fillId="0" fontId="14" numFmtId="10" xfId="0" applyFont="1" applyNumberFormat="1"/>
    <xf borderId="19" fillId="0" fontId="14" numFmtId="164" xfId="0" applyBorder="1" applyFont="1" applyNumberFormat="1"/>
    <xf borderId="0" fillId="0" fontId="14" numFmtId="164" xfId="0" applyFont="1" applyNumberFormat="1"/>
    <xf borderId="0" fillId="0" fontId="2" numFmtId="0" xfId="0" applyAlignment="1" applyFont="1">
      <alignment horizontal="left" readingOrder="0"/>
    </xf>
    <xf borderId="0" fillId="0" fontId="2" numFmtId="4" xfId="0" applyAlignment="1" applyFont="1" applyNumberFormat="1">
      <alignment horizontal="left" readingOrder="0"/>
    </xf>
    <xf borderId="0" fillId="0" fontId="15" numFmtId="4" xfId="0" applyAlignment="1" applyFont="1" applyNumberFormat="1">
      <alignment readingOrder="0"/>
    </xf>
    <xf borderId="2" fillId="0" fontId="2" numFmtId="49" xfId="0" applyAlignment="1" applyBorder="1" applyFont="1" applyNumberFormat="1">
      <alignment horizontal="left" readingOrder="0" shrinkToFit="0" vertical="center" wrapText="0"/>
    </xf>
    <xf borderId="2" fillId="0" fontId="2" numFmtId="4" xfId="0" applyAlignment="1" applyBorder="1" applyFont="1" applyNumberForma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167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readingOrder="0" shrinkToFit="0" vertical="center" wrapText="0"/>
    </xf>
    <xf borderId="5" fillId="0" fontId="2" numFmtId="164" xfId="0" applyAlignment="1" applyBorder="1" applyFont="1" applyNumberFormat="1">
      <alignment shrinkToFit="0" vertical="center" wrapText="0"/>
    </xf>
    <xf borderId="6" fillId="0" fontId="2" numFmtId="164" xfId="0" applyAlignment="1" applyBorder="1" applyFont="1" applyNumberFormat="1">
      <alignment shrinkToFit="0" vertical="center" wrapText="0"/>
    </xf>
    <xf borderId="7" fillId="0" fontId="2" numFmtId="167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readingOrder="0" shrinkToFit="0" vertical="center" wrapText="0"/>
    </xf>
    <xf borderId="8" fillId="0" fontId="2" numFmtId="164" xfId="0" applyAlignment="1" applyBorder="1" applyFont="1" applyNumberFormat="1">
      <alignment shrinkToFit="0" vertical="center" wrapText="0"/>
    </xf>
    <xf borderId="9" fillId="0" fontId="2" numFmtId="164" xfId="0" applyAlignment="1" applyBorder="1" applyFont="1" applyNumberFormat="1">
      <alignment shrinkToFit="0" vertical="center" wrapText="0"/>
    </xf>
    <xf borderId="10" fillId="0" fontId="2" numFmtId="167" xfId="0" applyAlignment="1" applyBorder="1" applyFont="1" applyNumberForma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164" xfId="0" applyAlignment="1" applyBorder="1" applyFont="1" applyNumberFormat="1">
      <alignment readingOrder="0" shrinkToFit="0" vertical="center" wrapText="0"/>
    </xf>
    <xf borderId="11" fillId="0" fontId="2" numFmtId="164" xfId="0" applyAlignment="1" applyBorder="1" applyFont="1" applyNumberFormat="1">
      <alignment shrinkToFit="0" vertical="center" wrapText="0"/>
    </xf>
    <xf borderId="12" fillId="0" fontId="2" numFmtId="164" xfId="0" applyAlignment="1" applyBorder="1" applyFont="1" applyNumberFormat="1">
      <alignment shrinkToFit="0" vertical="center" wrapText="0"/>
    </xf>
    <xf borderId="1" fillId="0" fontId="2" numFmtId="49" xfId="0" applyAlignment="1" applyBorder="1" applyFont="1" applyNumberForma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4" fillId="0" fontId="2" numFmtId="164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9" fillId="0" fontId="2" numFmtId="3" xfId="0" applyAlignment="1" applyBorder="1" applyFont="1" applyNumberFormat="1">
      <alignment readingOrder="0" shrinkToFit="0" vertical="center" wrapText="0"/>
    </xf>
    <xf borderId="7" fillId="0" fontId="2" numFmtId="164" xfId="0" applyAlignment="1" applyBorder="1" applyFont="1" applyNumberFormat="1">
      <alignment readingOrder="0" shrinkToFit="0" vertical="center" wrapText="0"/>
    </xf>
    <xf borderId="0" fillId="0" fontId="2" numFmtId="3" xfId="0" applyFont="1" applyNumberFormat="1"/>
    <xf borderId="6" fillId="0" fontId="2" numFmtId="3" xfId="0" applyAlignment="1" applyBorder="1" applyFont="1" applyNumberFormat="1">
      <alignment shrinkToFit="0" vertical="center" wrapText="0"/>
    </xf>
    <xf borderId="9" fillId="0" fontId="2" numFmtId="3" xfId="0" applyAlignment="1" applyBorder="1" applyFont="1" applyNumberForma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45" fillId="0" fontId="2" numFmtId="164" xfId="0" applyAlignment="1" applyBorder="1" applyFont="1" applyNumberFormat="1">
      <alignment readingOrder="0" shrinkToFit="0" vertical="center" wrapText="0"/>
    </xf>
    <xf borderId="46" fillId="0" fontId="2" numFmtId="164" xfId="0" applyAlignment="1" applyBorder="1" applyFont="1" applyNumberFormat="1">
      <alignment shrinkToFit="0" vertical="center" wrapText="0"/>
    </xf>
    <xf borderId="13" fillId="2" fontId="4" numFmtId="0" xfId="0" applyAlignment="1" applyBorder="1" applyFont="1">
      <alignment vertical="bottom"/>
    </xf>
    <xf borderId="14" fillId="2" fontId="4" numFmtId="0" xfId="0" applyAlignment="1" applyBorder="1" applyFont="1">
      <alignment readingOrder="0" vertical="bottom"/>
    </xf>
    <xf borderId="14" fillId="2" fontId="4" numFmtId="0" xfId="0" applyAlignment="1" applyBorder="1" applyFont="1">
      <alignment vertical="bottom"/>
    </xf>
    <xf borderId="15" fillId="2" fontId="4" numFmtId="0" xfId="0" applyAlignment="1" applyBorder="1" applyFont="1">
      <alignment vertical="bottom"/>
    </xf>
    <xf borderId="16" fillId="0" fontId="1" numFmtId="0" xfId="0" applyAlignment="1" applyBorder="1" applyFont="1">
      <alignment horizontal="center" vertical="bottom"/>
    </xf>
    <xf borderId="47" fillId="0" fontId="1" numFmtId="2" xfId="0" applyAlignment="1" applyBorder="1" applyFont="1" applyNumberFormat="1">
      <alignment horizontal="right" vertical="bottom"/>
    </xf>
    <xf borderId="48" fillId="0" fontId="1" numFmtId="165" xfId="0" applyAlignment="1" applyBorder="1" applyFont="1" applyNumberFormat="1">
      <alignment horizontal="right" readingOrder="0" vertical="bottom"/>
    </xf>
    <xf borderId="39" fillId="0" fontId="1" numFmtId="165" xfId="0" applyAlignment="1" applyBorder="1" applyFont="1" applyNumberFormat="1">
      <alignment horizontal="right" vertical="bottom"/>
    </xf>
    <xf borderId="49" fillId="0" fontId="1" numFmtId="165" xfId="0" applyAlignment="1" applyBorder="1" applyFont="1" applyNumberFormat="1">
      <alignment horizontal="right" vertical="bottom"/>
    </xf>
    <xf borderId="47" fillId="0" fontId="1" numFmtId="2" xfId="0" applyAlignment="1" applyBorder="1" applyFont="1" applyNumberFormat="1">
      <alignment horizontal="right" readingOrder="0" vertical="bottom"/>
    </xf>
    <xf borderId="34" fillId="0" fontId="1" numFmtId="165" xfId="0" applyAlignment="1" applyBorder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vertical="bottom"/>
    </xf>
    <xf borderId="47" fillId="0" fontId="1" numFmtId="165" xfId="0" applyAlignment="1" applyBorder="1" applyFont="1" applyNumberFormat="1">
      <alignment horizontal="right" vertical="bottom"/>
    </xf>
    <xf borderId="18" fillId="0" fontId="1" numFmtId="0" xfId="0" applyAlignment="1" applyBorder="1" applyFont="1">
      <alignment horizontal="center" vertical="bottom"/>
    </xf>
    <xf borderId="50" fillId="0" fontId="1" numFmtId="2" xfId="0" applyAlignment="1" applyBorder="1" applyFont="1" applyNumberFormat="1">
      <alignment horizontal="right" readingOrder="0" vertical="bottom"/>
    </xf>
    <xf borderId="35" fillId="0" fontId="1" numFmtId="165" xfId="0" applyAlignment="1" applyBorder="1" applyFont="1" applyNumberFormat="1">
      <alignment horizontal="right" readingOrder="0" vertical="bottom"/>
    </xf>
    <xf borderId="36" fillId="0" fontId="1" numFmtId="165" xfId="0" applyAlignment="1" applyBorder="1" applyFont="1" applyNumberFormat="1">
      <alignment horizontal="right" vertical="bottom"/>
    </xf>
    <xf borderId="51" fillId="0" fontId="1" numFmtId="165" xfId="0" applyAlignment="1" applyBorder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0" fontId="1" numFmtId="168" xfId="0" applyAlignment="1" applyFont="1" applyNumberFormat="1">
      <alignment horizontal="right" readingOrder="0" vertical="bottom"/>
    </xf>
    <xf borderId="0" fillId="0" fontId="4" numFmtId="169" xfId="0" applyAlignment="1" applyFont="1" applyNumberFormat="1">
      <alignment vertical="bottom"/>
    </xf>
    <xf borderId="0" fillId="0" fontId="1" numFmtId="169" xfId="0" applyAlignment="1" applyFont="1" applyNumberFormat="1">
      <alignment vertical="bottom"/>
    </xf>
    <xf borderId="0" fillId="0" fontId="1" numFmtId="170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5" fillId="2" fontId="1" numFmtId="0" xfId="0" applyAlignment="1" applyBorder="1" applyFont="1">
      <alignment vertical="bottom"/>
    </xf>
    <xf borderId="17" fillId="0" fontId="1" numFmtId="165" xfId="0" applyAlignment="1" applyBorder="1" applyFont="1" applyNumberFormat="1">
      <alignment horizontal="right" vertical="bottom"/>
    </xf>
    <xf borderId="0" fillId="5" fontId="4" numFmtId="169" xfId="0" applyAlignment="1" applyFont="1" applyNumberFormat="1">
      <alignment vertical="bottom"/>
    </xf>
    <xf borderId="0" fillId="6" fontId="4" numFmtId="0" xfId="0" applyAlignment="1" applyFill="1" applyFont="1">
      <alignment readingOrder="0" vertical="bottom"/>
    </xf>
    <xf borderId="0" fillId="7" fontId="4" numFmtId="0" xfId="0" applyAlignment="1" applyFill="1" applyFont="1">
      <alignment vertical="bottom"/>
    </xf>
    <xf borderId="20" fillId="0" fontId="1" numFmtId="165" xfId="0" applyAlignment="1" applyBorder="1" applyFont="1" applyNumberFormat="1">
      <alignment horizontal="right" vertical="bottom"/>
    </xf>
    <xf borderId="15" fillId="2" fontId="1" numFmtId="164" xfId="0" applyAlignment="1" applyBorder="1" applyFont="1" applyNumberFormat="1">
      <alignment vertical="bottom"/>
    </xf>
    <xf borderId="0" fillId="0" fontId="1" numFmtId="165" xfId="0" applyAlignment="1" applyFont="1" applyNumberFormat="1">
      <alignment vertical="bottom"/>
    </xf>
    <xf borderId="15" fillId="2" fontId="1" numFmtId="165" xfId="0" applyAlignment="1" applyBorder="1" applyFont="1" applyNumberFormat="1">
      <alignment vertical="bottom"/>
    </xf>
    <xf borderId="20" fillId="0" fontId="1" numFmtId="164" xfId="0" applyAlignment="1" applyBorder="1" applyFont="1" applyNumberFormat="1">
      <alignment horizontal="right" vertical="bottom"/>
    </xf>
    <xf borderId="0" fillId="2" fontId="4" numFmtId="169" xfId="0" applyAlignment="1" applyFont="1" applyNumberFormat="1">
      <alignment vertical="bottom"/>
    </xf>
    <xf borderId="0" fillId="0" fontId="1" numFmtId="164" xfId="0" applyAlignment="1" applyFont="1" applyNumberFormat="1">
      <alignment horizontal="right" readingOrder="0" vertical="bottom"/>
    </xf>
    <xf borderId="13" fillId="2" fontId="4" numFmtId="10" xfId="0" applyAlignment="1" applyBorder="1" applyFont="1" applyNumberFormat="1">
      <alignment vertical="bottom"/>
    </xf>
    <xf borderId="14" fillId="2" fontId="1" numFmtId="10" xfId="0" applyAlignment="1" applyBorder="1" applyFont="1" applyNumberFormat="1">
      <alignment vertical="bottom"/>
    </xf>
    <xf borderId="52" fillId="2" fontId="1" numFmtId="0" xfId="0" applyAlignment="1" applyBorder="1" applyFont="1">
      <alignment readingOrder="0" vertical="bottom"/>
    </xf>
    <xf borderId="17" fillId="8" fontId="1" numFmtId="10" xfId="0" applyAlignment="1" applyBorder="1" applyFill="1" applyFont="1" applyNumberFormat="1">
      <alignment horizontal="right" vertical="bottom"/>
    </xf>
    <xf borderId="53" fillId="0" fontId="1" numFmtId="0" xfId="0" applyAlignment="1" applyBorder="1" applyFont="1">
      <alignment readingOrder="0" vertical="bottom"/>
    </xf>
    <xf borderId="17" fillId="9" fontId="1" numFmtId="10" xfId="0" applyAlignment="1" applyBorder="1" applyFill="1" applyFont="1" applyNumberFormat="1">
      <alignment horizontal="right" vertical="bottom"/>
    </xf>
    <xf borderId="17" fillId="10" fontId="1" numFmtId="10" xfId="0" applyAlignment="1" applyBorder="1" applyFill="1" applyFont="1" applyNumberFormat="1">
      <alignment horizontal="right" vertical="bottom"/>
    </xf>
    <xf borderId="20" fillId="10" fontId="1" numFmtId="10" xfId="0" applyAlignment="1" applyBorder="1" applyFont="1" applyNumberFormat="1">
      <alignment horizontal="right" vertical="bottom"/>
    </xf>
    <xf borderId="54" fillId="0" fontId="1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3" pivot="0" name="MAIN-style">
      <tableStyleElement dxfId="1" type="headerRow"/>
      <tableStyleElement dxfId="2" type="firstRowStripe"/>
      <tableStyleElement dxfId="3" type="secondRowStripe"/>
    </tableStyle>
    <tableStyle count="3" pivot="0" name="MAIN-style 2">
      <tableStyleElement dxfId="1" type="headerRow"/>
      <tableStyleElement dxfId="2" type="firstRowStripe"/>
      <tableStyleElement dxfId="3" type="secondRowStripe"/>
    </tableStyle>
    <tableStyle count="3" pivot="0" name="Oil Price-style">
      <tableStyleElement dxfId="1" type="headerRow"/>
      <tableStyleElement dxfId="2" type="firstRowStripe"/>
      <tableStyleElement dxfId="3" type="secondRowStripe"/>
    </tableStyle>
    <tableStyle count="3" pivot="0" name="Oil Price Extra Tables-style">
      <tableStyleElement dxfId="1" type="headerRow"/>
      <tableStyleElement dxfId="2" type="firstRowStripe"/>
      <tableStyleElement dxfId="3" type="secondRowStripe"/>
    </tableStyle>
    <tableStyle count="3" pivot="0" name="Oil Price Extra Table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1143000</xdr:colOff>
      <xdr:row>1</xdr:row>
      <xdr:rowOff>323850</xdr:rowOff>
    </xdr:from>
    <xdr:ext cx="12430125" cy="4381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L12" displayName="Balance_Q" name="Balance_Q" id="1">
  <tableColumns count="12">
    <tableColumn name="Variables" id="1"/>
    <tableColumn name="4Q 2022" id="2"/>
    <tableColumn name="1Q 2023" id="3"/>
    <tableColumn name="2Q 2023" id="4"/>
    <tableColumn name="3Q 2023" id="5"/>
    <tableColumn name="4Q 2023" id="6"/>
    <tableColumn name="1Q 2024" id="7"/>
    <tableColumn name="2Q 2024" id="8"/>
    <tableColumn name="3Q 2024" id="9"/>
    <tableColumn name="4Q 2024" id="10"/>
    <tableColumn name="1Q 2025" id="11"/>
    <tableColumn name="2Q 2025" id="12"/>
  </tableColumns>
  <tableStyleInfo name="MAIN-style" showColumnStripes="0" showFirstColumn="1" showLastColumn="1" showRowStripes="1"/>
</table>
</file>

<file path=xl/tables/table2.xml><?xml version="1.0" encoding="utf-8"?>
<table xmlns="http://schemas.openxmlformats.org/spreadsheetml/2006/main" ref="N2:X12" displayName="Balance_Y" name="Balance_Y" id="2">
  <tableColumns count="11">
    <tableColumn name="2014" id="1"/>
    <tableColumn name="2015" id="2"/>
    <tableColumn name="2016" id="3"/>
    <tableColumn name="2017" id="4"/>
    <tableColumn name="2018" id="5"/>
    <tableColumn name="2019" id="6"/>
    <tableColumn name="2020" id="7"/>
    <tableColumn name="2021" id="8"/>
    <tableColumn name="2022" id="9"/>
    <tableColumn name="2023" id="10"/>
    <tableColumn name="2024" id="11"/>
  </tableColumns>
  <tableStyleInfo name="MAIN-style 2" showColumnStripes="0" showFirstColumn="1" showLastColumn="1" showRowStripes="1"/>
</table>
</file>

<file path=xl/tables/table3.xml><?xml version="1.0" encoding="utf-8"?>
<table xmlns="http://schemas.openxmlformats.org/spreadsheetml/2006/main" ref="A2:H142" displayName="West_Texas_Oil_Price" name="West_Texas_Oil_Price" id="3">
  <tableColumns count="8">
    <tableColumn name="observation_date" id="1"/>
    <tableColumn name="Year" id="2"/>
    <tableColumn name="Month" id="3"/>
    <tableColumn name="Quarter" id="4"/>
    <tableColumn name="Q&amp;Y" id="5"/>
    <tableColumn name="WTISPLC" id="6"/>
    <tableColumn name="q/q price" id="7"/>
    <tableColumn name="y/y price" id="8"/>
  </tableColumns>
  <tableStyleInfo name="Oil Price-style" showColumnStripes="0" showFirstColumn="1" showLastColumn="1" showRowStripes="1"/>
</table>
</file>

<file path=xl/tables/table4.xml><?xml version="1.0" encoding="utf-8"?>
<table xmlns="http://schemas.openxmlformats.org/spreadsheetml/2006/main" ref="A1:C13" displayName="WTI_by_Year" name="WTI_by_Year" id="4">
  <tableColumns count="3">
    <tableColumn name="Year" id="1"/>
    <tableColumn name="WTI y/y price" id="2"/>
    <tableColumn name="Total Revenue" id="3"/>
  </tableColumns>
  <tableStyleInfo name="Oil Price Extra Tables-style" showColumnStripes="0" showFirstColumn="1" showLastColumn="1" showRowStripes="1"/>
</table>
</file>

<file path=xl/tables/table5.xml><?xml version="1.0" encoding="utf-8"?>
<table xmlns="http://schemas.openxmlformats.org/spreadsheetml/2006/main" ref="E1:F48" displayName="WTI_by_Quarter" name="WTI_by_Quarter" id="5">
  <tableColumns count="2">
    <tableColumn name="Q&amp;Y" id="1"/>
    <tableColumn name="WTI q/q price" id="2"/>
  </tableColumns>
  <tableStyleInfo name="Oil Price Extra Tabl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iperenergy.com/" TargetMode="External"/><Relationship Id="rId2" Type="http://schemas.openxmlformats.org/officeDocument/2006/relationships/hyperlink" Target="https://ir.diamondbackenergy.com/" TargetMode="External"/><Relationship Id="rId3" Type="http://schemas.openxmlformats.org/officeDocument/2006/relationships/drawing" Target="../drawings/drawing1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fred.stlouisfed.org/graph/?g=1MsE8" TargetMode="External"/><Relationship Id="rId2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1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 t="s">
        <v>20</v>
      </c>
      <c r="K2" s="5" t="s">
        <v>21</v>
      </c>
      <c r="L2" s="7" t="s">
        <v>22</v>
      </c>
      <c r="M2" s="1"/>
      <c r="N2" s="8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9" t="s">
        <v>29</v>
      </c>
      <c r="U2" s="9" t="s">
        <v>30</v>
      </c>
      <c r="V2" s="9" t="s">
        <v>31</v>
      </c>
      <c r="W2" s="9" t="s">
        <v>32</v>
      </c>
      <c r="X2" s="10" t="s">
        <v>33</v>
      </c>
    </row>
    <row r="3">
      <c r="A3" s="11" t="s">
        <v>34</v>
      </c>
      <c r="B3" s="12">
        <v>5.28E9</v>
      </c>
      <c r="C3" s="12">
        <v>4.57E9</v>
      </c>
      <c r="D3" s="12">
        <v>4.37E9</v>
      </c>
      <c r="E3" s="12">
        <v>4.51E9</v>
      </c>
      <c r="F3" s="12">
        <v>5.58E9</v>
      </c>
      <c r="G3" s="12">
        <v>6.8E9</v>
      </c>
      <c r="H3" s="12">
        <v>6.64E9</v>
      </c>
      <c r="I3" s="12">
        <v>7.98E9</v>
      </c>
      <c r="J3" s="12">
        <v>9.25E9</v>
      </c>
      <c r="K3" s="12">
        <v>9.89E9</v>
      </c>
      <c r="L3" s="13">
        <v>1.1E10</v>
      </c>
      <c r="M3" s="1"/>
      <c r="N3" s="14">
        <v>1.45E9</v>
      </c>
      <c r="O3" s="15">
        <v>1.11E9</v>
      </c>
      <c r="P3" s="15">
        <v>1.4E9</v>
      </c>
      <c r="Q3" s="15">
        <v>2.66E9</v>
      </c>
      <c r="R3" s="15">
        <v>3.23E9</v>
      </c>
      <c r="S3" s="15">
        <v>3.78E9</v>
      </c>
      <c r="T3" s="15">
        <v>1.84E9</v>
      </c>
      <c r="U3" s="15">
        <v>3.62E9</v>
      </c>
      <c r="V3" s="15">
        <v>5.28E9</v>
      </c>
      <c r="W3" s="15">
        <v>5.58E9</v>
      </c>
      <c r="X3" s="13">
        <v>9.25E9</v>
      </c>
    </row>
    <row r="4">
      <c r="A4" s="16" t="s">
        <v>35</v>
      </c>
      <c r="B4" s="17">
        <f>72677022+90709946</f>
        <v>163386968</v>
      </c>
      <c r="C4" s="17">
        <f>72016622+90709946</f>
        <v>162726568</v>
      </c>
      <c r="D4" s="17">
        <f>70904057+90709946</f>
        <v>161614003</v>
      </c>
      <c r="E4" s="17">
        <f>87144273+90709946</f>
        <v>177854219</v>
      </c>
      <c r="F4" s="17">
        <f>86144273+90709946</f>
        <v>176854219</v>
      </c>
      <c r="G4" s="17">
        <f>91423830+81431453</f>
        <v>172855283</v>
      </c>
      <c r="H4" s="17">
        <f>91447008+85431453</f>
        <v>176878461</v>
      </c>
      <c r="I4" s="17">
        <f>102977142+85431453</f>
        <v>188408595</v>
      </c>
      <c r="J4" s="17">
        <f>131313142+87831750</f>
        <v>219144892</v>
      </c>
      <c r="K4" s="17">
        <f>131083704+157458390</f>
        <v>288542094</v>
      </c>
      <c r="L4" s="18">
        <f>131082565+157438390</f>
        <v>288520955</v>
      </c>
      <c r="M4" s="1"/>
      <c r="N4" s="19">
        <v>7.9708888E7</v>
      </c>
      <c r="O4" s="20">
        <f>79726006</f>
        <v>79726006</v>
      </c>
      <c r="P4" s="20">
        <f>87800356</f>
        <v>87800356</v>
      </c>
      <c r="Q4" s="20">
        <f>113882045</f>
        <v>113882045</v>
      </c>
      <c r="R4" s="20">
        <f>72418500+51653956</f>
        <v>124072456</v>
      </c>
      <c r="S4" s="20">
        <f>67805707+90709946</f>
        <v>158515653</v>
      </c>
      <c r="T4" s="20">
        <f>65293828+90709946</f>
        <v>156003774</v>
      </c>
      <c r="U4" s="20">
        <f>76966203+90709946</f>
        <v>167676149</v>
      </c>
      <c r="V4" s="20">
        <v>1.63386968E8</v>
      </c>
      <c r="W4" s="20">
        <v>1.76854219E8</v>
      </c>
      <c r="X4" s="18">
        <f>131313142+87831750</f>
        <v>219144892</v>
      </c>
    </row>
    <row r="5">
      <c r="A5" s="11" t="s">
        <v>36</v>
      </c>
      <c r="B5" s="12">
        <v>5.76895E8</v>
      </c>
      <c r="C5" s="12">
        <v>6.95154E8</v>
      </c>
      <c r="D5" s="12">
        <v>6.49416E8</v>
      </c>
      <c r="E5" s="12">
        <v>6.75681E8</v>
      </c>
      <c r="F5" s="12">
        <v>1.083082E9</v>
      </c>
      <c r="G5" s="12">
        <v>1.093547E9</v>
      </c>
      <c r="H5" s="12">
        <v>9.98021E8</v>
      </c>
      <c r="I5" s="12">
        <v>4.4165E7</v>
      </c>
      <c r="J5" s="12">
        <v>1.083E9</v>
      </c>
      <c r="K5" s="12">
        <v>8.22E8</v>
      </c>
      <c r="L5" s="21">
        <v>1.098E9</v>
      </c>
      <c r="M5" s="1"/>
      <c r="N5" s="14">
        <v>0.0</v>
      </c>
      <c r="O5" s="15">
        <v>3.45E7</v>
      </c>
      <c r="P5" s="15">
        <v>1.205E8</v>
      </c>
      <c r="Q5" s="15">
        <v>9.35E7</v>
      </c>
      <c r="R5" s="15">
        <v>4.11E8</v>
      </c>
      <c r="S5" s="15">
        <v>5.86774E8</v>
      </c>
      <c r="T5" s="15">
        <v>5.55644E8</v>
      </c>
      <c r="U5" s="15">
        <v>7.76727E8</v>
      </c>
      <c r="V5" s="15">
        <v>5.76895E8</v>
      </c>
      <c r="W5" s="15">
        <v>1.083082E9</v>
      </c>
      <c r="X5" s="13">
        <v>1.083E9</v>
      </c>
    </row>
    <row r="6">
      <c r="A6" s="16" t="s">
        <v>37</v>
      </c>
      <c r="B6" s="17">
        <v>1.8179E7</v>
      </c>
      <c r="C6" s="17">
        <v>9106000.0</v>
      </c>
      <c r="D6" s="17">
        <v>1.3079E7</v>
      </c>
      <c r="E6" s="17">
        <v>1.46814E8</v>
      </c>
      <c r="F6" s="17">
        <v>2.5869E7</v>
      </c>
      <c r="G6" s="17">
        <v>2.0005E7</v>
      </c>
      <c r="H6" s="17">
        <v>3.5211E7</v>
      </c>
      <c r="I6" s="17">
        <v>1.68649E8</v>
      </c>
      <c r="J6" s="17">
        <v>2.7E7</v>
      </c>
      <c r="K6" s="20">
        <v>5.6E8</v>
      </c>
      <c r="L6" s="18">
        <v>2.8E7</v>
      </c>
      <c r="M6" s="1"/>
      <c r="N6" s="19">
        <f>15110000+500000</f>
        <v>15610000</v>
      </c>
      <c r="O6" s="20">
        <f>539000+500000</f>
        <v>1039000</v>
      </c>
      <c r="P6" s="20">
        <f>9213000+500000</f>
        <v>9713000</v>
      </c>
      <c r="Q6" s="20">
        <v>2.4197E7</v>
      </c>
      <c r="R6" s="20">
        <v>2.2676E7</v>
      </c>
      <c r="S6" s="20">
        <v>3602000.0</v>
      </c>
      <c r="T6" s="20">
        <v>1.9121E7</v>
      </c>
      <c r="U6" s="20">
        <v>3.9448E7</v>
      </c>
      <c r="V6" s="20">
        <v>1.8179E7</v>
      </c>
      <c r="W6" s="20">
        <v>2.5869E7</v>
      </c>
      <c r="X6" s="18">
        <v>2.7E7</v>
      </c>
    </row>
    <row r="7">
      <c r="A7" s="11" t="s">
        <v>38</v>
      </c>
      <c r="B7" s="22">
        <f>81657000+6260000</f>
        <v>87917000</v>
      </c>
      <c r="C7" s="22">
        <f>83038000+36324000</f>
        <v>119362000</v>
      </c>
      <c r="D7" s="22">
        <f>80765000+4384000</f>
        <v>85149000</v>
      </c>
      <c r="E7" s="22">
        <f>103804000+7431000</f>
        <v>111235000</v>
      </c>
      <c r="F7" s="22">
        <f>108681000+3329000+813000</f>
        <v>112823000</v>
      </c>
      <c r="G7" s="22">
        <f>131737000+33381000</f>
        <v>165118000</v>
      </c>
      <c r="H7" s="22">
        <f>131724000+34981000</f>
        <v>166705000</v>
      </c>
      <c r="I7" s="22">
        <f>108857000+33997000</f>
        <v>142854000</v>
      </c>
      <c r="J7" s="22">
        <f>149000000+31000000+2000000</f>
        <v>182000000</v>
      </c>
      <c r="K7" s="22">
        <f>146000000+41000000+2000000</f>
        <v>189000000</v>
      </c>
      <c r="L7" s="13">
        <f>203000000+189000000+2000000</f>
        <v>394000000</v>
      </c>
      <c r="M7" s="1"/>
      <c r="N7" s="14">
        <f>8239000+253000</f>
        <v>8492000</v>
      </c>
      <c r="O7" s="15">
        <f>9369000+476000</f>
        <v>9845000</v>
      </c>
      <c r="P7" s="15">
        <f>10043000+3470000</f>
        <v>13513000</v>
      </c>
      <c r="Q7" s="15">
        <f>25754000+5142000</f>
        <v>30896000</v>
      </c>
      <c r="R7" s="15">
        <f>38823000+3489000</f>
        <v>42312000</v>
      </c>
      <c r="S7" s="15">
        <f>58089000+10576000</f>
        <v>68665000</v>
      </c>
      <c r="T7" s="15">
        <f>32210000+1999800</f>
        <v>34209800</v>
      </c>
      <c r="U7" s="15">
        <f>68568000+2144000</f>
        <v>70712000</v>
      </c>
      <c r="V7" s="23">
        <v>8.7917E7</v>
      </c>
      <c r="W7" s="23">
        <v>1.12823E8</v>
      </c>
      <c r="X7" s="24">
        <f>149000000+31000000+2000000</f>
        <v>182000000</v>
      </c>
    </row>
    <row r="8">
      <c r="A8" s="16" t="s">
        <v>39</v>
      </c>
      <c r="B8" s="17">
        <v>1.1862E8</v>
      </c>
      <c r="C8" s="17">
        <v>1.3327E8</v>
      </c>
      <c r="D8" s="17">
        <v>1.05794E8</v>
      </c>
      <c r="E8" s="17">
        <v>2.6213E8</v>
      </c>
      <c r="F8" s="17">
        <v>1.43517E8</v>
      </c>
      <c r="G8" s="17">
        <v>1.8982E8</v>
      </c>
      <c r="H8" s="17">
        <v>2.05384E8</v>
      </c>
      <c r="I8" s="17">
        <v>3.2018E8</v>
      </c>
      <c r="J8" s="17">
        <v>2.38E8</v>
      </c>
      <c r="K8" s="17">
        <v>7.92E8</v>
      </c>
      <c r="L8" s="18">
        <v>4.43E8</v>
      </c>
      <c r="M8" s="1"/>
      <c r="N8" s="19">
        <v>2.4102E7</v>
      </c>
      <c r="O8" s="20">
        <v>1.0884E7</v>
      </c>
      <c r="P8" s="20">
        <v>2.3413E7</v>
      </c>
      <c r="Q8" s="20">
        <v>5.5448E7</v>
      </c>
      <c r="R8" s="20">
        <v>6.5245E7</v>
      </c>
      <c r="S8" s="20">
        <v>7.2664E7</v>
      </c>
      <c r="T8" s="20">
        <v>5.3994E7</v>
      </c>
      <c r="U8" s="20">
        <v>1.11149E8</v>
      </c>
      <c r="V8" s="20">
        <v>1.1862E8</v>
      </c>
      <c r="W8" s="20">
        <v>1.43517E8</v>
      </c>
      <c r="X8" s="18">
        <v>2.38E8</v>
      </c>
    </row>
    <row r="9">
      <c r="A9" s="11" t="s">
        <v>40</v>
      </c>
      <c r="B9" s="12">
        <v>2.920373E9</v>
      </c>
      <c r="C9" s="12">
        <v>3.019736E9</v>
      </c>
      <c r="D9" s="12">
        <v>2.967038E9</v>
      </c>
      <c r="E9" s="12">
        <v>3.143366E9</v>
      </c>
      <c r="F9" s="12">
        <v>3.974093E9</v>
      </c>
      <c r="G9" s="12">
        <v>4.012566E9</v>
      </c>
      <c r="H9" s="12">
        <v>3.900422E9</v>
      </c>
      <c r="I9" s="12">
        <v>4.20601E9</v>
      </c>
      <c r="J9" s="12">
        <v>5.069E9</v>
      </c>
      <c r="K9" s="12">
        <v>6.238E9</v>
      </c>
      <c r="L9" s="13">
        <v>9.788E9</v>
      </c>
      <c r="M9" s="1"/>
      <c r="N9" s="14">
        <v>5.37402E8</v>
      </c>
      <c r="O9" s="15">
        <v>5.29731E8</v>
      </c>
      <c r="P9" s="15">
        <v>6.70549E8</v>
      </c>
      <c r="Q9" s="15">
        <v>1.013037E9</v>
      </c>
      <c r="R9" s="15">
        <v>1.654064E9</v>
      </c>
      <c r="S9" s="15">
        <v>2.785626E9</v>
      </c>
      <c r="T9" s="15">
        <v>2.461375E9</v>
      </c>
      <c r="U9" s="15">
        <v>3.034021E9</v>
      </c>
      <c r="V9" s="15">
        <v>2.920373E9</v>
      </c>
      <c r="W9" s="15">
        <v>3.974093E9</v>
      </c>
      <c r="X9" s="13">
        <v>5.069E9</v>
      </c>
    </row>
    <row r="10">
      <c r="A10" s="16" t="s">
        <v>41</v>
      </c>
      <c r="B10" s="17">
        <v>2.1946E7</v>
      </c>
      <c r="C10" s="17">
        <v>2.9771E7</v>
      </c>
      <c r="D10" s="17">
        <v>2.8079E7</v>
      </c>
      <c r="E10" s="17">
        <v>4.7491E7</v>
      </c>
      <c r="F10" s="17">
        <v>3.3256E7</v>
      </c>
      <c r="G10" s="17">
        <v>5.4885E7</v>
      </c>
      <c r="H10" s="17">
        <v>2.9091E7</v>
      </c>
      <c r="I10" s="17">
        <v>4.4208E7</v>
      </c>
      <c r="J10" s="17">
        <v>4.9E7</v>
      </c>
      <c r="K10" s="17">
        <v>9.1E7</v>
      </c>
      <c r="L10" s="18">
        <v>7.2E7</v>
      </c>
      <c r="M10" s="1"/>
      <c r="N10" s="19">
        <v>2051000.0</v>
      </c>
      <c r="O10" s="20">
        <v>87000.0</v>
      </c>
      <c r="P10" s="20">
        <v>2151000.0</v>
      </c>
      <c r="Q10" s="20">
        <v>5629000.0</v>
      </c>
      <c r="R10" s="20">
        <v>6022000.0</v>
      </c>
      <c r="S10" s="20">
        <v>1.3432E7</v>
      </c>
      <c r="T10" s="20">
        <v>4.4989E7</v>
      </c>
      <c r="U10" s="20">
        <v>2.4466E7</v>
      </c>
      <c r="V10" s="20">
        <v>2.1946E7</v>
      </c>
      <c r="W10" s="20">
        <v>3.3256E7</v>
      </c>
      <c r="X10" s="18">
        <v>4.9E7</v>
      </c>
    </row>
    <row r="11">
      <c r="A11" s="11" t="s">
        <v>42</v>
      </c>
      <c r="B11" s="12">
        <v>5.98848E8</v>
      </c>
      <c r="C11" s="12">
        <v>7.27308E8</v>
      </c>
      <c r="D11" s="12">
        <v>6.80868E8</v>
      </c>
      <c r="E11" s="12">
        <v>7.24791E8</v>
      </c>
      <c r="F11" s="12">
        <v>1.116539E9</v>
      </c>
      <c r="G11" s="12">
        <v>1.148432E9</v>
      </c>
      <c r="H11" s="12">
        <v>1.027112E9</v>
      </c>
      <c r="I11" s="12">
        <v>8.70502E8</v>
      </c>
      <c r="J11" s="12">
        <v>1.162E9</v>
      </c>
      <c r="K11" s="12">
        <v>9.15E8</v>
      </c>
      <c r="L11" s="13">
        <v>1.177E9</v>
      </c>
      <c r="M11" s="1"/>
      <c r="N11" s="14">
        <v>2051000.0</v>
      </c>
      <c r="O11" s="15">
        <v>3.4587E7</v>
      </c>
      <c r="P11" s="15">
        <v>1.22651E8</v>
      </c>
      <c r="Q11" s="15">
        <v>9.9129E7</v>
      </c>
      <c r="R11" s="15">
        <v>4.17022E8</v>
      </c>
      <c r="S11" s="15">
        <v>6.00206E8</v>
      </c>
      <c r="T11" s="15">
        <v>6.00542E8</v>
      </c>
      <c r="U11" s="15">
        <v>8.01193E8</v>
      </c>
      <c r="V11" s="15">
        <v>5.98848E8</v>
      </c>
      <c r="W11" s="15">
        <v>1.116539E9</v>
      </c>
      <c r="X11" s="13">
        <v>1.162E9</v>
      </c>
    </row>
    <row r="12">
      <c r="A12" s="25" t="s">
        <v>43</v>
      </c>
      <c r="B12" s="26">
        <v>2.321525E9</v>
      </c>
      <c r="C12" s="26">
        <v>2.292428E9</v>
      </c>
      <c r="D12" s="26">
        <v>2.28617E9</v>
      </c>
      <c r="E12" s="26">
        <v>2.418575E9</v>
      </c>
      <c r="F12" s="26">
        <v>2.857554E9</v>
      </c>
      <c r="G12" s="26">
        <v>2.864134E9</v>
      </c>
      <c r="H12" s="26">
        <v>2.87331E9</v>
      </c>
      <c r="I12" s="26">
        <v>3.335508E9</v>
      </c>
      <c r="J12" s="26">
        <v>3.907E9</v>
      </c>
      <c r="K12" s="26">
        <v>5.323E9</v>
      </c>
      <c r="L12" s="27">
        <v>8.611E9</v>
      </c>
      <c r="M12" s="1"/>
      <c r="N12" s="28">
        <v>5.35351E8</v>
      </c>
      <c r="O12" s="29">
        <v>4.95144E8</v>
      </c>
      <c r="P12" s="29">
        <v>5.47898E8</v>
      </c>
      <c r="Q12" s="29">
        <v>9.13908E8</v>
      </c>
      <c r="R12" s="29">
        <v>1.237042E9</v>
      </c>
      <c r="S12" s="29">
        <v>2.18542E9</v>
      </c>
      <c r="T12" s="29">
        <v>1.860833E9</v>
      </c>
      <c r="U12" s="29">
        <v>2.232828E9</v>
      </c>
      <c r="V12" s="29">
        <v>2.321525E9</v>
      </c>
      <c r="W12" s="29">
        <v>2.857554E9</v>
      </c>
      <c r="X12" s="27">
        <v>3.907E9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0"/>
      <c r="M13" s="1"/>
    </row>
    <row r="14">
      <c r="A14" s="31" t="s">
        <v>44</v>
      </c>
      <c r="B14" s="32">
        <f t="shared" ref="B14:L14" si="1">B3++B5-B6</f>
        <v>5838716000</v>
      </c>
      <c r="C14" s="33">
        <f t="shared" si="1"/>
        <v>5256048000</v>
      </c>
      <c r="D14" s="33">
        <f t="shared" si="1"/>
        <v>5006337000</v>
      </c>
      <c r="E14" s="33">
        <f t="shared" si="1"/>
        <v>5038867000</v>
      </c>
      <c r="F14" s="33">
        <f t="shared" si="1"/>
        <v>6637213000</v>
      </c>
      <c r="G14" s="33">
        <f t="shared" si="1"/>
        <v>7873542000</v>
      </c>
      <c r="H14" s="33">
        <f t="shared" si="1"/>
        <v>7602810000</v>
      </c>
      <c r="I14" s="33">
        <f t="shared" si="1"/>
        <v>7855516000</v>
      </c>
      <c r="J14" s="33">
        <f t="shared" si="1"/>
        <v>10306000000</v>
      </c>
      <c r="K14" s="33">
        <f t="shared" si="1"/>
        <v>10152000000</v>
      </c>
      <c r="L14" s="34">
        <f t="shared" si="1"/>
        <v>12070000000</v>
      </c>
      <c r="M14" s="35"/>
      <c r="N14" s="32">
        <f t="shared" ref="N14:X14" si="2">N3++N5-N6</f>
        <v>1434390000</v>
      </c>
      <c r="O14" s="33">
        <f t="shared" si="2"/>
        <v>1143461000</v>
      </c>
      <c r="P14" s="33">
        <f t="shared" si="2"/>
        <v>1510787000</v>
      </c>
      <c r="Q14" s="33">
        <f t="shared" si="2"/>
        <v>2729303000</v>
      </c>
      <c r="R14" s="33">
        <f t="shared" si="2"/>
        <v>3618324000</v>
      </c>
      <c r="S14" s="33">
        <f t="shared" si="2"/>
        <v>4363172000</v>
      </c>
      <c r="T14" s="33">
        <f t="shared" si="2"/>
        <v>2376523000</v>
      </c>
      <c r="U14" s="33">
        <f t="shared" si="2"/>
        <v>4357279000</v>
      </c>
      <c r="V14" s="33">
        <f t="shared" si="2"/>
        <v>5838716000</v>
      </c>
      <c r="W14" s="33">
        <f t="shared" si="2"/>
        <v>6637213000</v>
      </c>
      <c r="X14" s="34">
        <f t="shared" si="2"/>
        <v>10306000000</v>
      </c>
    </row>
    <row r="15">
      <c r="A15" s="36" t="s">
        <v>45</v>
      </c>
      <c r="B15" s="37">
        <f t="shared" ref="B15:L15" si="3">B8-B11</f>
        <v>-480228000</v>
      </c>
      <c r="C15" s="35">
        <f t="shared" si="3"/>
        <v>-594038000</v>
      </c>
      <c r="D15" s="35">
        <f t="shared" si="3"/>
        <v>-575074000</v>
      </c>
      <c r="E15" s="35">
        <f t="shared" si="3"/>
        <v>-462661000</v>
      </c>
      <c r="F15" s="35">
        <f t="shared" si="3"/>
        <v>-973022000</v>
      </c>
      <c r="G15" s="35">
        <f t="shared" si="3"/>
        <v>-958612000</v>
      </c>
      <c r="H15" s="35">
        <f t="shared" si="3"/>
        <v>-821728000</v>
      </c>
      <c r="I15" s="35">
        <f t="shared" si="3"/>
        <v>-550322000</v>
      </c>
      <c r="J15" s="35">
        <f t="shared" si="3"/>
        <v>-924000000</v>
      </c>
      <c r="K15" s="35">
        <f t="shared" si="3"/>
        <v>-123000000</v>
      </c>
      <c r="L15" s="38">
        <f t="shared" si="3"/>
        <v>-734000000</v>
      </c>
      <c r="M15" s="35"/>
      <c r="N15" s="37">
        <f t="shared" ref="N15:X15" si="4">N8-N11</f>
        <v>22051000</v>
      </c>
      <c r="O15" s="35">
        <f t="shared" si="4"/>
        <v>-23703000</v>
      </c>
      <c r="P15" s="35">
        <f t="shared" si="4"/>
        <v>-99238000</v>
      </c>
      <c r="Q15" s="35">
        <f t="shared" si="4"/>
        <v>-43681000</v>
      </c>
      <c r="R15" s="35">
        <f t="shared" si="4"/>
        <v>-351777000</v>
      </c>
      <c r="S15" s="35">
        <f t="shared" si="4"/>
        <v>-527542000</v>
      </c>
      <c r="T15" s="35">
        <f t="shared" si="4"/>
        <v>-546548000</v>
      </c>
      <c r="U15" s="35">
        <f t="shared" si="4"/>
        <v>-690044000</v>
      </c>
      <c r="V15" s="35">
        <f t="shared" si="4"/>
        <v>-480228000</v>
      </c>
      <c r="W15" s="35">
        <f t="shared" si="4"/>
        <v>-973022000</v>
      </c>
      <c r="X15" s="38">
        <f t="shared" si="4"/>
        <v>-924000000</v>
      </c>
    </row>
    <row r="16">
      <c r="A16" s="36" t="s">
        <v>46</v>
      </c>
      <c r="B16" s="39">
        <f t="shared" ref="B16:L16" si="5">B3/B4</f>
        <v>32.31591886</v>
      </c>
      <c r="C16" s="40">
        <f t="shared" si="5"/>
        <v>28.08392051</v>
      </c>
      <c r="D16" s="40">
        <f t="shared" si="5"/>
        <v>27.03973615</v>
      </c>
      <c r="E16" s="40">
        <f t="shared" si="5"/>
        <v>25.35784659</v>
      </c>
      <c r="F16" s="40">
        <f t="shared" si="5"/>
        <v>31.55141015</v>
      </c>
      <c r="G16" s="40">
        <f t="shared" si="5"/>
        <v>39.33926625</v>
      </c>
      <c r="H16" s="40">
        <f t="shared" si="5"/>
        <v>37.53990148</v>
      </c>
      <c r="I16" s="40">
        <f t="shared" si="5"/>
        <v>42.35475563</v>
      </c>
      <c r="J16" s="40">
        <f t="shared" si="5"/>
        <v>42.2095168</v>
      </c>
      <c r="K16" s="40">
        <f t="shared" si="5"/>
        <v>34.27576151</v>
      </c>
      <c r="L16" s="41">
        <f t="shared" si="5"/>
        <v>38.12548035</v>
      </c>
      <c r="M16" s="40"/>
      <c r="N16" s="39">
        <f t="shared" ref="N16:X16" si="6">N3/N4</f>
        <v>18.19119594</v>
      </c>
      <c r="O16" s="40">
        <f t="shared" si="6"/>
        <v>13.92268415</v>
      </c>
      <c r="P16" s="40">
        <f t="shared" si="6"/>
        <v>15.94526564</v>
      </c>
      <c r="Q16" s="40">
        <f t="shared" si="6"/>
        <v>23.35750118</v>
      </c>
      <c r="R16" s="40">
        <f t="shared" si="6"/>
        <v>26.03317532</v>
      </c>
      <c r="S16" s="40">
        <f t="shared" si="6"/>
        <v>23.84622546</v>
      </c>
      <c r="T16" s="40">
        <f t="shared" si="6"/>
        <v>11.79458646</v>
      </c>
      <c r="U16" s="40">
        <f t="shared" si="6"/>
        <v>21.58923628</v>
      </c>
      <c r="V16" s="40">
        <f t="shared" si="6"/>
        <v>32.31591886</v>
      </c>
      <c r="W16" s="40">
        <f t="shared" si="6"/>
        <v>31.55141015</v>
      </c>
      <c r="X16" s="41">
        <f t="shared" si="6"/>
        <v>42.2095168</v>
      </c>
    </row>
    <row r="17">
      <c r="A17" s="36" t="s">
        <v>47</v>
      </c>
      <c r="B17" s="39">
        <f t="shared" ref="B17:L17" si="7">B15/B4</f>
        <v>-2.939206265</v>
      </c>
      <c r="C17" s="40">
        <f t="shared" si="7"/>
        <v>-3.650528659</v>
      </c>
      <c r="D17" s="40">
        <f t="shared" si="7"/>
        <v>-3.558317901</v>
      </c>
      <c r="E17" s="40">
        <f t="shared" si="7"/>
        <v>-2.601349592</v>
      </c>
      <c r="F17" s="40">
        <f t="shared" si="7"/>
        <v>-5.501830861</v>
      </c>
      <c r="G17" s="40">
        <f t="shared" si="7"/>
        <v>-5.545748926</v>
      </c>
      <c r="H17" s="40">
        <f t="shared" si="7"/>
        <v>-4.645721109</v>
      </c>
      <c r="I17" s="40">
        <f t="shared" si="7"/>
        <v>-2.92089647</v>
      </c>
      <c r="J17" s="40">
        <f t="shared" si="7"/>
        <v>-4.216388489</v>
      </c>
      <c r="K17" s="40">
        <f t="shared" si="7"/>
        <v>-0.4262809571</v>
      </c>
      <c r="L17" s="41">
        <f t="shared" si="7"/>
        <v>-2.544009325</v>
      </c>
      <c r="M17" s="40"/>
      <c r="N17" s="39">
        <f t="shared" ref="N17:X17" si="8">N15/N4</f>
        <v>0.2766441805</v>
      </c>
      <c r="O17" s="40">
        <f t="shared" si="8"/>
        <v>-0.2973057499</v>
      </c>
      <c r="P17" s="40">
        <f t="shared" si="8"/>
        <v>-1.130268766</v>
      </c>
      <c r="Q17" s="40">
        <f t="shared" si="8"/>
        <v>-0.3835635372</v>
      </c>
      <c r="R17" s="40">
        <f t="shared" si="8"/>
        <v>-2.835254587</v>
      </c>
      <c r="S17" s="40">
        <f t="shared" si="8"/>
        <v>-3.328012029</v>
      </c>
      <c r="T17" s="40">
        <f t="shared" si="8"/>
        <v>-3.503428065</v>
      </c>
      <c r="U17" s="40">
        <f t="shared" si="8"/>
        <v>-4.115337835</v>
      </c>
      <c r="V17" s="40">
        <f t="shared" si="8"/>
        <v>-2.939206265</v>
      </c>
      <c r="W17" s="40">
        <f t="shared" si="8"/>
        <v>-5.501830861</v>
      </c>
      <c r="X17" s="41">
        <f t="shared" si="8"/>
        <v>-4.216388489</v>
      </c>
    </row>
    <row r="18">
      <c r="A18" s="36" t="s">
        <v>48</v>
      </c>
      <c r="B18" s="42">
        <f t="shared" ref="B18:L18" si="9">B17/B16</f>
        <v>-0.09095227273</v>
      </c>
      <c r="C18" s="43">
        <f t="shared" si="9"/>
        <v>-0.1299864333</v>
      </c>
      <c r="D18" s="43">
        <f t="shared" si="9"/>
        <v>-0.131595881</v>
      </c>
      <c r="E18" s="43">
        <f t="shared" si="9"/>
        <v>-0.1025855876</v>
      </c>
      <c r="F18" s="43">
        <f t="shared" si="9"/>
        <v>-0.1743767025</v>
      </c>
      <c r="G18" s="43">
        <f t="shared" si="9"/>
        <v>-0.1409723529</v>
      </c>
      <c r="H18" s="43">
        <f t="shared" si="9"/>
        <v>-0.1237542169</v>
      </c>
      <c r="I18" s="43">
        <f t="shared" si="9"/>
        <v>-0.06896265664</v>
      </c>
      <c r="J18" s="43">
        <f t="shared" si="9"/>
        <v>-0.09989189189</v>
      </c>
      <c r="K18" s="43">
        <f t="shared" si="9"/>
        <v>-0.01243680485</v>
      </c>
      <c r="L18" s="44">
        <f t="shared" si="9"/>
        <v>-0.06672727273</v>
      </c>
      <c r="M18" s="43"/>
      <c r="N18" s="42">
        <f t="shared" ref="N18:X18" si="10">N17/N16</f>
        <v>0.01520758621</v>
      </c>
      <c r="O18" s="43">
        <f t="shared" si="10"/>
        <v>-0.02135405405</v>
      </c>
      <c r="P18" s="43">
        <f t="shared" si="10"/>
        <v>-0.07088428571</v>
      </c>
      <c r="Q18" s="43">
        <f t="shared" si="10"/>
        <v>-0.01642142857</v>
      </c>
      <c r="R18" s="43">
        <f t="shared" si="10"/>
        <v>-0.1089092879</v>
      </c>
      <c r="S18" s="43">
        <f t="shared" si="10"/>
        <v>-0.1395613757</v>
      </c>
      <c r="T18" s="43">
        <f t="shared" si="10"/>
        <v>-0.2970369565</v>
      </c>
      <c r="U18" s="43">
        <f t="shared" si="10"/>
        <v>-0.1906198895</v>
      </c>
      <c r="V18" s="43">
        <f t="shared" si="10"/>
        <v>-0.09095227273</v>
      </c>
      <c r="W18" s="43">
        <f t="shared" si="10"/>
        <v>-0.1743767025</v>
      </c>
      <c r="X18" s="44">
        <f t="shared" si="10"/>
        <v>-0.09989189189</v>
      </c>
    </row>
    <row r="19">
      <c r="A19" s="36" t="s">
        <v>49</v>
      </c>
      <c r="B19" s="45"/>
      <c r="C19" s="43">
        <f t="shared" ref="C19:L19" si="11">(C6-B6)/ABS(B6)</f>
        <v>-0.4990923593</v>
      </c>
      <c r="D19" s="43">
        <f t="shared" si="11"/>
        <v>0.4363057325</v>
      </c>
      <c r="E19" s="43">
        <f t="shared" si="11"/>
        <v>10.22517012</v>
      </c>
      <c r="F19" s="43">
        <f t="shared" si="11"/>
        <v>-0.823797458</v>
      </c>
      <c r="G19" s="43">
        <f t="shared" si="11"/>
        <v>-0.2266805829</v>
      </c>
      <c r="H19" s="43">
        <f t="shared" si="11"/>
        <v>0.7601099725</v>
      </c>
      <c r="I19" s="43">
        <f t="shared" si="11"/>
        <v>3.789668001</v>
      </c>
      <c r="J19" s="43">
        <f t="shared" si="11"/>
        <v>-0.8399041797</v>
      </c>
      <c r="K19" s="43">
        <f t="shared" si="11"/>
        <v>19.74074074</v>
      </c>
      <c r="L19" s="44">
        <f t="shared" si="11"/>
        <v>-0.95</v>
      </c>
      <c r="M19" s="43"/>
      <c r="N19" s="45"/>
      <c r="O19" s="43">
        <f t="shared" ref="O19:X19" si="12">(O6-N6)/ABS(N6)</f>
        <v>-0.9334401025</v>
      </c>
      <c r="P19" s="43">
        <f t="shared" si="12"/>
        <v>8.348411935</v>
      </c>
      <c r="Q19" s="43">
        <f t="shared" si="12"/>
        <v>1.491197364</v>
      </c>
      <c r="R19" s="43">
        <f t="shared" si="12"/>
        <v>-0.06285903211</v>
      </c>
      <c r="S19" s="43">
        <f t="shared" si="12"/>
        <v>-0.8411536426</v>
      </c>
      <c r="T19" s="43">
        <f t="shared" si="12"/>
        <v>4.308439756</v>
      </c>
      <c r="U19" s="43">
        <f t="shared" si="12"/>
        <v>1.063072015</v>
      </c>
      <c r="V19" s="43">
        <f t="shared" si="12"/>
        <v>-0.5391654837</v>
      </c>
      <c r="W19" s="43">
        <f t="shared" si="12"/>
        <v>0.4230155674</v>
      </c>
      <c r="X19" s="44">
        <f t="shared" si="12"/>
        <v>0.04372028296</v>
      </c>
    </row>
    <row r="20">
      <c r="A20" s="46" t="s">
        <v>50</v>
      </c>
      <c r="B20" s="47">
        <f t="shared" ref="B20:L20" si="13">B12/B4</f>
        <v>14.20875256</v>
      </c>
      <c r="C20" s="48">
        <f t="shared" si="13"/>
        <v>14.08760738</v>
      </c>
      <c r="D20" s="48">
        <f t="shared" si="13"/>
        <v>14.14586581</v>
      </c>
      <c r="E20" s="48">
        <f t="shared" si="13"/>
        <v>13.59863721</v>
      </c>
      <c r="F20" s="48">
        <f t="shared" si="13"/>
        <v>16.15768069</v>
      </c>
      <c r="G20" s="48">
        <f t="shared" si="13"/>
        <v>16.56954853</v>
      </c>
      <c r="H20" s="48">
        <f t="shared" si="13"/>
        <v>16.24454433</v>
      </c>
      <c r="I20" s="48">
        <f t="shared" si="13"/>
        <v>17.70358725</v>
      </c>
      <c r="J20" s="48">
        <f t="shared" si="13"/>
        <v>17.82838726</v>
      </c>
      <c r="K20" s="48">
        <f t="shared" si="13"/>
        <v>18.44791492</v>
      </c>
      <c r="L20" s="49">
        <f t="shared" si="13"/>
        <v>29.84531921</v>
      </c>
      <c r="M20" s="1"/>
      <c r="N20" s="50">
        <f t="shared" ref="N20:X20" si="14">N12/N4</f>
        <v>6.716327544</v>
      </c>
      <c r="O20" s="51">
        <f t="shared" si="14"/>
        <v>6.210570739</v>
      </c>
      <c r="P20" s="51">
        <f t="shared" si="14"/>
        <v>6.240270825</v>
      </c>
      <c r="Q20" s="51">
        <f t="shared" si="14"/>
        <v>8.025040295</v>
      </c>
      <c r="R20" s="51">
        <f t="shared" si="14"/>
        <v>9.970319279</v>
      </c>
      <c r="S20" s="51">
        <f t="shared" si="14"/>
        <v>13.78677726</v>
      </c>
      <c r="T20" s="51">
        <f t="shared" si="14"/>
        <v>11.9281281</v>
      </c>
      <c r="U20" s="51">
        <f t="shared" si="14"/>
        <v>13.31631251</v>
      </c>
      <c r="V20" s="51">
        <f t="shared" si="14"/>
        <v>14.20875256</v>
      </c>
      <c r="W20" s="51">
        <f t="shared" si="14"/>
        <v>16.15768069</v>
      </c>
      <c r="X20" s="52">
        <f t="shared" si="14"/>
        <v>17.82838726</v>
      </c>
    </row>
    <row r="21">
      <c r="A21" s="53" t="s">
        <v>51</v>
      </c>
      <c r="B21" s="54">
        <f t="shared" ref="B21:L21" si="15">B16/B20</f>
        <v>2.274367065</v>
      </c>
      <c r="C21" s="55">
        <f t="shared" si="15"/>
        <v>1.993519535</v>
      </c>
      <c r="D21" s="55">
        <f t="shared" si="15"/>
        <v>1.911493896</v>
      </c>
      <c r="E21" s="55">
        <f t="shared" si="15"/>
        <v>1.864734399</v>
      </c>
      <c r="F21" s="55">
        <f t="shared" si="15"/>
        <v>1.952719004</v>
      </c>
      <c r="G21" s="55">
        <f t="shared" si="15"/>
        <v>2.374190593</v>
      </c>
      <c r="H21" s="55">
        <f t="shared" si="15"/>
        <v>2.310923639</v>
      </c>
      <c r="I21" s="55">
        <f t="shared" si="15"/>
        <v>2.392439173</v>
      </c>
      <c r="J21" s="55">
        <f t="shared" si="15"/>
        <v>2.367545431</v>
      </c>
      <c r="K21" s="55">
        <f t="shared" si="15"/>
        <v>1.857974826</v>
      </c>
      <c r="L21" s="56">
        <f t="shared" si="15"/>
        <v>1.277435838</v>
      </c>
      <c r="M21" s="1"/>
      <c r="N21" s="57">
        <f t="shared" ref="N21:X21" si="16">N16/N20</f>
        <v>2.708503393</v>
      </c>
      <c r="O21" s="58">
        <f t="shared" si="16"/>
        <v>2.241772091</v>
      </c>
      <c r="P21" s="58">
        <f t="shared" si="16"/>
        <v>2.555220132</v>
      </c>
      <c r="Q21" s="58">
        <f t="shared" si="16"/>
        <v>2.910577432</v>
      </c>
      <c r="R21" s="58">
        <f t="shared" si="16"/>
        <v>2.611067369</v>
      </c>
      <c r="S21" s="58">
        <f t="shared" si="16"/>
        <v>1.729644645</v>
      </c>
      <c r="T21" s="58">
        <f t="shared" si="16"/>
        <v>0.9888044763</v>
      </c>
      <c r="U21" s="58">
        <f t="shared" si="16"/>
        <v>1.621262363</v>
      </c>
      <c r="V21" s="58">
        <f t="shared" si="16"/>
        <v>2.274367065</v>
      </c>
      <c r="W21" s="58">
        <f t="shared" si="16"/>
        <v>1.952719004</v>
      </c>
      <c r="X21" s="59">
        <f t="shared" si="16"/>
        <v>2.367545431</v>
      </c>
    </row>
    <row r="22">
      <c r="A22" s="6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s="60" t="s">
        <v>52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>
      <c r="A24" s="31" t="s">
        <v>53</v>
      </c>
      <c r="B24" s="61"/>
      <c r="C24" s="61">
        <f>(Model!C25*4)/C9</f>
        <v>0.11691883</v>
      </c>
      <c r="D24" s="61">
        <f>(Model!D25*4)/D9</f>
        <v>0.1077586468</v>
      </c>
      <c r="E24" s="61">
        <f>(Model!E25*4)/E9</f>
        <v>0.2636829437</v>
      </c>
      <c r="F24" s="61">
        <f>(Model!F25*4)/F9</f>
        <v>0.1267519406</v>
      </c>
      <c r="G24" s="61">
        <f>(Model!G25*4)/G9</f>
        <v>0.09908073786</v>
      </c>
      <c r="H24" s="61">
        <f>(Model!H25*4)/H9</f>
        <v>0.1261401971</v>
      </c>
      <c r="I24" s="61">
        <f>(Model!I25*4)/I9</f>
        <v>0.1037039855</v>
      </c>
      <c r="J24" s="61">
        <f>(Model!J25*4)/J9</f>
        <v>0.2151122509</v>
      </c>
      <c r="K24" s="61">
        <f>(Model!K25*4)/K9</f>
        <v>0.09810836807</v>
      </c>
      <c r="L24" s="62">
        <f>(Model!L25*4)/L9</f>
        <v>0.03432774826</v>
      </c>
      <c r="M24" s="1"/>
      <c r="N24" s="63">
        <f>(Model!N25)/N9</f>
        <v>0.05514307725</v>
      </c>
      <c r="O24" s="61">
        <f>(Model!O25)/O9</f>
        <v>0.04609131805</v>
      </c>
      <c r="P24" s="61">
        <f>(Model!P25)/P9</f>
        <v>-0.01625384573</v>
      </c>
      <c r="Q24" s="61">
        <f>(Model!Q25)/Q9</f>
        <v>0.1100433647</v>
      </c>
      <c r="R24" s="61">
        <f>(Model!R25)/R9</f>
        <v>0.1559353205</v>
      </c>
      <c r="S24" s="61">
        <f>(Model!S25)/S9</f>
        <v>0.07941482453</v>
      </c>
      <c r="T24" s="61">
        <f>(Model!T25)/T9</f>
        <v>-0.0785792494</v>
      </c>
      <c r="U24" s="61">
        <f>(Model!U25)/U9</f>
        <v>0.0845996122</v>
      </c>
      <c r="V24" s="61">
        <f>(Model!V25)/V9</f>
        <v>0.2246298675</v>
      </c>
      <c r="W24" s="61">
        <f>(Model!W25)/W9</f>
        <v>0.126152307</v>
      </c>
      <c r="X24" s="62">
        <f>(Model!X25)/X9</f>
        <v>0.1190858157</v>
      </c>
    </row>
    <row r="25">
      <c r="A25" s="36" t="s">
        <v>54</v>
      </c>
      <c r="B25" s="43"/>
      <c r="C25" s="43">
        <f>(Model!C25*4)/C12</f>
        <v>0.1540131249</v>
      </c>
      <c r="D25" s="43">
        <f>(Model!D25*4)/D12</f>
        <v>0.1398513671</v>
      </c>
      <c r="E25" s="43">
        <f>(Model!E25*4)/E12</f>
        <v>0.3427026245</v>
      </c>
      <c r="F25" s="43">
        <f>(Model!F25*4)/F12</f>
        <v>0.1762780336</v>
      </c>
      <c r="G25" s="43">
        <f>(Model!G25*4)/G12</f>
        <v>0.1388091479</v>
      </c>
      <c r="H25" s="43">
        <f>(Model!H25*4)/H12</f>
        <v>0.1712310889</v>
      </c>
      <c r="I25" s="43">
        <f>(Model!I25*4)/I12</f>
        <v>0.1307686865</v>
      </c>
      <c r="J25" s="43">
        <f>(Model!J25*4)/J12</f>
        <v>0.2790898388</v>
      </c>
      <c r="K25" s="43">
        <f>(Model!K25*4)/K12</f>
        <v>0.1149727597</v>
      </c>
      <c r="L25" s="44">
        <f>(Model!L25*4)/L12</f>
        <v>0.03901985832</v>
      </c>
      <c r="M25" s="1"/>
      <c r="N25" s="42">
        <f>(Model!N25)/N12</f>
        <v>0.05535433762</v>
      </c>
      <c r="O25" s="43">
        <f>(Model!O25)/O12</f>
        <v>0.04931090753</v>
      </c>
      <c r="P25" s="43">
        <f>(Model!P25)/P12</f>
        <v>-0.01989238873</v>
      </c>
      <c r="Q25" s="43">
        <f>(Model!Q25)/Q12</f>
        <v>0.1219794553</v>
      </c>
      <c r="R25" s="43">
        <f>(Model!R25)/R12</f>
        <v>0.2085030258</v>
      </c>
      <c r="S25" s="43">
        <f>(Model!S25)/S12</f>
        <v>0.1012253937</v>
      </c>
      <c r="T25" s="43">
        <f>(Model!T25)/T12</f>
        <v>-0.1039389349</v>
      </c>
      <c r="U25" s="43">
        <f>(Model!U25)/U12</f>
        <v>0.1149560109</v>
      </c>
      <c r="V25" s="43">
        <f>(Model!V25)/V12</f>
        <v>0.28257417</v>
      </c>
      <c r="W25" s="43">
        <f>(Model!W25)/W12</f>
        <v>0.1754441036</v>
      </c>
      <c r="X25" s="44">
        <f>(Model!X25)/X12</f>
        <v>0.1545037113</v>
      </c>
    </row>
    <row r="26">
      <c r="A26" s="64" t="s">
        <v>55</v>
      </c>
      <c r="B26" s="43"/>
      <c r="C26" s="43">
        <f>((Model!C17-Model!C24)*4)/(C5+C12)</f>
        <v>0.1511777752</v>
      </c>
      <c r="D26" s="43">
        <f>((Model!D17-Model!D24)*4)/(D5+D12)</f>
        <v>0.1412242735</v>
      </c>
      <c r="E26" s="43">
        <f>((Model!E17-Model!E24)*4)/(E5+E12)</f>
        <v>0.2855807664</v>
      </c>
      <c r="F26" s="43">
        <f>((Model!F17-Model!F24)*4)/(F5+F12)</f>
        <v>0.1388547432</v>
      </c>
      <c r="G26" s="43">
        <f>((Model!G17-Model!G24)*4)/(G5+G12)</f>
        <v>0.1277434942</v>
      </c>
      <c r="H26" s="43">
        <f>((Model!H17-Model!H24)*4)/(H5+H12)</f>
        <v>0.1405201467</v>
      </c>
      <c r="I26" s="43">
        <f>((Model!I17-Model!I24)*4)/(I5+I12)</f>
        <v>0.1401011281</v>
      </c>
      <c r="J26" s="43">
        <f>((Model!J17-Model!J24)*4)/(J5+J12)</f>
        <v>0.2290452906</v>
      </c>
      <c r="K26" s="43">
        <f>((Model!K17-Model!K24)*4)/(K5+K12)</f>
        <v>0.08722538649</v>
      </c>
      <c r="L26" s="44">
        <f>((Model!L17-Model!L24)*4)/(L5+L12)</f>
        <v>0.05273457617</v>
      </c>
      <c r="M26" s="1"/>
      <c r="N26" s="65">
        <f>((Model!N17-Model!N24))/(N5+N12)</f>
        <v>0.0754962632</v>
      </c>
      <c r="O26" s="66">
        <f>((Model!O17-Model!O24))/(O5+O12)</f>
        <v>0.0460158144</v>
      </c>
      <c r="P26" s="66">
        <f>((Model!P17-Model!P24))/(P5+P12)</f>
        <v>-0.01393032295</v>
      </c>
      <c r="Q26" s="66">
        <f>((Model!Q17-Model!Q24))/(Q5+Q12)</f>
        <v>0.1129840144</v>
      </c>
      <c r="R26" s="66">
        <f>((Model!R17-Model!R24))/(R5+R12)</f>
        <v>0.1670782662</v>
      </c>
      <c r="S26" s="66">
        <f>((Model!S17-Model!S24))/(S5+S12)</f>
        <v>0.08481801779</v>
      </c>
      <c r="T26" s="66">
        <f>((Model!T17-Model!T24))/(T5+T12)</f>
        <v>-0.03705890849</v>
      </c>
      <c r="U26" s="66">
        <f>((Model!U17-Model!U24))/(U5+U12)</f>
        <v>0.1196359595</v>
      </c>
      <c r="V26" s="66">
        <f>((Model!V17-Model!V24))/(V5+V12)</f>
        <v>0.2460426715</v>
      </c>
      <c r="W26" s="66">
        <f>((Model!W17-Model!W24))/(W5+W12)</f>
        <v>0.1457295218</v>
      </c>
      <c r="X26" s="67">
        <f>((Model!X17-Model!X24))/(X5+X12)</f>
        <v>0.1334885772</v>
      </c>
    </row>
    <row r="27">
      <c r="A27" s="68" t="s">
        <v>56</v>
      </c>
      <c r="B27" s="69"/>
      <c r="C27" s="70">
        <f>C3/(4*Model!C25)</f>
        <v>12.94382888</v>
      </c>
      <c r="D27" s="70">
        <f>D3/(4*Model!D25)</f>
        <v>13.66803868</v>
      </c>
      <c r="E27" s="70">
        <f>E3/(4*Model!E25)</f>
        <v>5.441260925</v>
      </c>
      <c r="F27" s="70">
        <f>F3/(4*Model!F25)</f>
        <v>11.07749482</v>
      </c>
      <c r="G27" s="70">
        <f>G3/(4*Model!G25)</f>
        <v>17.10399227</v>
      </c>
      <c r="H27" s="70">
        <f>H3/(4*Model!H25)</f>
        <v>13.49593496</v>
      </c>
      <c r="I27" s="70">
        <f>I3/(4*Model!I25)</f>
        <v>18.29519923</v>
      </c>
      <c r="J27" s="70">
        <f>J3/(4*Model!J25)</f>
        <v>8.483094339</v>
      </c>
      <c r="K27" s="70">
        <f>K3/(4*Model!K25)</f>
        <v>16.16013072</v>
      </c>
      <c r="L27" s="71">
        <f>L3/(4*Model!L25)</f>
        <v>32.73809524</v>
      </c>
      <c r="M27" s="72"/>
      <c r="N27" s="73">
        <f>N3/Model!N25</f>
        <v>48.93028278</v>
      </c>
      <c r="O27" s="74">
        <f>O3/Model!O25</f>
        <v>45.46199214</v>
      </c>
      <c r="P27" s="74">
        <f>P3/Model!P25</f>
        <v>-128.4521516</v>
      </c>
      <c r="Q27" s="74">
        <f>Q3/Model!Q25</f>
        <v>23.86121028</v>
      </c>
      <c r="R27" s="74">
        <f>R3/Model!R25</f>
        <v>12.52292315</v>
      </c>
      <c r="S27" s="74">
        <f>S3/Model!S25</f>
        <v>17.08706265</v>
      </c>
      <c r="T27" s="74">
        <f>T3/Model!T25</f>
        <v>-9.513321235</v>
      </c>
      <c r="U27" s="74">
        <f>U3/Model!U25</f>
        <v>14.10332831</v>
      </c>
      <c r="V27" s="74">
        <f>V3/Model!V25</f>
        <v>8.04874368</v>
      </c>
      <c r="W27" s="74">
        <f>W3/Model!W25</f>
        <v>11.13014894</v>
      </c>
      <c r="X27" s="75">
        <f>X3/Model!X25</f>
        <v>15.32355056</v>
      </c>
      <c r="Y27" s="76"/>
      <c r="Z27" s="76"/>
    </row>
    <row r="28">
      <c r="A28" s="1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1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>
      <c r="A29" s="31" t="s">
        <v>57</v>
      </c>
      <c r="B29" s="78">
        <f t="shared" ref="B29:I29" si="17">B8/B10</f>
        <v>5.405085209</v>
      </c>
      <c r="C29" s="78">
        <f t="shared" si="17"/>
        <v>4.47650398</v>
      </c>
      <c r="D29" s="78">
        <f t="shared" si="17"/>
        <v>3.767726771</v>
      </c>
      <c r="E29" s="78">
        <f t="shared" si="17"/>
        <v>5.519572129</v>
      </c>
      <c r="F29" s="78">
        <f t="shared" si="17"/>
        <v>4.315522011</v>
      </c>
      <c r="G29" s="78">
        <f t="shared" si="17"/>
        <v>3.458504145</v>
      </c>
      <c r="H29" s="78">
        <f t="shared" si="17"/>
        <v>7.060052937</v>
      </c>
      <c r="I29" s="78">
        <f t="shared" si="17"/>
        <v>7.242580528</v>
      </c>
      <c r="J29" s="78">
        <f t="shared" ref="J29:K29" si="18">J8/J11</f>
        <v>0.2048192771</v>
      </c>
      <c r="K29" s="78">
        <f t="shared" si="18"/>
        <v>0.8655737705</v>
      </c>
      <c r="L29" s="79">
        <f>L8/L10</f>
        <v>6.152777778</v>
      </c>
      <c r="M29" s="1"/>
      <c r="N29" s="80">
        <f t="shared" ref="N29:X29" si="19">N8/N10</f>
        <v>11.75134081</v>
      </c>
      <c r="O29" s="78">
        <f t="shared" si="19"/>
        <v>125.1034483</v>
      </c>
      <c r="P29" s="78">
        <f t="shared" si="19"/>
        <v>10.88470479</v>
      </c>
      <c r="Q29" s="78">
        <f t="shared" si="19"/>
        <v>9.850417481</v>
      </c>
      <c r="R29" s="78">
        <f t="shared" si="19"/>
        <v>10.83444039</v>
      </c>
      <c r="S29" s="78">
        <f t="shared" si="19"/>
        <v>5.409767719</v>
      </c>
      <c r="T29" s="78">
        <f t="shared" si="19"/>
        <v>1.200160039</v>
      </c>
      <c r="U29" s="78">
        <f t="shared" si="19"/>
        <v>4.542998447</v>
      </c>
      <c r="V29" s="78">
        <f t="shared" si="19"/>
        <v>5.405085209</v>
      </c>
      <c r="W29" s="78">
        <f t="shared" si="19"/>
        <v>4.315522011</v>
      </c>
      <c r="X29" s="79">
        <f t="shared" si="19"/>
        <v>4.857142857</v>
      </c>
    </row>
    <row r="30">
      <c r="A30" s="36" t="s">
        <v>58</v>
      </c>
      <c r="B30" s="77">
        <f t="shared" ref="B30:L30" si="20">(B6+B7)/B10</f>
        <v>4.834411738</v>
      </c>
      <c r="C30" s="77">
        <f t="shared" si="20"/>
        <v>4.315206073</v>
      </c>
      <c r="D30" s="77">
        <f t="shared" si="20"/>
        <v>3.498272731</v>
      </c>
      <c r="E30" s="77">
        <f t="shared" si="20"/>
        <v>5.433640058</v>
      </c>
      <c r="F30" s="77">
        <f t="shared" si="20"/>
        <v>4.17043541</v>
      </c>
      <c r="G30" s="77">
        <f t="shared" si="20"/>
        <v>3.372925207</v>
      </c>
      <c r="H30" s="77">
        <f t="shared" si="20"/>
        <v>6.94084081</v>
      </c>
      <c r="I30" s="77">
        <f t="shared" si="20"/>
        <v>7.046303836</v>
      </c>
      <c r="J30" s="77">
        <f t="shared" si="20"/>
        <v>4.265306122</v>
      </c>
      <c r="K30" s="77">
        <f t="shared" si="20"/>
        <v>8.230769231</v>
      </c>
      <c r="L30" s="81">
        <f t="shared" si="20"/>
        <v>5.861111111</v>
      </c>
      <c r="M30" s="1"/>
      <c r="N30" s="82">
        <f t="shared" ref="N30:X30" si="21">(N6+N7)/N10</f>
        <v>11.75134081</v>
      </c>
      <c r="O30" s="77">
        <f t="shared" si="21"/>
        <v>125.1034483</v>
      </c>
      <c r="P30" s="77">
        <f t="shared" si="21"/>
        <v>10.79776848</v>
      </c>
      <c r="Q30" s="77">
        <f t="shared" si="21"/>
        <v>9.787351217</v>
      </c>
      <c r="R30" s="77">
        <f t="shared" si="21"/>
        <v>10.79176353</v>
      </c>
      <c r="S30" s="77">
        <f t="shared" si="21"/>
        <v>5.380211435</v>
      </c>
      <c r="T30" s="77">
        <f t="shared" si="21"/>
        <v>1.185418658</v>
      </c>
      <c r="U30" s="77">
        <f t="shared" si="21"/>
        <v>4.502575002</v>
      </c>
      <c r="V30" s="77">
        <f t="shared" si="21"/>
        <v>4.834411738</v>
      </c>
      <c r="W30" s="77">
        <f t="shared" si="21"/>
        <v>4.17043541</v>
      </c>
      <c r="X30" s="81">
        <f t="shared" si="21"/>
        <v>4.265306122</v>
      </c>
    </row>
    <row r="31">
      <c r="A31" s="64" t="s">
        <v>59</v>
      </c>
      <c r="B31" s="83">
        <f t="shared" ref="B31:F31" si="22">B5/B12</f>
        <v>0.2484982931</v>
      </c>
      <c r="C31" s="83">
        <f t="shared" si="22"/>
        <v>0.3032391857</v>
      </c>
      <c r="D31" s="83">
        <f t="shared" si="22"/>
        <v>0.284062865</v>
      </c>
      <c r="E31" s="83">
        <f t="shared" si="22"/>
        <v>0.2793715308</v>
      </c>
      <c r="F31" s="83">
        <f t="shared" si="22"/>
        <v>0.3790241584</v>
      </c>
      <c r="G31" s="83">
        <f>G6/G12</f>
        <v>0.006984659237</v>
      </c>
      <c r="H31" s="83">
        <f t="shared" ref="H31:L31" si="23">H5/H12</f>
        <v>0.3473419158</v>
      </c>
      <c r="I31" s="83">
        <f t="shared" si="23"/>
        <v>0.01324086166</v>
      </c>
      <c r="J31" s="83">
        <f t="shared" si="23"/>
        <v>0.2771947786</v>
      </c>
      <c r="K31" s="83">
        <f t="shared" si="23"/>
        <v>0.1544241969</v>
      </c>
      <c r="L31" s="84">
        <f t="shared" si="23"/>
        <v>0.1275113227</v>
      </c>
      <c r="M31" s="1"/>
      <c r="N31" s="85">
        <f t="shared" ref="N31:X31" si="24">N5/N12</f>
        <v>0</v>
      </c>
      <c r="O31" s="83">
        <f t="shared" si="24"/>
        <v>0.06967670011</v>
      </c>
      <c r="P31" s="83">
        <f t="shared" si="24"/>
        <v>0.2199314471</v>
      </c>
      <c r="Q31" s="83">
        <f t="shared" si="24"/>
        <v>0.1023078909</v>
      </c>
      <c r="R31" s="83">
        <f t="shared" si="24"/>
        <v>0.332244176</v>
      </c>
      <c r="S31" s="83">
        <f t="shared" si="24"/>
        <v>0.2684948431</v>
      </c>
      <c r="T31" s="83">
        <f t="shared" si="24"/>
        <v>0.2985996057</v>
      </c>
      <c r="U31" s="83">
        <f t="shared" si="24"/>
        <v>0.3478669203</v>
      </c>
      <c r="V31" s="83">
        <f t="shared" si="24"/>
        <v>0.2484982931</v>
      </c>
      <c r="W31" s="83">
        <f t="shared" si="24"/>
        <v>0.3790241584</v>
      </c>
      <c r="X31" s="84">
        <f t="shared" si="24"/>
        <v>0.2771947786</v>
      </c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A33" s="86" t="s">
        <v>60</v>
      </c>
      <c r="B33" s="87" t="s">
        <v>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1"/>
      <c r="B34" s="88" t="s">
        <v>62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32.25" customHeight="1">
      <c r="A35" s="1"/>
      <c r="B35" s="89" t="s">
        <v>63</v>
      </c>
      <c r="M35" s="1"/>
    </row>
    <row r="36">
      <c r="A36" s="1"/>
      <c r="B36" s="90" t="s">
        <v>64</v>
      </c>
      <c r="C36" s="87" t="s">
        <v>65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1"/>
      <c r="B37" s="1"/>
      <c r="C37" s="91" t="s">
        <v>66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1">
    <mergeCell ref="B35:L35"/>
  </mergeCells>
  <dataValidations>
    <dataValidation type="custom" allowBlank="1" showDropDown="1" sqref="K3:L12">
      <formula1>AND(ISNUMBER(K3),(NOT(OR(NOT(ISERROR(DATEVALUE(K3))), AND(ISNUMBER(K3), LEFT(CELL("format", K3))="D")))))</formula1>
    </dataValidation>
  </dataValidations>
  <hyperlinks>
    <hyperlink r:id="rId1" ref="B34"/>
    <hyperlink r:id="rId2" ref="C37"/>
  </hyperlinks>
  <drawing r:id="rId3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4.13"/>
    <col customWidth="1" min="26" max="26" width="13.63"/>
    <col customWidth="1" min="27" max="27" width="20.38"/>
  </cols>
  <sheetData>
    <row r="1">
      <c r="A1" s="92"/>
      <c r="B1" s="93"/>
      <c r="C1" s="94" t="s">
        <v>67</v>
      </c>
      <c r="D1" s="95"/>
      <c r="E1" s="95"/>
      <c r="F1" s="95"/>
      <c r="G1" s="95"/>
      <c r="H1" s="95"/>
      <c r="I1" s="95"/>
      <c r="J1" s="95"/>
      <c r="K1" s="95"/>
      <c r="L1" s="95"/>
      <c r="M1" s="92"/>
      <c r="N1" s="94" t="s">
        <v>68</v>
      </c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</row>
    <row r="2">
      <c r="A2" s="92"/>
      <c r="B2" s="96" t="s">
        <v>12</v>
      </c>
      <c r="C2" s="97" t="s">
        <v>13</v>
      </c>
      <c r="D2" s="97" t="s">
        <v>14</v>
      </c>
      <c r="E2" s="97" t="s">
        <v>15</v>
      </c>
      <c r="F2" s="97" t="s">
        <v>16</v>
      </c>
      <c r="G2" s="98" t="s">
        <v>17</v>
      </c>
      <c r="H2" s="98" t="s">
        <v>18</v>
      </c>
      <c r="I2" s="98" t="s">
        <v>19</v>
      </c>
      <c r="J2" s="98" t="s">
        <v>20</v>
      </c>
      <c r="K2" s="98" t="s">
        <v>21</v>
      </c>
      <c r="L2" s="98" t="s">
        <v>22</v>
      </c>
      <c r="M2" s="92"/>
      <c r="N2" s="99">
        <v>2014.0</v>
      </c>
      <c r="O2" s="100">
        <v>2015.0</v>
      </c>
      <c r="P2" s="100">
        <v>2016.0</v>
      </c>
      <c r="Q2" s="100">
        <v>2017.0</v>
      </c>
      <c r="R2" s="100">
        <v>2018.0</v>
      </c>
      <c r="S2" s="100">
        <v>2019.0</v>
      </c>
      <c r="T2" s="100">
        <v>2020.0</v>
      </c>
      <c r="U2" s="100">
        <v>2021.0</v>
      </c>
      <c r="V2" s="100">
        <v>2022.0</v>
      </c>
      <c r="W2" s="100">
        <v>2023.0</v>
      </c>
      <c r="X2" s="100">
        <v>2024.0</v>
      </c>
      <c r="Y2" s="100">
        <v>2025.0</v>
      </c>
    </row>
    <row r="3">
      <c r="A3" s="101" t="s">
        <v>69</v>
      </c>
      <c r="B3" s="102">
        <f t="array" ref="B3">XLOOKUP(B2,WTI_by_Quarter[Q&amp;Y],WTI_by_Quarter[WTI q/q price],0,1)</f>
        <v>82.78666667</v>
      </c>
      <c r="C3" s="102">
        <f t="array" ref="C3">XLOOKUP(C2,WTI_by_Quarter[Q&amp;Y],WTI_by_Quarter[WTI q/q price],0,1)</f>
        <v>76.07666667</v>
      </c>
      <c r="D3" s="102">
        <f t="array" ref="D3">XLOOKUP(D2,WTI_by_Quarter[Q&amp;Y],WTI_by_Quarter[WTI q/q price],0,1)</f>
        <v>73.76</v>
      </c>
      <c r="E3" s="102">
        <f t="array" ref="E3">XLOOKUP(E2,WTI_by_Quarter[Q&amp;Y],WTI_by_Quarter[WTI q/q price],0,1)</f>
        <v>82.29666667</v>
      </c>
      <c r="F3" s="102">
        <f t="array" ref="F3">XLOOKUP(F2,WTI_by_Quarter[Q&amp;Y],WTI_by_Quarter[WTI q/q price],0,1)</f>
        <v>78.41</v>
      </c>
      <c r="G3" s="102">
        <f t="array" ref="G3">XLOOKUP(G2,WTI_by_Quarter[Q&amp;Y],WTI_by_Quarter[WTI q/q price],0,1)</f>
        <v>77.56</v>
      </c>
      <c r="H3" s="102">
        <f t="array" ref="H3">XLOOKUP(H2,WTI_by_Quarter[Q&amp;Y],WTI_by_Quarter[WTI q/q price],0,1)</f>
        <v>81.71333333</v>
      </c>
      <c r="I3" s="102">
        <f t="array" ref="I3">XLOOKUP(I2,WTI_by_Quarter[Q&amp;Y],WTI_by_Quarter[WTI q/q price],0,1)</f>
        <v>76.24</v>
      </c>
      <c r="J3" s="102">
        <f t="array" ref="J3">XLOOKUP(J2,WTI_by_Quarter[Q&amp;Y],WTI_by_Quarter[WTI q/q price],0,1)</f>
        <v>70.68666667</v>
      </c>
      <c r="K3" s="102">
        <f t="array" ref="K3">XLOOKUP(K2,WTI_by_Quarter[Q&amp;Y],WTI_by_Quarter[WTI q/q price],0,1)</f>
        <v>71.83666667</v>
      </c>
      <c r="L3" s="102">
        <f t="array" ref="L3">XLOOKUP(L2,WTI_by_Quarter[Q&amp;Y],WTI_by_Quarter[WTI q/q price],0,1)</f>
        <v>64.62666667</v>
      </c>
      <c r="M3" s="103"/>
      <c r="N3" s="102">
        <f t="array" ref="N3">XLOOKUP(N2,WTI_by_Year[Year],WTI_by_Year[WTI y/y price],0,1)</f>
        <v>93.25833333</v>
      </c>
      <c r="O3" s="102">
        <f t="array" ref="O3">XLOOKUP(O2,WTI_by_Year[Year],WTI_by_Year[WTI y/y price],0,1)</f>
        <v>48.68833333</v>
      </c>
      <c r="P3" s="102">
        <f t="array" ref="P3">XLOOKUP(P2,WTI_by_Year[Year],WTI_by_Year[WTI y/y price],0,1)</f>
        <v>43.14416667</v>
      </c>
      <c r="Q3" s="102">
        <f t="array" ref="Q3">XLOOKUP(Q2,WTI_by_Year[Year],WTI_by_Year[WTI y/y price],0,1)</f>
        <v>50.88416667</v>
      </c>
      <c r="R3" s="102">
        <f t="array" ref="R3">XLOOKUP(R2,WTI_by_Year[Year],WTI_by_Year[WTI y/y price],0,1)</f>
        <v>64.93833333</v>
      </c>
      <c r="S3" s="102">
        <f t="array" ref="S3">XLOOKUP(S2,WTI_by_Year[Year],WTI_by_Year[WTI y/y price],0,1)</f>
        <v>56.98416667</v>
      </c>
      <c r="T3" s="102">
        <f t="array" ref="T3">XLOOKUP(T2,WTI_by_Year[Year],WTI_by_Year[WTI y/y price],0,1)</f>
        <v>39.2275</v>
      </c>
      <c r="U3" s="102">
        <f t="array" ref="U3">XLOOKUP(U2,WTI_by_Year[Year],WTI_by_Year[WTI y/y price],0,1)</f>
        <v>67.9875</v>
      </c>
      <c r="V3" s="102">
        <f t="array" ref="V3">XLOOKUP(V2,WTI_by_Year[Year],WTI_by_Year[WTI y/y price],0,1)</f>
        <v>94.78666667</v>
      </c>
      <c r="W3" s="102">
        <f t="array" ref="W3">XLOOKUP(W2,WTI_by_Year[Year],WTI_by_Year[WTI y/y price],0,1)</f>
        <v>77.63583333</v>
      </c>
      <c r="X3" s="102">
        <f t="array" ref="X3">XLOOKUP(X2,WTI_by_Year[Year],WTI_by_Year[WTI y/y price],0,1)</f>
        <v>76.55</v>
      </c>
      <c r="Y3" s="104"/>
    </row>
    <row r="4">
      <c r="A4" s="105" t="s">
        <v>70</v>
      </c>
      <c r="B4" s="106"/>
      <c r="C4" s="106">
        <v>1.36619E8</v>
      </c>
      <c r="D4" s="106">
        <v>1.393E8</v>
      </c>
      <c r="E4" s="106">
        <v>1.68008E8</v>
      </c>
      <c r="F4" s="106">
        <v>1.75254E8</v>
      </c>
      <c r="G4" s="106">
        <v>1.77118E8</v>
      </c>
      <c r="H4" s="106">
        <v>1.94E8</v>
      </c>
      <c r="I4" s="106">
        <v>1.8675E8</v>
      </c>
      <c r="J4" s="107">
        <v>1.92493E8</v>
      </c>
      <c r="K4" s="106">
        <v>2.01E8</v>
      </c>
      <c r="L4" s="106">
        <v>2.41E8</v>
      </c>
      <c r="M4" s="108"/>
      <c r="N4" s="107"/>
      <c r="O4" s="107"/>
      <c r="P4" s="107"/>
      <c r="Q4" s="107"/>
      <c r="R4" s="107"/>
      <c r="S4" s="107"/>
      <c r="T4" s="106">
        <v>2.17859E8</v>
      </c>
      <c r="U4" s="106">
        <v>3.97513E8</v>
      </c>
      <c r="V4" s="106">
        <v>6.67281E8</v>
      </c>
      <c r="W4" s="106">
        <v>6.19181E8</v>
      </c>
      <c r="X4" s="106">
        <v>7.50243E8</v>
      </c>
      <c r="Y4" s="1"/>
    </row>
    <row r="5">
      <c r="A5" s="105" t="s">
        <v>71</v>
      </c>
      <c r="B5" s="106"/>
      <c r="C5" s="106">
        <v>8991000.0</v>
      </c>
      <c r="D5" s="106">
        <v>5090000.0</v>
      </c>
      <c r="E5" s="106">
        <v>8893000.0</v>
      </c>
      <c r="F5" s="106">
        <v>7979000.0</v>
      </c>
      <c r="G5" s="106">
        <v>6797000.0</v>
      </c>
      <c r="H5" s="106">
        <v>1000000.0</v>
      </c>
      <c r="I5" s="106">
        <v>823000.0</v>
      </c>
      <c r="J5" s="107">
        <v>5990000.0</v>
      </c>
      <c r="K5" s="106">
        <v>1.5E7</v>
      </c>
      <c r="L5" s="106">
        <v>1.0E7</v>
      </c>
      <c r="M5" s="108"/>
      <c r="N5" s="107"/>
      <c r="O5" s="107"/>
      <c r="P5" s="107"/>
      <c r="Q5" s="107"/>
      <c r="R5" s="107"/>
      <c r="S5" s="107"/>
      <c r="T5" s="106">
        <v>9024000.0</v>
      </c>
      <c r="U5" s="106">
        <v>4.9197E7</v>
      </c>
      <c r="V5" s="106">
        <v>8.3149E7</v>
      </c>
      <c r="W5" s="106">
        <v>3.0953E7</v>
      </c>
      <c r="X5" s="106">
        <v>1.4813E7</v>
      </c>
      <c r="Y5" s="1"/>
    </row>
    <row r="6">
      <c r="A6" s="105" t="s">
        <v>72</v>
      </c>
      <c r="B6" s="106"/>
      <c r="C6" s="106">
        <v>1.5475E7</v>
      </c>
      <c r="D6" s="106">
        <v>1.3807E7</v>
      </c>
      <c r="E6" s="106">
        <v>1.8713E7</v>
      </c>
      <c r="F6" s="106">
        <v>1.8981E7</v>
      </c>
      <c r="G6" s="106">
        <v>2.1152E7</v>
      </c>
      <c r="H6" s="106">
        <v>2.0E7</v>
      </c>
      <c r="I6" s="106">
        <v>2.0585E7</v>
      </c>
      <c r="J6" s="107">
        <v>2.6935E7</v>
      </c>
      <c r="K6" s="106">
        <v>2.8E7</v>
      </c>
      <c r="L6" s="106">
        <v>3.6E7</v>
      </c>
      <c r="M6" s="108"/>
      <c r="N6" s="107"/>
      <c r="O6" s="107"/>
      <c r="P6" s="107"/>
      <c r="Q6" s="107"/>
      <c r="R6" s="107"/>
      <c r="S6" s="107"/>
      <c r="T6" s="106">
        <v>2.0098E7</v>
      </c>
      <c r="U6" s="106">
        <v>5.4824E7</v>
      </c>
      <c r="V6" s="106">
        <v>8.7546E7</v>
      </c>
      <c r="W6" s="106">
        <v>6.6976E7</v>
      </c>
      <c r="X6" s="106">
        <v>8.852E7</v>
      </c>
      <c r="Y6" s="1"/>
      <c r="Z6" s="109"/>
      <c r="AA6" s="110" t="s">
        <v>73</v>
      </c>
      <c r="AB6" s="111"/>
    </row>
    <row r="7">
      <c r="A7" s="105" t="s">
        <v>74</v>
      </c>
      <c r="B7" s="106"/>
      <c r="C7" s="106">
        <f>7071000+400000+402000</f>
        <v>7873000</v>
      </c>
      <c r="D7" s="106">
        <f>1277000+1134000+179000</f>
        <v>2590000</v>
      </c>
      <c r="E7" s="106">
        <f>97237000+196000+193000</f>
        <v>97626000</v>
      </c>
      <c r="F7" s="106">
        <v>2498000.0</v>
      </c>
      <c r="G7" s="106">
        <f>120000+50000+155000</f>
        <v>325000</v>
      </c>
      <c r="H7" s="106">
        <v>1000000.0</v>
      </c>
      <c r="I7" s="107">
        <f>107000+1143000+180000</f>
        <v>1430000</v>
      </c>
      <c r="J7" s="107">
        <v>4381000.0</v>
      </c>
      <c r="K7" s="106">
        <v>1000000.0</v>
      </c>
      <c r="L7" s="106">
        <v>1.0E7</v>
      </c>
      <c r="M7" s="108"/>
      <c r="N7" s="107"/>
      <c r="O7" s="107"/>
      <c r="P7" s="107"/>
      <c r="Q7" s="107"/>
      <c r="R7" s="107"/>
      <c r="S7" s="107"/>
      <c r="T7" s="107">
        <f>2585000+1060000</f>
        <v>3645000</v>
      </c>
      <c r="U7" s="107">
        <f>2763000+620000</f>
        <v>3383000</v>
      </c>
      <c r="V7" s="107">
        <f>23367000+4424000+700000</f>
        <v>28491000</v>
      </c>
      <c r="W7" s="107">
        <f>107823000+1855000+909000</f>
        <v>110587000</v>
      </c>
      <c r="X7" s="107">
        <f>227000+5944000+640000</f>
        <v>6811000</v>
      </c>
      <c r="Y7" s="1"/>
      <c r="Z7" s="112"/>
      <c r="AA7" s="113" t="s">
        <v>75</v>
      </c>
      <c r="AB7" s="114" t="s">
        <v>76</v>
      </c>
    </row>
    <row r="8">
      <c r="A8" s="115" t="s">
        <v>77</v>
      </c>
      <c r="B8" s="116"/>
      <c r="C8" s="116">
        <f t="shared" ref="C8:L8" si="1">SUM(C4:C7)</f>
        <v>168958000</v>
      </c>
      <c r="D8" s="116">
        <f t="shared" si="1"/>
        <v>160787000</v>
      </c>
      <c r="E8" s="116">
        <f t="shared" si="1"/>
        <v>293240000</v>
      </c>
      <c r="F8" s="116">
        <f t="shared" si="1"/>
        <v>204712000</v>
      </c>
      <c r="G8" s="116">
        <f t="shared" si="1"/>
        <v>205392000</v>
      </c>
      <c r="H8" s="116">
        <f t="shared" si="1"/>
        <v>216000000</v>
      </c>
      <c r="I8" s="116">
        <f t="shared" si="1"/>
        <v>209588000</v>
      </c>
      <c r="J8" s="116">
        <f t="shared" si="1"/>
        <v>229799000</v>
      </c>
      <c r="K8" s="116">
        <f t="shared" si="1"/>
        <v>245000000</v>
      </c>
      <c r="L8" s="116">
        <f t="shared" si="1"/>
        <v>297000000</v>
      </c>
      <c r="M8" s="108"/>
      <c r="N8" s="117">
        <v>7.7767E7</v>
      </c>
      <c r="O8" s="117">
        <v>7.4859E7</v>
      </c>
      <c r="P8" s="117">
        <v>7.9146E7</v>
      </c>
      <c r="Q8" s="117">
        <v>1.72033E8</v>
      </c>
      <c r="R8" s="117">
        <v>2.8882E8</v>
      </c>
      <c r="S8" s="117">
        <v>2.98293E8</v>
      </c>
      <c r="T8" s="116">
        <f t="shared" ref="T8:X8" si="2">sum(T4:T7)</f>
        <v>250626000</v>
      </c>
      <c r="U8" s="116">
        <f t="shared" si="2"/>
        <v>504917000</v>
      </c>
      <c r="V8" s="116">
        <f t="shared" si="2"/>
        <v>866467000</v>
      </c>
      <c r="W8" s="116">
        <f t="shared" si="2"/>
        <v>827697000</v>
      </c>
      <c r="X8" s="116">
        <f t="shared" si="2"/>
        <v>860387000</v>
      </c>
      <c r="Y8" s="1"/>
      <c r="Z8" s="118"/>
      <c r="AA8" s="119">
        <f>(X8-N8)/(COUNT(N8:X8))</f>
        <v>71147272.73</v>
      </c>
      <c r="AB8" s="120">
        <f>((X8/N8)^(1/COUNT(N8:X8)))-1</f>
        <v>0.2442276925</v>
      </c>
    </row>
    <row r="9">
      <c r="A9" s="108" t="s">
        <v>78</v>
      </c>
      <c r="B9" s="106"/>
      <c r="C9" s="106">
        <v>0.0</v>
      </c>
      <c r="D9" s="106">
        <v>0.0</v>
      </c>
      <c r="E9" s="106">
        <v>0.0</v>
      </c>
      <c r="F9" s="106">
        <v>0.0</v>
      </c>
      <c r="G9" s="106">
        <v>0.0</v>
      </c>
      <c r="H9" s="106">
        <v>0.0</v>
      </c>
      <c r="I9" s="106">
        <v>0.0</v>
      </c>
      <c r="J9" s="106">
        <v>0.0</v>
      </c>
      <c r="K9" s="106">
        <v>0.0</v>
      </c>
      <c r="L9" s="106">
        <v>0.0</v>
      </c>
      <c r="M9" s="108"/>
      <c r="N9" s="106">
        <v>0.0</v>
      </c>
      <c r="O9" s="106">
        <v>0.0</v>
      </c>
      <c r="P9" s="106">
        <v>0.0</v>
      </c>
      <c r="Q9" s="106">
        <v>0.0</v>
      </c>
      <c r="R9" s="106">
        <v>0.0</v>
      </c>
      <c r="S9" s="106">
        <v>0.0</v>
      </c>
      <c r="T9" s="106">
        <v>0.0</v>
      </c>
      <c r="U9" s="106">
        <v>0.0</v>
      </c>
      <c r="V9" s="106">
        <v>0.0</v>
      </c>
      <c r="W9" s="106">
        <v>0.0</v>
      </c>
      <c r="X9" s="106">
        <v>0.0</v>
      </c>
      <c r="Y9" s="1"/>
    </row>
    <row r="10">
      <c r="A10" s="115" t="s">
        <v>79</v>
      </c>
      <c r="B10" s="116"/>
      <c r="C10" s="116">
        <f t="shared" ref="C10:L10" si="3">C8-C9</f>
        <v>168958000</v>
      </c>
      <c r="D10" s="116">
        <f t="shared" si="3"/>
        <v>160787000</v>
      </c>
      <c r="E10" s="116">
        <f t="shared" si="3"/>
        <v>293240000</v>
      </c>
      <c r="F10" s="116">
        <f t="shared" si="3"/>
        <v>204712000</v>
      </c>
      <c r="G10" s="116">
        <f t="shared" si="3"/>
        <v>205392000</v>
      </c>
      <c r="H10" s="116">
        <f t="shared" si="3"/>
        <v>216000000</v>
      </c>
      <c r="I10" s="116">
        <f t="shared" si="3"/>
        <v>209588000</v>
      </c>
      <c r="J10" s="116">
        <f t="shared" si="3"/>
        <v>229799000</v>
      </c>
      <c r="K10" s="116">
        <f t="shared" si="3"/>
        <v>245000000</v>
      </c>
      <c r="L10" s="116">
        <f t="shared" si="3"/>
        <v>297000000</v>
      </c>
      <c r="M10" s="121"/>
      <c r="N10" s="116">
        <f t="shared" ref="N10:X10" si="4">N8-N9</f>
        <v>77767000</v>
      </c>
      <c r="O10" s="116">
        <f t="shared" si="4"/>
        <v>74859000</v>
      </c>
      <c r="P10" s="116">
        <f t="shared" si="4"/>
        <v>79146000</v>
      </c>
      <c r="Q10" s="116">
        <f t="shared" si="4"/>
        <v>172033000</v>
      </c>
      <c r="R10" s="116">
        <f t="shared" si="4"/>
        <v>288820000</v>
      </c>
      <c r="S10" s="116">
        <f t="shared" si="4"/>
        <v>298293000</v>
      </c>
      <c r="T10" s="116">
        <f t="shared" si="4"/>
        <v>250626000</v>
      </c>
      <c r="U10" s="116">
        <f t="shared" si="4"/>
        <v>504917000</v>
      </c>
      <c r="V10" s="116">
        <f t="shared" si="4"/>
        <v>866467000</v>
      </c>
      <c r="W10" s="116">
        <f t="shared" si="4"/>
        <v>827697000</v>
      </c>
      <c r="X10" s="116">
        <f t="shared" si="4"/>
        <v>860387000</v>
      </c>
      <c r="Y10" s="1"/>
    </row>
    <row r="11">
      <c r="A11" s="105" t="s">
        <v>80</v>
      </c>
      <c r="B11" s="106"/>
      <c r="C11" s="106">
        <v>1.2887E7</v>
      </c>
      <c r="D11" s="106">
        <v>1.2621E7</v>
      </c>
      <c r="E11" s="106">
        <v>1.2286E7</v>
      </c>
      <c r="F11" s="106">
        <v>1.2607E7</v>
      </c>
      <c r="G11" s="106">
        <v>1.4E7</v>
      </c>
      <c r="H11" s="106">
        <v>1.6E7</v>
      </c>
      <c r="I11" s="106">
        <v>1.5113E7</v>
      </c>
      <c r="J11" s="107">
        <v>1.5769E7</v>
      </c>
      <c r="K11" s="106">
        <v>1.7E7</v>
      </c>
      <c r="L11" s="106">
        <v>2.1E7</v>
      </c>
      <c r="M11" s="108"/>
      <c r="N11" s="106">
        <v>5377000.0</v>
      </c>
      <c r="O11" s="106">
        <v>5531000.0</v>
      </c>
      <c r="P11" s="106">
        <v>5544000.0</v>
      </c>
      <c r="Q11" s="106">
        <v>1.0608E7</v>
      </c>
      <c r="R11" s="106">
        <v>1.9048E7</v>
      </c>
      <c r="S11" s="106">
        <v>1.9076E7</v>
      </c>
      <c r="T11" s="106">
        <v>1.9844E7</v>
      </c>
      <c r="U11" s="106">
        <v>3.2558E7</v>
      </c>
      <c r="V11" s="106">
        <v>5.6372E7</v>
      </c>
      <c r="W11" s="106">
        <v>5.0401E7</v>
      </c>
      <c r="X11" s="106">
        <v>6.0882E7</v>
      </c>
      <c r="Y11" s="1"/>
    </row>
    <row r="12">
      <c r="A12" s="105" t="s">
        <v>81</v>
      </c>
      <c r="B12" s="106"/>
      <c r="C12" s="106">
        <v>3.0987E7</v>
      </c>
      <c r="D12" s="106">
        <v>3.4064E7</v>
      </c>
      <c r="E12" s="106">
        <v>3.628E7</v>
      </c>
      <c r="F12" s="106">
        <v>4.4787E7</v>
      </c>
      <c r="G12" s="106">
        <v>4.7E7</v>
      </c>
      <c r="H12" s="106">
        <v>4.8E7</v>
      </c>
      <c r="I12" s="106">
        <v>5.4528E7</v>
      </c>
      <c r="J12" s="107">
        <v>6.4884E7</v>
      </c>
      <c r="K12" s="106">
        <v>6.7E7</v>
      </c>
      <c r="L12" s="106">
        <v>1.24E8</v>
      </c>
      <c r="M12" s="108"/>
      <c r="N12" s="106">
        <v>2.7601E7</v>
      </c>
      <c r="O12" s="106">
        <v>3.5439E7</v>
      </c>
      <c r="P12" s="106">
        <v>2.982E7</v>
      </c>
      <c r="Q12" s="106">
        <v>4.0519E7</v>
      </c>
      <c r="R12" s="106">
        <v>5.883E7</v>
      </c>
      <c r="S12" s="106">
        <v>7.8178E7</v>
      </c>
      <c r="T12" s="106">
        <v>1.00501E8</v>
      </c>
      <c r="U12" s="106">
        <v>1.02987E8</v>
      </c>
      <c r="V12" s="106">
        <v>1.21071E8</v>
      </c>
      <c r="W12" s="106">
        <v>1.46118E8</v>
      </c>
      <c r="X12" s="106">
        <v>2.14412E8</v>
      </c>
      <c r="Y12" s="1"/>
    </row>
    <row r="13">
      <c r="A13" s="105" t="s">
        <v>82</v>
      </c>
      <c r="B13" s="106"/>
      <c r="C13" s="106">
        <v>2764000.0</v>
      </c>
      <c r="D13" s="122">
        <v>0.0</v>
      </c>
      <c r="E13" s="106">
        <v>924000.0</v>
      </c>
      <c r="F13" s="106">
        <v>8000.0</v>
      </c>
      <c r="G13" s="106">
        <v>2000000.0</v>
      </c>
      <c r="H13" s="106">
        <v>2000000.0</v>
      </c>
      <c r="I13" s="106">
        <v>2569000.0</v>
      </c>
      <c r="J13" s="107">
        <v>3972000.0</v>
      </c>
      <c r="K13" s="106">
        <v>4000000.0</v>
      </c>
      <c r="L13" s="106">
        <v>3000000.0</v>
      </c>
      <c r="M13" s="108"/>
      <c r="N13" s="107"/>
      <c r="O13" s="107"/>
      <c r="P13" s="107"/>
      <c r="Q13" s="106">
        <v>0.0</v>
      </c>
      <c r="R13" s="106">
        <v>0.0</v>
      </c>
      <c r="S13" s="122">
        <v>0.0</v>
      </c>
      <c r="T13" s="106">
        <v>6.9202E7</v>
      </c>
      <c r="U13" s="106">
        <v>0.0</v>
      </c>
      <c r="V13" s="106">
        <v>3696000.0</v>
      </c>
      <c r="W13" s="106">
        <v>3696000.0</v>
      </c>
      <c r="X13" s="106">
        <v>1.0541E7</v>
      </c>
      <c r="Y13" s="1"/>
    </row>
    <row r="14">
      <c r="A14" s="105" t="s">
        <v>83</v>
      </c>
      <c r="B14" s="106"/>
      <c r="C14" s="106">
        <v>0.0</v>
      </c>
      <c r="D14" s="106">
        <v>2008000.0</v>
      </c>
      <c r="E14" s="106">
        <v>956000.0</v>
      </c>
      <c r="F14" s="106">
        <v>3943000.0</v>
      </c>
      <c r="G14" s="106">
        <v>3000000.0</v>
      </c>
      <c r="H14" s="106">
        <v>2000000.0</v>
      </c>
      <c r="I14" s="106">
        <v>2046000.0</v>
      </c>
      <c r="J14" s="107">
        <v>1054000.0</v>
      </c>
      <c r="K14" s="106">
        <v>2000000.0</v>
      </c>
      <c r="L14" s="106">
        <v>4000000.0</v>
      </c>
      <c r="M14" s="108"/>
      <c r="N14" s="106">
        <v>4372000.0</v>
      </c>
      <c r="O14" s="106">
        <v>5835000.0</v>
      </c>
      <c r="P14" s="106">
        <v>5209000.0</v>
      </c>
      <c r="Q14" s="106">
        <v>6296000.0</v>
      </c>
      <c r="R14" s="106">
        <v>7955000.0</v>
      </c>
      <c r="S14" s="106">
        <v>7489000.0</v>
      </c>
      <c r="T14" s="123">
        <v>8165000.0</v>
      </c>
      <c r="U14" s="106">
        <v>7800000.0</v>
      </c>
      <c r="V14" s="106">
        <v>4846000.0</v>
      </c>
      <c r="W14" s="106">
        <v>6907000.0</v>
      </c>
      <c r="X14" s="106">
        <v>8100000.0</v>
      </c>
      <c r="Y14" s="1"/>
      <c r="Z14" s="109"/>
      <c r="AA14" s="124" t="s">
        <v>84</v>
      </c>
      <c r="AB14" s="111"/>
    </row>
    <row r="15">
      <c r="A15" s="105" t="s">
        <v>85</v>
      </c>
      <c r="B15" s="106"/>
      <c r="C15" s="106">
        <v>0.0</v>
      </c>
      <c r="D15" s="106">
        <v>0.0</v>
      </c>
      <c r="E15" s="106">
        <v>0.0</v>
      </c>
      <c r="F15" s="107">
        <v>356000.0</v>
      </c>
      <c r="G15" s="107"/>
      <c r="H15" s="106">
        <v>0.0</v>
      </c>
      <c r="I15" s="106">
        <v>-236000.0</v>
      </c>
      <c r="J15" s="107">
        <v>291000.0</v>
      </c>
      <c r="K15" s="106">
        <v>0.0</v>
      </c>
      <c r="L15" s="106">
        <v>1.0E7</v>
      </c>
      <c r="M15" s="108"/>
      <c r="N15" s="106">
        <v>0.0</v>
      </c>
      <c r="O15" s="106">
        <f>259000+3423000</f>
        <v>3682000</v>
      </c>
      <c r="P15" s="106">
        <f>415000+47469000</f>
        <v>47884000</v>
      </c>
      <c r="Q15" s="106">
        <v>789000.0</v>
      </c>
      <c r="R15" s="106">
        <v>0.0</v>
      </c>
      <c r="S15" s="106">
        <v>0.0</v>
      </c>
      <c r="T15" s="123">
        <v>0.0</v>
      </c>
      <c r="U15" s="106">
        <v>0.0</v>
      </c>
      <c r="V15" s="106">
        <v>0.0</v>
      </c>
      <c r="W15" s="106">
        <v>356000.0</v>
      </c>
      <c r="X15" s="106">
        <v>55000.0</v>
      </c>
      <c r="Y15" s="1"/>
      <c r="Z15" s="112"/>
      <c r="AA15" s="125" t="s">
        <v>75</v>
      </c>
      <c r="AB15" s="126" t="s">
        <v>76</v>
      </c>
    </row>
    <row r="16">
      <c r="A16" s="127" t="s">
        <v>86</v>
      </c>
      <c r="B16" s="128"/>
      <c r="C16" s="128">
        <f t="shared" ref="C16:L16" si="5">SUM(C11:C15)</f>
        <v>46638000</v>
      </c>
      <c r="D16" s="128">
        <f t="shared" si="5"/>
        <v>48693000</v>
      </c>
      <c r="E16" s="128">
        <f t="shared" si="5"/>
        <v>50446000</v>
      </c>
      <c r="F16" s="128">
        <f t="shared" si="5"/>
        <v>61701000</v>
      </c>
      <c r="G16" s="128">
        <f t="shared" si="5"/>
        <v>66000000</v>
      </c>
      <c r="H16" s="128">
        <f t="shared" si="5"/>
        <v>68000000</v>
      </c>
      <c r="I16" s="128">
        <f t="shared" si="5"/>
        <v>74020000</v>
      </c>
      <c r="J16" s="128">
        <f t="shared" si="5"/>
        <v>85970000</v>
      </c>
      <c r="K16" s="128">
        <f t="shared" si="5"/>
        <v>90000000</v>
      </c>
      <c r="L16" s="128">
        <f t="shared" si="5"/>
        <v>162000000</v>
      </c>
      <c r="M16" s="108"/>
      <c r="N16" s="128">
        <f t="shared" ref="N16:X16" si="6">SUM(N11:N15)</f>
        <v>37350000</v>
      </c>
      <c r="O16" s="128">
        <f t="shared" si="6"/>
        <v>50487000</v>
      </c>
      <c r="P16" s="128">
        <f t="shared" si="6"/>
        <v>88457000</v>
      </c>
      <c r="Q16" s="128">
        <f t="shared" si="6"/>
        <v>58212000</v>
      </c>
      <c r="R16" s="128">
        <f t="shared" si="6"/>
        <v>85833000</v>
      </c>
      <c r="S16" s="128">
        <f t="shared" si="6"/>
        <v>104743000</v>
      </c>
      <c r="T16" s="128">
        <f t="shared" si="6"/>
        <v>197712000</v>
      </c>
      <c r="U16" s="128">
        <f t="shared" si="6"/>
        <v>143345000</v>
      </c>
      <c r="V16" s="128">
        <f t="shared" si="6"/>
        <v>185985000</v>
      </c>
      <c r="W16" s="128">
        <f t="shared" si="6"/>
        <v>207478000</v>
      </c>
      <c r="X16" s="128">
        <f t="shared" si="6"/>
        <v>293990000</v>
      </c>
      <c r="Y16" s="1"/>
      <c r="Z16" s="118"/>
      <c r="AA16" s="119">
        <f>(X16-N16)/(COUNT(N16:X16))</f>
        <v>23330909.09</v>
      </c>
      <c r="AB16" s="120">
        <f>((X16/N16)^(1/COUNT(N16:X16)))-1</f>
        <v>0.2063084202</v>
      </c>
    </row>
    <row r="17">
      <c r="A17" s="129" t="s">
        <v>87</v>
      </c>
      <c r="B17" s="130"/>
      <c r="C17" s="130">
        <f t="shared" ref="C17:L17" si="7">C10-C16</f>
        <v>122320000</v>
      </c>
      <c r="D17" s="130">
        <f t="shared" si="7"/>
        <v>112094000</v>
      </c>
      <c r="E17" s="130">
        <f t="shared" si="7"/>
        <v>242794000</v>
      </c>
      <c r="F17" s="130">
        <f t="shared" si="7"/>
        <v>143011000</v>
      </c>
      <c r="G17" s="130">
        <f t="shared" si="7"/>
        <v>139392000</v>
      </c>
      <c r="H17" s="130">
        <f t="shared" si="7"/>
        <v>148000000</v>
      </c>
      <c r="I17" s="130">
        <f t="shared" si="7"/>
        <v>135568000</v>
      </c>
      <c r="J17" s="130">
        <f t="shared" si="7"/>
        <v>143829000</v>
      </c>
      <c r="K17" s="130">
        <f t="shared" si="7"/>
        <v>155000000</v>
      </c>
      <c r="L17" s="130">
        <f t="shared" si="7"/>
        <v>135000000</v>
      </c>
      <c r="M17" s="108"/>
      <c r="N17" s="130">
        <f t="shared" ref="N17:X17" si="8">N10-N16</f>
        <v>40417000</v>
      </c>
      <c r="O17" s="130">
        <f t="shared" si="8"/>
        <v>24372000</v>
      </c>
      <c r="P17" s="130">
        <f t="shared" si="8"/>
        <v>-9311000</v>
      </c>
      <c r="Q17" s="130">
        <f t="shared" si="8"/>
        <v>113821000</v>
      </c>
      <c r="R17" s="130">
        <f t="shared" si="8"/>
        <v>202987000</v>
      </c>
      <c r="S17" s="130">
        <f t="shared" si="8"/>
        <v>193550000</v>
      </c>
      <c r="T17" s="130">
        <f t="shared" si="8"/>
        <v>52914000</v>
      </c>
      <c r="U17" s="130">
        <f t="shared" si="8"/>
        <v>361572000</v>
      </c>
      <c r="V17" s="130">
        <f t="shared" si="8"/>
        <v>680482000</v>
      </c>
      <c r="W17" s="130">
        <f t="shared" si="8"/>
        <v>620219000</v>
      </c>
      <c r="X17" s="130">
        <f t="shared" si="8"/>
        <v>566397000</v>
      </c>
      <c r="Y17" s="1"/>
    </row>
    <row r="18">
      <c r="A18" s="105" t="s">
        <v>88</v>
      </c>
      <c r="B18" s="106"/>
      <c r="C18" s="106">
        <v>-9686000.0</v>
      </c>
      <c r="D18" s="106">
        <v>-1.1291E7</v>
      </c>
      <c r="E18" s="106">
        <v>-1.097E7</v>
      </c>
      <c r="F18" s="106">
        <v>-1.5445E7</v>
      </c>
      <c r="G18" s="106">
        <v>-2.0E7</v>
      </c>
      <c r="H18" s="106">
        <v>-1.8E7</v>
      </c>
      <c r="I18" s="106">
        <v>-1.6739E7</v>
      </c>
      <c r="J18" s="107">
        <v>-1.9109E7</v>
      </c>
      <c r="K18" s="106">
        <v>-1.3E7</v>
      </c>
      <c r="L18" s="106">
        <v>-1.5E7</v>
      </c>
      <c r="M18" s="108"/>
      <c r="N18" s="106">
        <f>-487000-10755000</f>
        <v>-11242000</v>
      </c>
      <c r="O18" s="106">
        <v>-1110000.0</v>
      </c>
      <c r="P18" s="106">
        <v>-2455000.0</v>
      </c>
      <c r="Q18" s="106">
        <v>-3164000.0</v>
      </c>
      <c r="R18" s="106">
        <v>-1.3849E7</v>
      </c>
      <c r="S18" s="106">
        <v>-2.1076E7</v>
      </c>
      <c r="T18" s="106">
        <v>-3.3E7</v>
      </c>
      <c r="U18" s="106">
        <v>-3.4044E7</v>
      </c>
      <c r="V18" s="106">
        <v>-3.9994E7</v>
      </c>
      <c r="W18" s="106">
        <v>-4.7392E7</v>
      </c>
      <c r="X18" s="106">
        <v>-7.3848E7</v>
      </c>
      <c r="Y18" s="1"/>
    </row>
    <row r="19">
      <c r="A19" s="105" t="s">
        <v>89</v>
      </c>
      <c r="B19" s="106"/>
      <c r="C19" s="106">
        <v>-1.5103E7</v>
      </c>
      <c r="D19" s="106">
        <v>-1.2594E7</v>
      </c>
      <c r="E19" s="106">
        <v>-2988000.0</v>
      </c>
      <c r="F19" s="106">
        <v>4892000.0</v>
      </c>
      <c r="G19" s="106">
        <v>-7000000.0</v>
      </c>
      <c r="H19" s="106">
        <v>5000000.0</v>
      </c>
      <c r="I19" s="106">
        <v>7410000.0</v>
      </c>
      <c r="J19" s="107">
        <v>5976000.0</v>
      </c>
      <c r="K19" s="106">
        <v>3.2E7</v>
      </c>
      <c r="L19" s="106">
        <v>-2.9E7</v>
      </c>
      <c r="M19" s="108"/>
      <c r="N19" s="106">
        <v>0.0</v>
      </c>
      <c r="O19" s="106">
        <v>0.0</v>
      </c>
      <c r="P19" s="106">
        <v>0.0</v>
      </c>
      <c r="Q19" s="106">
        <v>0.0</v>
      </c>
      <c r="R19" s="106">
        <v>-5500000.0</v>
      </c>
      <c r="S19" s="106">
        <v>4832000.0</v>
      </c>
      <c r="T19" s="106">
        <v>-6.3591E7</v>
      </c>
      <c r="U19" s="106">
        <v>-6.9409E7</v>
      </c>
      <c r="V19" s="106">
        <v>-1.8138E7</v>
      </c>
      <c r="W19" s="106">
        <v>-2.5793E7</v>
      </c>
      <c r="X19" s="106">
        <v>1.1386E7</v>
      </c>
      <c r="Y19" s="1"/>
    </row>
    <row r="20">
      <c r="A20" s="105" t="s">
        <v>90</v>
      </c>
      <c r="B20" s="106"/>
      <c r="C20" s="106">
        <v>0.0</v>
      </c>
      <c r="D20" s="106">
        <v>0.0</v>
      </c>
      <c r="E20" s="106">
        <v>0.0</v>
      </c>
      <c r="F20" s="106">
        <v>0.0</v>
      </c>
      <c r="G20" s="106">
        <v>0.0</v>
      </c>
      <c r="H20" s="106">
        <v>0.0</v>
      </c>
      <c r="I20" s="106">
        <v>0.0</v>
      </c>
      <c r="J20" s="106">
        <v>0.0</v>
      </c>
      <c r="K20" s="106">
        <v>0.0</v>
      </c>
      <c r="L20" s="106">
        <v>0.0</v>
      </c>
      <c r="M20" s="108"/>
      <c r="N20" s="106">
        <v>0.0</v>
      </c>
      <c r="O20" s="106">
        <v>0.0</v>
      </c>
      <c r="P20" s="106">
        <v>0.0</v>
      </c>
      <c r="Q20" s="106">
        <v>0.0</v>
      </c>
      <c r="R20" s="106">
        <v>0.0</v>
      </c>
      <c r="S20" s="106">
        <v>0.0</v>
      </c>
      <c r="T20" s="106">
        <v>-8556000.0</v>
      </c>
      <c r="U20" s="106">
        <v>0.0</v>
      </c>
      <c r="V20" s="106">
        <v>0.0</v>
      </c>
      <c r="W20" s="106">
        <v>0.0</v>
      </c>
      <c r="X20" s="106">
        <v>0.0</v>
      </c>
      <c r="Y20" s="1"/>
      <c r="AA20" s="124" t="s">
        <v>91</v>
      </c>
      <c r="AB20" s="111"/>
    </row>
    <row r="21">
      <c r="A21" s="105" t="s">
        <v>92</v>
      </c>
      <c r="B21" s="106"/>
      <c r="C21" s="106">
        <v>141000.0</v>
      </c>
      <c r="D21" s="106">
        <v>172000.0</v>
      </c>
      <c r="E21" s="106">
        <v>256000.0</v>
      </c>
      <c r="F21" s="106">
        <v>-310000.0</v>
      </c>
      <c r="G21" s="106">
        <v>0.0</v>
      </c>
      <c r="H21" s="106">
        <v>0.0</v>
      </c>
      <c r="I21" s="106">
        <v>0.0</v>
      </c>
      <c r="J21" s="107">
        <v>0.0</v>
      </c>
      <c r="K21" s="106">
        <v>0.0</v>
      </c>
      <c r="L21" s="106">
        <v>0.0</v>
      </c>
      <c r="M21" s="108"/>
      <c r="N21" s="106">
        <v>459000.0</v>
      </c>
      <c r="O21" s="106">
        <v>1154000.0</v>
      </c>
      <c r="P21" s="106">
        <v>867000.0</v>
      </c>
      <c r="Q21" s="106">
        <v>821000.0</v>
      </c>
      <c r="R21" s="106">
        <v>1924000.0</v>
      </c>
      <c r="S21" s="106">
        <v>2332000.0</v>
      </c>
      <c r="T21" s="106">
        <v>1286000.0</v>
      </c>
      <c r="U21" s="106">
        <v>79000.0</v>
      </c>
      <c r="V21" s="106">
        <v>1000000.0</v>
      </c>
      <c r="W21" s="106">
        <v>259000.0</v>
      </c>
      <c r="X21" s="106">
        <v>0.0</v>
      </c>
      <c r="Y21" s="1"/>
      <c r="AA21" s="125" t="s">
        <v>75</v>
      </c>
      <c r="AB21" s="126" t="s">
        <v>76</v>
      </c>
    </row>
    <row r="22">
      <c r="A22" s="131" t="s">
        <v>93</v>
      </c>
      <c r="B22" s="132"/>
      <c r="C22" s="132">
        <f t="shared" ref="C22:L22" si="9">SUM(C18:C21)</f>
        <v>-24648000</v>
      </c>
      <c r="D22" s="132">
        <f t="shared" si="9"/>
        <v>-23713000</v>
      </c>
      <c r="E22" s="132">
        <f t="shared" si="9"/>
        <v>-13702000</v>
      </c>
      <c r="F22" s="132">
        <f t="shared" si="9"/>
        <v>-10863000</v>
      </c>
      <c r="G22" s="132">
        <f t="shared" si="9"/>
        <v>-27000000</v>
      </c>
      <c r="H22" s="132">
        <f t="shared" si="9"/>
        <v>-13000000</v>
      </c>
      <c r="I22" s="132">
        <f t="shared" si="9"/>
        <v>-9329000</v>
      </c>
      <c r="J22" s="132">
        <f t="shared" si="9"/>
        <v>-13133000</v>
      </c>
      <c r="K22" s="132">
        <f t="shared" si="9"/>
        <v>19000000</v>
      </c>
      <c r="L22" s="132">
        <f t="shared" si="9"/>
        <v>-44000000</v>
      </c>
      <c r="M22" s="108"/>
      <c r="N22" s="132">
        <f t="shared" ref="N22:X22" si="10">SUM(N18:N21)</f>
        <v>-10783000</v>
      </c>
      <c r="O22" s="132">
        <f t="shared" si="10"/>
        <v>44000</v>
      </c>
      <c r="P22" s="132">
        <f t="shared" si="10"/>
        <v>-1588000</v>
      </c>
      <c r="Q22" s="132">
        <f t="shared" si="10"/>
        <v>-2343000</v>
      </c>
      <c r="R22" s="132">
        <f t="shared" si="10"/>
        <v>-17425000</v>
      </c>
      <c r="S22" s="132">
        <f t="shared" si="10"/>
        <v>-13912000</v>
      </c>
      <c r="T22" s="132">
        <f t="shared" si="10"/>
        <v>-103861000</v>
      </c>
      <c r="U22" s="132">
        <f t="shared" si="10"/>
        <v>-103374000</v>
      </c>
      <c r="V22" s="132">
        <f t="shared" si="10"/>
        <v>-57132000</v>
      </c>
      <c r="W22" s="132">
        <f t="shared" si="10"/>
        <v>-72926000</v>
      </c>
      <c r="X22" s="132">
        <f t="shared" si="10"/>
        <v>-62462000</v>
      </c>
      <c r="Y22" s="1"/>
      <c r="AA22" s="119">
        <f>(X22-N22)/(COUNT(N22:X22))</f>
        <v>-4698090.909</v>
      </c>
      <c r="AB22" s="120">
        <f>((X22/N22)^(1/COUNT(N22:X22)))-1</f>
        <v>0.1731468779</v>
      </c>
    </row>
    <row r="23">
      <c r="A23" s="129" t="s">
        <v>94</v>
      </c>
      <c r="B23" s="130"/>
      <c r="C23" s="130">
        <f t="shared" ref="C23:L23" si="11">C17+C22</f>
        <v>97672000</v>
      </c>
      <c r="D23" s="130">
        <f t="shared" si="11"/>
        <v>88381000</v>
      </c>
      <c r="E23" s="130">
        <f t="shared" si="11"/>
        <v>229092000</v>
      </c>
      <c r="F23" s="130">
        <f t="shared" si="11"/>
        <v>132148000</v>
      </c>
      <c r="G23" s="130">
        <f t="shared" si="11"/>
        <v>112392000</v>
      </c>
      <c r="H23" s="130">
        <f t="shared" si="11"/>
        <v>135000000</v>
      </c>
      <c r="I23" s="130">
        <f t="shared" si="11"/>
        <v>126239000</v>
      </c>
      <c r="J23" s="130">
        <f t="shared" si="11"/>
        <v>130696000</v>
      </c>
      <c r="K23" s="130">
        <f t="shared" si="11"/>
        <v>174000000</v>
      </c>
      <c r="L23" s="130">
        <f t="shared" si="11"/>
        <v>91000000</v>
      </c>
      <c r="M23" s="108"/>
      <c r="N23" s="130">
        <f t="shared" ref="N23:X23" si="12">N17+N22</f>
        <v>29634000</v>
      </c>
      <c r="O23" s="130">
        <f t="shared" si="12"/>
        <v>24416000</v>
      </c>
      <c r="P23" s="130">
        <f t="shared" si="12"/>
        <v>-10899000</v>
      </c>
      <c r="Q23" s="130">
        <f t="shared" si="12"/>
        <v>111478000</v>
      </c>
      <c r="R23" s="130">
        <f t="shared" si="12"/>
        <v>185562000</v>
      </c>
      <c r="S23" s="130">
        <f t="shared" si="12"/>
        <v>179638000</v>
      </c>
      <c r="T23" s="130">
        <f t="shared" si="12"/>
        <v>-50947000</v>
      </c>
      <c r="U23" s="130">
        <f t="shared" si="12"/>
        <v>258198000</v>
      </c>
      <c r="V23" s="130">
        <f t="shared" si="12"/>
        <v>623350000</v>
      </c>
      <c r="W23" s="130">
        <f t="shared" si="12"/>
        <v>547293000</v>
      </c>
      <c r="X23" s="130">
        <f t="shared" si="12"/>
        <v>503935000</v>
      </c>
      <c r="Y23" s="1"/>
      <c r="Z23" s="109"/>
      <c r="AA23" s="110" t="s">
        <v>95</v>
      </c>
      <c r="AB23" s="111"/>
    </row>
    <row r="24">
      <c r="A24" s="108" t="s">
        <v>96</v>
      </c>
      <c r="B24" s="106"/>
      <c r="C24" s="106">
        <v>9406000.0</v>
      </c>
      <c r="D24" s="106">
        <v>8450000.0</v>
      </c>
      <c r="E24" s="106">
        <v>2.1879E7</v>
      </c>
      <c r="F24" s="106">
        <v>6217000.0</v>
      </c>
      <c r="G24" s="106">
        <v>1.3E7</v>
      </c>
      <c r="H24" s="106">
        <v>1.2E7</v>
      </c>
      <c r="I24" s="106">
        <v>1.7194E7</v>
      </c>
      <c r="J24" s="107">
        <v>-1.41905E8</v>
      </c>
      <c r="K24" s="106">
        <v>2.1E7</v>
      </c>
      <c r="L24" s="106">
        <v>7000000.0</v>
      </c>
      <c r="M24" s="108"/>
      <c r="N24" s="107"/>
      <c r="O24" s="107"/>
      <c r="P24" s="107"/>
      <c r="Q24" s="106">
        <v>0.0</v>
      </c>
      <c r="R24" s="106">
        <v>-7.2365E7</v>
      </c>
      <c r="S24" s="106">
        <v>-4.1582E7</v>
      </c>
      <c r="T24" s="106">
        <v>1.42466E8</v>
      </c>
      <c r="U24" s="106">
        <v>1521000.0</v>
      </c>
      <c r="V24" s="106">
        <v>-3.2653E7</v>
      </c>
      <c r="W24" s="106">
        <v>4.5952E7</v>
      </c>
      <c r="X24" s="106">
        <v>-9.9711E7</v>
      </c>
      <c r="Y24" s="1"/>
      <c r="Z24" s="112"/>
      <c r="AA24" s="125" t="s">
        <v>75</v>
      </c>
      <c r="AB24" s="126" t="s">
        <v>76</v>
      </c>
    </row>
    <row r="25">
      <c r="A25" s="115" t="s">
        <v>97</v>
      </c>
      <c r="B25" s="116"/>
      <c r="C25" s="116">
        <f t="shared" ref="C25:L25" si="13">C23-C24</f>
        <v>88266000</v>
      </c>
      <c r="D25" s="116">
        <f t="shared" si="13"/>
        <v>79931000</v>
      </c>
      <c r="E25" s="116">
        <f t="shared" si="13"/>
        <v>207213000</v>
      </c>
      <c r="F25" s="116">
        <f t="shared" si="13"/>
        <v>125931000</v>
      </c>
      <c r="G25" s="116">
        <f t="shared" si="13"/>
        <v>99392000</v>
      </c>
      <c r="H25" s="116">
        <f t="shared" si="13"/>
        <v>123000000</v>
      </c>
      <c r="I25" s="116">
        <f t="shared" si="13"/>
        <v>109045000</v>
      </c>
      <c r="J25" s="116">
        <f t="shared" si="13"/>
        <v>272601000</v>
      </c>
      <c r="K25" s="116">
        <f t="shared" si="13"/>
        <v>153000000</v>
      </c>
      <c r="L25" s="116">
        <f t="shared" si="13"/>
        <v>84000000</v>
      </c>
      <c r="M25" s="108"/>
      <c r="N25" s="116">
        <f t="shared" ref="N25:X25" si="14">N23-N24</f>
        <v>29634000</v>
      </c>
      <c r="O25" s="116">
        <f t="shared" si="14"/>
        <v>24416000</v>
      </c>
      <c r="P25" s="116">
        <f t="shared" si="14"/>
        <v>-10899000</v>
      </c>
      <c r="Q25" s="116">
        <f t="shared" si="14"/>
        <v>111478000</v>
      </c>
      <c r="R25" s="116">
        <f t="shared" si="14"/>
        <v>257927000</v>
      </c>
      <c r="S25" s="116">
        <f t="shared" si="14"/>
        <v>221220000</v>
      </c>
      <c r="T25" s="116">
        <f t="shared" si="14"/>
        <v>-193413000</v>
      </c>
      <c r="U25" s="116">
        <f t="shared" si="14"/>
        <v>256677000</v>
      </c>
      <c r="V25" s="116">
        <f t="shared" si="14"/>
        <v>656003000</v>
      </c>
      <c r="W25" s="116">
        <f t="shared" si="14"/>
        <v>501341000</v>
      </c>
      <c r="X25" s="116">
        <f t="shared" si="14"/>
        <v>603646000</v>
      </c>
      <c r="Y25" s="1"/>
      <c r="Z25" s="118"/>
      <c r="AA25" s="119">
        <f>(X25-N25)/(COUNT(N25:X25))</f>
        <v>52182909.09</v>
      </c>
      <c r="AB25" s="120">
        <f>((X25/N25)^(1/COUNT(N25:X25)))-1</f>
        <v>0.3152226436</v>
      </c>
    </row>
    <row r="26">
      <c r="A26" s="133" t="s">
        <v>98</v>
      </c>
      <c r="B26" s="106"/>
      <c r="C26" s="106">
        <v>5.4299E7</v>
      </c>
      <c r="D26" s="106">
        <v>4.9381E7</v>
      </c>
      <c r="E26" s="106">
        <v>1.28614E8</v>
      </c>
      <c r="F26" s="106">
        <v>6.8941E7</v>
      </c>
      <c r="G26" s="106">
        <v>5.6E7</v>
      </c>
      <c r="H26" s="106">
        <v>6.6E7</v>
      </c>
      <c r="I26" s="106">
        <v>6.0128E7</v>
      </c>
      <c r="J26" s="107">
        <v>6.2273E7</v>
      </c>
      <c r="K26" s="106">
        <v>7.8E7</v>
      </c>
      <c r="L26" s="106">
        <v>4.7E7</v>
      </c>
      <c r="M26" s="107"/>
      <c r="N26" s="106">
        <v>0.0</v>
      </c>
      <c r="O26" s="106">
        <v>0.0</v>
      </c>
      <c r="P26" s="106">
        <v>0.0</v>
      </c>
      <c r="Q26" s="106">
        <v>0.0</v>
      </c>
      <c r="R26" s="106">
        <v>1.18979E8</v>
      </c>
      <c r="S26" s="106">
        <v>1.74929E8</v>
      </c>
      <c r="T26" s="106">
        <v>-1109000.0</v>
      </c>
      <c r="U26" s="106">
        <v>1.98738E8</v>
      </c>
      <c r="V26" s="106">
        <v>5.03331E8</v>
      </c>
      <c r="W26" s="106">
        <v>3.01235E8</v>
      </c>
      <c r="X26" s="106">
        <v>2.44401E8</v>
      </c>
      <c r="Y26" s="35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</row>
    <row r="27">
      <c r="A27" s="135" t="s">
        <v>99</v>
      </c>
      <c r="B27" s="116"/>
      <c r="C27" s="116">
        <f t="shared" ref="C27:L27" si="15">C25-C26</f>
        <v>33967000</v>
      </c>
      <c r="D27" s="116">
        <f t="shared" si="15"/>
        <v>30550000</v>
      </c>
      <c r="E27" s="116">
        <f t="shared" si="15"/>
        <v>78599000</v>
      </c>
      <c r="F27" s="116">
        <f t="shared" si="15"/>
        <v>56990000</v>
      </c>
      <c r="G27" s="116">
        <f t="shared" si="15"/>
        <v>43392000</v>
      </c>
      <c r="H27" s="116">
        <f t="shared" si="15"/>
        <v>57000000</v>
      </c>
      <c r="I27" s="116">
        <f t="shared" si="15"/>
        <v>48917000</v>
      </c>
      <c r="J27" s="116">
        <f t="shared" si="15"/>
        <v>210328000</v>
      </c>
      <c r="K27" s="116">
        <f t="shared" si="15"/>
        <v>75000000</v>
      </c>
      <c r="L27" s="116">
        <f t="shared" si="15"/>
        <v>37000000</v>
      </c>
      <c r="M27" s="136"/>
      <c r="N27" s="116">
        <f t="shared" ref="N27:X27" si="16">N25-N26</f>
        <v>29634000</v>
      </c>
      <c r="O27" s="116">
        <f t="shared" si="16"/>
        <v>24416000</v>
      </c>
      <c r="P27" s="116">
        <f t="shared" si="16"/>
        <v>-10899000</v>
      </c>
      <c r="Q27" s="116">
        <f t="shared" si="16"/>
        <v>111478000</v>
      </c>
      <c r="R27" s="116">
        <f t="shared" si="16"/>
        <v>138948000</v>
      </c>
      <c r="S27" s="116">
        <f t="shared" si="16"/>
        <v>46291000</v>
      </c>
      <c r="T27" s="116">
        <f t="shared" si="16"/>
        <v>-192304000</v>
      </c>
      <c r="U27" s="116">
        <f t="shared" si="16"/>
        <v>57939000</v>
      </c>
      <c r="V27" s="116">
        <f t="shared" si="16"/>
        <v>152672000</v>
      </c>
      <c r="W27" s="116">
        <f t="shared" si="16"/>
        <v>200106000</v>
      </c>
      <c r="X27" s="116">
        <f t="shared" si="16"/>
        <v>359245000</v>
      </c>
      <c r="Y27" s="137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</row>
    <row r="28">
      <c r="A28" s="108" t="s">
        <v>100</v>
      </c>
      <c r="B28" s="139"/>
      <c r="C28" s="139">
        <f t="shared" ref="C28:L28" si="17">C25/C29</f>
        <v>0.5424191088</v>
      </c>
      <c r="D28" s="139">
        <f t="shared" si="17"/>
        <v>0.4945796683</v>
      </c>
      <c r="E28" s="139">
        <f t="shared" si="17"/>
        <v>1.165072165</v>
      </c>
      <c r="F28" s="139">
        <f t="shared" si="17"/>
        <v>0.712061045</v>
      </c>
      <c r="G28" s="139">
        <f t="shared" si="17"/>
        <v>0.5750012281</v>
      </c>
      <c r="H28" s="139">
        <f t="shared" si="17"/>
        <v>0.6953927533</v>
      </c>
      <c r="I28" s="140">
        <f t="shared" si="17"/>
        <v>0.5787687128</v>
      </c>
      <c r="J28" s="140">
        <f t="shared" si="17"/>
        <v>1.243930431</v>
      </c>
      <c r="K28" s="140">
        <f t="shared" si="17"/>
        <v>0.5302519223</v>
      </c>
      <c r="L28" s="140">
        <f t="shared" si="17"/>
        <v>0.2911400318</v>
      </c>
      <c r="M28" s="108"/>
      <c r="N28" s="140" t="str">
        <f t="shared" ref="N28:O28" si="18">N25/N29</f>
        <v>#DIV/0!</v>
      </c>
      <c r="O28" s="140" t="str">
        <f t="shared" si="18"/>
        <v>#DIV/0!</v>
      </c>
      <c r="P28" s="140" t="str">
        <f>P25/#REF!</f>
        <v>#REF!</v>
      </c>
      <c r="Q28" s="140">
        <f>Q25/P29</f>
        <v>1.269675945</v>
      </c>
      <c r="R28" s="140" t="str">
        <f t="shared" ref="R28:X28" si="19">R25/R29</f>
        <v>#DIV/0!</v>
      </c>
      <c r="S28" s="140">
        <f t="shared" si="19"/>
        <v>1.395571957</v>
      </c>
      <c r="T28" s="140">
        <f t="shared" si="19"/>
        <v>-1.264106074</v>
      </c>
      <c r="U28" s="140">
        <f t="shared" si="19"/>
        <v>1.530790166</v>
      </c>
      <c r="V28" s="140">
        <f t="shared" si="19"/>
        <v>4.015026462</v>
      </c>
      <c r="W28" s="140">
        <f t="shared" si="19"/>
        <v>2.834769806</v>
      </c>
      <c r="X28" s="140">
        <f t="shared" si="19"/>
        <v>2.754551997</v>
      </c>
      <c r="Y28" s="1"/>
    </row>
    <row r="29">
      <c r="A29" s="108" t="s">
        <v>101</v>
      </c>
      <c r="B29" s="141">
        <v>1.63386968E8</v>
      </c>
      <c r="C29" s="140">
        <f>MAIN!C4</f>
        <v>162726568</v>
      </c>
      <c r="D29" s="140">
        <f>MAIN!D4</f>
        <v>161614003</v>
      </c>
      <c r="E29" s="140">
        <f>MAIN!E4</f>
        <v>177854219</v>
      </c>
      <c r="F29" s="140">
        <f>MAIN!F4</f>
        <v>176854219</v>
      </c>
      <c r="G29" s="140">
        <f>MAIN!G4</f>
        <v>172855283</v>
      </c>
      <c r="H29" s="140">
        <f>MAIN!H4</f>
        <v>176878461</v>
      </c>
      <c r="I29" s="140">
        <f>MAIN!I4</f>
        <v>188408595</v>
      </c>
      <c r="J29" s="140">
        <f>MAIN!J4</f>
        <v>219144892</v>
      </c>
      <c r="K29" s="140">
        <f>MAIN!K4</f>
        <v>288542094</v>
      </c>
      <c r="L29" s="140">
        <f>MAIN!L4</f>
        <v>288520955</v>
      </c>
      <c r="M29" s="108"/>
      <c r="N29" s="140"/>
      <c r="O29" s="140"/>
      <c r="P29" s="106">
        <f>87800356</f>
        <v>87800356</v>
      </c>
      <c r="R29" s="106"/>
      <c r="S29" s="106">
        <f>67805707+90709946</f>
        <v>158515653</v>
      </c>
      <c r="T29" s="106">
        <f>62293828+90709946</f>
        <v>153003774</v>
      </c>
      <c r="U29" s="106">
        <f>76966203+90709946</f>
        <v>167676149</v>
      </c>
      <c r="V29" s="106">
        <v>1.63386968E8</v>
      </c>
      <c r="W29" s="141">
        <v>1.76854219E8</v>
      </c>
      <c r="X29" s="106">
        <v>2.19144892E8</v>
      </c>
      <c r="Y29" s="1"/>
    </row>
    <row r="30">
      <c r="A30" s="108"/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08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"/>
      <c r="Z30" s="112"/>
      <c r="AA30" s="112"/>
      <c r="AB30" s="112"/>
    </row>
    <row r="31">
      <c r="A31" s="143" t="s">
        <v>102</v>
      </c>
      <c r="B31" s="144" t="str">
        <f t="shared" ref="B31:L31" si="20">(B8-A8)/A8</f>
        <v>#VALUE!</v>
      </c>
      <c r="C31" s="144" t="str">
        <f t="shared" si="20"/>
        <v>#DIV/0!</v>
      </c>
      <c r="D31" s="144">
        <f t="shared" si="20"/>
        <v>-0.04836113117</v>
      </c>
      <c r="E31" s="144">
        <f t="shared" si="20"/>
        <v>0.8237792856</v>
      </c>
      <c r="F31" s="144">
        <f t="shared" si="20"/>
        <v>-0.3018960578</v>
      </c>
      <c r="G31" s="144">
        <f t="shared" si="20"/>
        <v>0.00332173981</v>
      </c>
      <c r="H31" s="144">
        <f t="shared" si="20"/>
        <v>0.05164758121</v>
      </c>
      <c r="I31" s="144">
        <f t="shared" si="20"/>
        <v>-0.02968518519</v>
      </c>
      <c r="J31" s="144">
        <f t="shared" si="20"/>
        <v>0.09643204764</v>
      </c>
      <c r="K31" s="144">
        <f t="shared" si="20"/>
        <v>0.06614911292</v>
      </c>
      <c r="L31" s="145">
        <f t="shared" si="20"/>
        <v>0.212244898</v>
      </c>
      <c r="M31" s="108"/>
      <c r="N31" s="145"/>
      <c r="O31" s="145">
        <f t="shared" ref="O31:X31" si="21">(O8-N8)/ABS(N8)</f>
        <v>-0.03739375313</v>
      </c>
      <c r="P31" s="145">
        <f t="shared" si="21"/>
        <v>0.05726766321</v>
      </c>
      <c r="Q31" s="145">
        <f t="shared" si="21"/>
        <v>1.173615849</v>
      </c>
      <c r="R31" s="145">
        <f t="shared" si="21"/>
        <v>0.6788639389</v>
      </c>
      <c r="S31" s="145">
        <f t="shared" si="21"/>
        <v>0.03279897514</v>
      </c>
      <c r="T31" s="145">
        <f t="shared" si="21"/>
        <v>-0.1597992578</v>
      </c>
      <c r="U31" s="145">
        <f t="shared" si="21"/>
        <v>1.014623383</v>
      </c>
      <c r="V31" s="145">
        <f t="shared" si="21"/>
        <v>0.7160582828</v>
      </c>
      <c r="W31" s="145">
        <f t="shared" si="21"/>
        <v>-0.04474492393</v>
      </c>
      <c r="X31" s="145">
        <f t="shared" si="21"/>
        <v>0.03949512926</v>
      </c>
      <c r="Y31" s="1"/>
      <c r="AA31" s="110" t="s">
        <v>73</v>
      </c>
      <c r="AB31" s="111"/>
      <c r="AC31" s="146">
        <f t="shared" ref="AC31:AL31" si="22">O31</f>
        <v>-0.03739375313</v>
      </c>
      <c r="AD31" s="146">
        <f t="shared" si="22"/>
        <v>0.05726766321</v>
      </c>
      <c r="AE31" s="146">
        <f t="shared" si="22"/>
        <v>1.173615849</v>
      </c>
      <c r="AF31" s="146">
        <f t="shared" si="22"/>
        <v>0.6788639389</v>
      </c>
      <c r="AG31" s="146">
        <f t="shared" si="22"/>
        <v>0.03279897514</v>
      </c>
      <c r="AH31" s="146">
        <f t="shared" si="22"/>
        <v>-0.1597992578</v>
      </c>
      <c r="AI31" s="146">
        <f t="shared" si="22"/>
        <v>1.014623383</v>
      </c>
      <c r="AJ31" s="146">
        <f t="shared" si="22"/>
        <v>0.7160582828</v>
      </c>
      <c r="AK31" s="146">
        <f t="shared" si="22"/>
        <v>-0.04474492393</v>
      </c>
      <c r="AL31" s="146">
        <f t="shared" si="22"/>
        <v>0.03949512926</v>
      </c>
    </row>
    <row r="32">
      <c r="A32" s="147" t="s">
        <v>103</v>
      </c>
      <c r="B32" s="148" t="str">
        <f t="shared" ref="B32:L32" si="23">B10/B8</f>
        <v>#DIV/0!</v>
      </c>
      <c r="C32" s="148">
        <f t="shared" si="23"/>
        <v>1</v>
      </c>
      <c r="D32" s="148">
        <f t="shared" si="23"/>
        <v>1</v>
      </c>
      <c r="E32" s="148">
        <f t="shared" si="23"/>
        <v>1</v>
      </c>
      <c r="F32" s="148">
        <f t="shared" si="23"/>
        <v>1</v>
      </c>
      <c r="G32" s="148">
        <f t="shared" si="23"/>
        <v>1</v>
      </c>
      <c r="H32" s="148">
        <f t="shared" si="23"/>
        <v>1</v>
      </c>
      <c r="I32" s="148">
        <f t="shared" si="23"/>
        <v>1</v>
      </c>
      <c r="J32" s="148">
        <f t="shared" si="23"/>
        <v>1</v>
      </c>
      <c r="K32" s="148">
        <f t="shared" si="23"/>
        <v>1</v>
      </c>
      <c r="L32" s="148">
        <f t="shared" si="23"/>
        <v>1</v>
      </c>
      <c r="M32" s="108"/>
      <c r="N32" s="148">
        <f t="shared" ref="N32:X32" si="24">N10/N8</f>
        <v>1</v>
      </c>
      <c r="O32" s="148">
        <f t="shared" si="24"/>
        <v>1</v>
      </c>
      <c r="P32" s="148">
        <f t="shared" si="24"/>
        <v>1</v>
      </c>
      <c r="Q32" s="148">
        <f t="shared" si="24"/>
        <v>1</v>
      </c>
      <c r="R32" s="148">
        <f t="shared" si="24"/>
        <v>1</v>
      </c>
      <c r="S32" s="148">
        <f t="shared" si="24"/>
        <v>1</v>
      </c>
      <c r="T32" s="148">
        <f t="shared" si="24"/>
        <v>1</v>
      </c>
      <c r="U32" s="148">
        <f t="shared" si="24"/>
        <v>1</v>
      </c>
      <c r="V32" s="148">
        <f t="shared" si="24"/>
        <v>1</v>
      </c>
      <c r="W32" s="148">
        <f t="shared" si="24"/>
        <v>1</v>
      </c>
      <c r="X32" s="148">
        <f t="shared" si="24"/>
        <v>1</v>
      </c>
      <c r="Y32" s="1"/>
      <c r="AA32" s="149" t="s">
        <v>104</v>
      </c>
      <c r="AC32" s="146">
        <f t="shared" ref="AC32:AL32" si="25">AC31+1</f>
        <v>0.9626062469</v>
      </c>
      <c r="AD32" s="146">
        <f t="shared" si="25"/>
        <v>1.057267663</v>
      </c>
      <c r="AE32" s="146">
        <f t="shared" si="25"/>
        <v>2.173615849</v>
      </c>
      <c r="AF32" s="146">
        <f t="shared" si="25"/>
        <v>1.678863939</v>
      </c>
      <c r="AG32" s="146">
        <f t="shared" si="25"/>
        <v>1.032798975</v>
      </c>
      <c r="AH32" s="146">
        <f t="shared" si="25"/>
        <v>0.8402007422</v>
      </c>
      <c r="AI32" s="146">
        <f t="shared" si="25"/>
        <v>2.014623383</v>
      </c>
      <c r="AJ32" s="146">
        <f t="shared" si="25"/>
        <v>1.716058283</v>
      </c>
      <c r="AK32" s="146">
        <f t="shared" si="25"/>
        <v>0.9552550761</v>
      </c>
      <c r="AL32" s="146">
        <f t="shared" si="25"/>
        <v>1.039495129</v>
      </c>
    </row>
    <row r="33">
      <c r="A33" s="147" t="s">
        <v>105</v>
      </c>
      <c r="B33" s="148" t="str">
        <f t="shared" ref="B33:L33" si="26">B17/B8</f>
        <v>#DIV/0!</v>
      </c>
      <c r="C33" s="148">
        <f t="shared" si="26"/>
        <v>0.723966903</v>
      </c>
      <c r="D33" s="148">
        <f t="shared" si="26"/>
        <v>0.6971583524</v>
      </c>
      <c r="E33" s="148">
        <f t="shared" si="26"/>
        <v>0.8279702633</v>
      </c>
      <c r="F33" s="148">
        <f t="shared" si="26"/>
        <v>0.6985960764</v>
      </c>
      <c r="G33" s="148">
        <f t="shared" si="26"/>
        <v>0.6786632391</v>
      </c>
      <c r="H33" s="148">
        <f t="shared" si="26"/>
        <v>0.6851851852</v>
      </c>
      <c r="I33" s="148">
        <f t="shared" si="26"/>
        <v>0.6468309254</v>
      </c>
      <c r="J33" s="148">
        <f t="shared" si="26"/>
        <v>0.6258904521</v>
      </c>
      <c r="K33" s="148">
        <f t="shared" si="26"/>
        <v>0.6326530612</v>
      </c>
      <c r="L33" s="148">
        <f t="shared" si="26"/>
        <v>0.4545454545</v>
      </c>
      <c r="M33" s="108"/>
      <c r="N33" s="148">
        <f t="shared" ref="N33:X33" si="27">N17/N8</f>
        <v>0.5197191611</v>
      </c>
      <c r="O33" s="148">
        <f t="shared" si="27"/>
        <v>0.3255720755</v>
      </c>
      <c r="P33" s="148">
        <f t="shared" si="27"/>
        <v>-0.1176433427</v>
      </c>
      <c r="Q33" s="148">
        <f t="shared" si="27"/>
        <v>0.6616230607</v>
      </c>
      <c r="R33" s="148">
        <f t="shared" si="27"/>
        <v>0.702814902</v>
      </c>
      <c r="S33" s="148">
        <f t="shared" si="27"/>
        <v>0.6488586725</v>
      </c>
      <c r="T33" s="148">
        <f t="shared" si="27"/>
        <v>0.2111273371</v>
      </c>
      <c r="U33" s="148">
        <f t="shared" si="27"/>
        <v>0.7161018544</v>
      </c>
      <c r="V33" s="148">
        <f t="shared" si="27"/>
        <v>0.7853524716</v>
      </c>
      <c r="W33" s="148">
        <f t="shared" si="27"/>
        <v>0.749330975</v>
      </c>
      <c r="X33" s="148">
        <f t="shared" si="27"/>
        <v>0.6583049256</v>
      </c>
      <c r="Y33" s="1"/>
      <c r="AA33" s="150">
        <f>(AC33^(1/COUNT(AA31:AL31)))-1</f>
        <v>0.2717151627</v>
      </c>
      <c r="AC33" s="151">
        <f>PRODUCT(AC32:AL32)</f>
        <v>11.06365168</v>
      </c>
    </row>
    <row r="34">
      <c r="A34" s="152" t="s">
        <v>106</v>
      </c>
      <c r="B34" s="153" t="str">
        <f t="shared" ref="B34:L34" si="28">B25/B8</f>
        <v>#DIV/0!</v>
      </c>
      <c r="C34" s="153">
        <f t="shared" si="28"/>
        <v>0.5224138543</v>
      </c>
      <c r="D34" s="153">
        <f t="shared" si="28"/>
        <v>0.4971235237</v>
      </c>
      <c r="E34" s="153">
        <f t="shared" si="28"/>
        <v>0.7066327923</v>
      </c>
      <c r="F34" s="153">
        <f t="shared" si="28"/>
        <v>0.6151617883</v>
      </c>
      <c r="G34" s="153">
        <f t="shared" si="28"/>
        <v>0.483913687</v>
      </c>
      <c r="H34" s="153">
        <f t="shared" si="28"/>
        <v>0.5694444444</v>
      </c>
      <c r="I34" s="153">
        <f t="shared" si="28"/>
        <v>0.5202826498</v>
      </c>
      <c r="J34" s="153">
        <f t="shared" si="28"/>
        <v>1.186258426</v>
      </c>
      <c r="K34" s="153">
        <f t="shared" si="28"/>
        <v>0.6244897959</v>
      </c>
      <c r="L34" s="153">
        <f t="shared" si="28"/>
        <v>0.2828282828</v>
      </c>
      <c r="M34" s="108"/>
      <c r="N34" s="153">
        <f t="shared" ref="N34:X34" si="29">N25/N8</f>
        <v>0.3810613756</v>
      </c>
      <c r="O34" s="153">
        <f t="shared" si="29"/>
        <v>0.3261598472</v>
      </c>
      <c r="P34" s="153">
        <f t="shared" si="29"/>
        <v>-0.1377075279</v>
      </c>
      <c r="Q34" s="153">
        <f t="shared" si="29"/>
        <v>0.6480035807</v>
      </c>
      <c r="R34" s="153">
        <f t="shared" si="29"/>
        <v>0.8930371858</v>
      </c>
      <c r="S34" s="153">
        <f t="shared" si="29"/>
        <v>0.7416198168</v>
      </c>
      <c r="T34" s="153">
        <f t="shared" si="29"/>
        <v>-0.7717196141</v>
      </c>
      <c r="U34" s="153">
        <f t="shared" si="29"/>
        <v>0.5083548385</v>
      </c>
      <c r="V34" s="153">
        <f t="shared" si="29"/>
        <v>0.7571009629</v>
      </c>
      <c r="W34" s="153">
        <f t="shared" si="29"/>
        <v>0.6057059528</v>
      </c>
      <c r="X34" s="153">
        <f t="shared" si="29"/>
        <v>0.7015982343</v>
      </c>
      <c r="Y34" s="1"/>
      <c r="Z34" s="112"/>
      <c r="AA34" s="112"/>
      <c r="AC34" s="112"/>
    </row>
    <row r="35">
      <c r="A35" s="154" t="s">
        <v>107</v>
      </c>
      <c r="B35" s="155"/>
      <c r="C35" s="155" t="str">
        <f t="shared" ref="C35:L35" si="30">(C25-B25)/ABS(B25)</f>
        <v>#DIV/0!</v>
      </c>
      <c r="D35" s="155">
        <f t="shared" si="30"/>
        <v>-0.09443047153</v>
      </c>
      <c r="E35" s="155">
        <f t="shared" si="30"/>
        <v>1.592398444</v>
      </c>
      <c r="F35" s="155">
        <f t="shared" si="30"/>
        <v>-0.3922630337</v>
      </c>
      <c r="G35" s="155">
        <f t="shared" si="30"/>
        <v>-0.2107423907</v>
      </c>
      <c r="H35" s="155">
        <f t="shared" si="30"/>
        <v>0.2375241468</v>
      </c>
      <c r="I35" s="155">
        <f t="shared" si="30"/>
        <v>-0.1134552846</v>
      </c>
      <c r="J35" s="155">
        <f t="shared" si="30"/>
        <v>1.499894539</v>
      </c>
      <c r="K35" s="155">
        <f t="shared" si="30"/>
        <v>-0.4387401367</v>
      </c>
      <c r="L35" s="155">
        <f t="shared" si="30"/>
        <v>-0.4509803922</v>
      </c>
      <c r="M35" s="142"/>
      <c r="N35" s="155"/>
      <c r="O35" s="155">
        <f t="shared" ref="O35:X35" si="31">(O25-N25)/ABS(N25)</f>
        <v>-0.176081528</v>
      </c>
      <c r="P35" s="155">
        <f t="shared" si="31"/>
        <v>-1.446387615</v>
      </c>
      <c r="Q35" s="155">
        <f t="shared" si="31"/>
        <v>11.22827782</v>
      </c>
      <c r="R35" s="155">
        <f t="shared" si="31"/>
        <v>1.313703152</v>
      </c>
      <c r="S35" s="155">
        <f t="shared" si="31"/>
        <v>-0.1423154614</v>
      </c>
      <c r="T35" s="155">
        <f t="shared" si="31"/>
        <v>-1.8743016</v>
      </c>
      <c r="U35" s="155">
        <f t="shared" si="31"/>
        <v>2.327092801</v>
      </c>
      <c r="V35" s="155">
        <f t="shared" si="31"/>
        <v>1.55575295</v>
      </c>
      <c r="W35" s="155">
        <f t="shared" si="31"/>
        <v>-0.2357641657</v>
      </c>
      <c r="X35" s="155">
        <f t="shared" si="31"/>
        <v>0.2040627038</v>
      </c>
      <c r="Y35" s="156"/>
      <c r="AA35" s="110" t="s">
        <v>95</v>
      </c>
      <c r="AB35" s="111"/>
      <c r="AC35" s="146">
        <f t="shared" ref="AC35:AL35" si="32">O35</f>
        <v>-0.176081528</v>
      </c>
      <c r="AD35" s="146">
        <f t="shared" si="32"/>
        <v>-1.446387615</v>
      </c>
      <c r="AE35" s="146">
        <f t="shared" si="32"/>
        <v>11.22827782</v>
      </c>
      <c r="AF35" s="146">
        <f t="shared" si="32"/>
        <v>1.313703152</v>
      </c>
      <c r="AG35" s="146">
        <f t="shared" si="32"/>
        <v>-0.1423154614</v>
      </c>
      <c r="AH35" s="146">
        <f t="shared" si="32"/>
        <v>-1.8743016</v>
      </c>
      <c r="AI35" s="146">
        <f t="shared" si="32"/>
        <v>2.327092801</v>
      </c>
      <c r="AJ35" s="146">
        <f t="shared" si="32"/>
        <v>1.55575295</v>
      </c>
      <c r="AK35" s="146">
        <f t="shared" si="32"/>
        <v>-0.2357641657</v>
      </c>
      <c r="AL35" s="146">
        <f t="shared" si="32"/>
        <v>0.2040627038</v>
      </c>
    </row>
    <row r="36">
      <c r="A36" s="108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"/>
      <c r="AA36" s="149" t="s">
        <v>104</v>
      </c>
      <c r="AC36" s="146">
        <f t="shared" ref="AC36:AL36" si="33">AC35+1</f>
        <v>0.823918472</v>
      </c>
      <c r="AD36" s="146">
        <f t="shared" si="33"/>
        <v>-0.4463876147</v>
      </c>
      <c r="AE36" s="146">
        <f t="shared" si="33"/>
        <v>12.22827782</v>
      </c>
      <c r="AF36" s="146">
        <f t="shared" si="33"/>
        <v>2.313703152</v>
      </c>
      <c r="AG36" s="146">
        <f t="shared" si="33"/>
        <v>0.8576845386</v>
      </c>
      <c r="AH36" s="146">
        <f t="shared" si="33"/>
        <v>-0.8743016002</v>
      </c>
      <c r="AI36" s="146">
        <f t="shared" si="33"/>
        <v>3.327092801</v>
      </c>
      <c r="AJ36" s="146">
        <f t="shared" si="33"/>
        <v>2.55575295</v>
      </c>
      <c r="AK36" s="146">
        <f t="shared" si="33"/>
        <v>0.7642358343</v>
      </c>
      <c r="AL36" s="146">
        <f t="shared" si="33"/>
        <v>1.204062704</v>
      </c>
    </row>
    <row r="37">
      <c r="A37" s="158" t="s">
        <v>108</v>
      </c>
      <c r="B37" s="159" t="str">
        <f t="shared" ref="B37:L37" si="34">ABS(B23/B18)</f>
        <v>#DIV/0!</v>
      </c>
      <c r="C37" s="159">
        <f t="shared" si="34"/>
        <v>10.08383234</v>
      </c>
      <c r="D37" s="159">
        <f t="shared" si="34"/>
        <v>7.827561775</v>
      </c>
      <c r="E37" s="159">
        <f t="shared" si="34"/>
        <v>20.88350046</v>
      </c>
      <c r="F37" s="159">
        <f t="shared" si="34"/>
        <v>8.556037553</v>
      </c>
      <c r="G37" s="159">
        <f t="shared" si="34"/>
        <v>5.6196</v>
      </c>
      <c r="H37" s="159">
        <f t="shared" si="34"/>
        <v>7.5</v>
      </c>
      <c r="I37" s="159">
        <f t="shared" si="34"/>
        <v>7.541609415</v>
      </c>
      <c r="J37" s="159">
        <f t="shared" si="34"/>
        <v>6.839499712</v>
      </c>
      <c r="K37" s="159">
        <f t="shared" si="34"/>
        <v>13.38461538</v>
      </c>
      <c r="L37" s="159">
        <f t="shared" si="34"/>
        <v>6.066666667</v>
      </c>
      <c r="M37" s="108"/>
      <c r="N37" s="160">
        <f t="shared" ref="N37:X37" si="35">ABS(N23/N18)</f>
        <v>2.636007828</v>
      </c>
      <c r="O37" s="160">
        <f t="shared" si="35"/>
        <v>21.9963964</v>
      </c>
      <c r="P37" s="160">
        <f t="shared" si="35"/>
        <v>4.439511202</v>
      </c>
      <c r="Q37" s="160">
        <f t="shared" si="35"/>
        <v>35.23324905</v>
      </c>
      <c r="R37" s="160">
        <f t="shared" si="35"/>
        <v>13.39894577</v>
      </c>
      <c r="S37" s="160">
        <f t="shared" si="35"/>
        <v>8.523344088</v>
      </c>
      <c r="T37" s="160">
        <f t="shared" si="35"/>
        <v>1.543848485</v>
      </c>
      <c r="U37" s="160">
        <f t="shared" si="35"/>
        <v>7.58424392</v>
      </c>
      <c r="V37" s="160">
        <f t="shared" si="35"/>
        <v>15.58608791</v>
      </c>
      <c r="W37" s="160">
        <f t="shared" si="35"/>
        <v>11.54821489</v>
      </c>
      <c r="X37" s="160">
        <f t="shared" si="35"/>
        <v>6.823949193</v>
      </c>
      <c r="Y37" s="1"/>
      <c r="AA37" s="150">
        <f>(AC37^(1/COUNT(AA35:AL35)))-1</f>
        <v>0.5085921562</v>
      </c>
      <c r="AC37" s="151">
        <f>PRODUCT(AC36:AL36)</f>
        <v>61.05460883</v>
      </c>
    </row>
    <row r="38">
      <c r="A38" s="108"/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"/>
    </row>
    <row r="39">
      <c r="A39" s="108"/>
      <c r="B39" s="157"/>
      <c r="C39" s="157" t="s">
        <v>109</v>
      </c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61"/>
      <c r="Y39" s="1"/>
    </row>
    <row r="40">
      <c r="A40" s="162"/>
      <c r="B40" s="162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08"/>
      <c r="N40" s="163"/>
      <c r="O40" s="164">
        <f t="shared" ref="O40:X40" si="36">(O41-N41)/ABS(N41)</f>
        <v>-0.1842386584</v>
      </c>
      <c r="P40" s="164">
        <f t="shared" si="36"/>
        <v>-1.446332774</v>
      </c>
      <c r="Q40" s="164">
        <f t="shared" si="36"/>
        <v>11.22827782</v>
      </c>
      <c r="R40" s="164">
        <f t="shared" si="36"/>
        <v>1.358106532</v>
      </c>
      <c r="S40" s="164">
        <f t="shared" si="36"/>
        <v>-0.1585037869</v>
      </c>
      <c r="T40" s="164">
        <f t="shared" si="36"/>
        <v>-1.874341124</v>
      </c>
      <c r="U40" s="164">
        <f t="shared" si="36"/>
        <v>2.327092801</v>
      </c>
      <c r="V40" s="164">
        <f t="shared" si="36"/>
        <v>1.551860899</v>
      </c>
      <c r="W40" s="164">
        <f t="shared" si="36"/>
        <v>-0.2345985673</v>
      </c>
      <c r="X40" s="164">
        <f t="shared" si="36"/>
        <v>0.2040627038</v>
      </c>
      <c r="Y40" s="1"/>
    </row>
    <row r="41">
      <c r="A41" s="165" t="s">
        <v>110</v>
      </c>
      <c r="B41" s="166"/>
      <c r="C41" s="166">
        <v>8.8266E7</v>
      </c>
      <c r="D41" s="166">
        <v>7.9931E7</v>
      </c>
      <c r="E41" s="166"/>
      <c r="F41" s="166"/>
      <c r="G41" s="166">
        <v>9.9E7</v>
      </c>
      <c r="H41" s="167">
        <v>9.9E7</v>
      </c>
      <c r="I41" s="167">
        <v>1.32846E8</v>
      </c>
      <c r="J41" s="166">
        <v>2.728E8</v>
      </c>
      <c r="K41" s="166">
        <v>1.53E8</v>
      </c>
      <c r="L41" s="167">
        <v>8.4E7</v>
      </c>
      <c r="M41" s="168"/>
      <c r="N41" s="166">
        <v>2.9934E7</v>
      </c>
      <c r="O41" s="166">
        <v>2.4419E7</v>
      </c>
      <c r="P41" s="166">
        <v>-1.0899E7</v>
      </c>
      <c r="Q41" s="166">
        <v>1.11478E8</v>
      </c>
      <c r="R41" s="166">
        <v>2.62877E8</v>
      </c>
      <c r="S41" s="166">
        <v>2.2121E8</v>
      </c>
      <c r="T41" s="166">
        <v>-1.93413E8</v>
      </c>
      <c r="U41" s="166">
        <v>2.56677E8</v>
      </c>
      <c r="V41" s="166">
        <v>6.55004E8</v>
      </c>
      <c r="W41" s="166">
        <v>5.01341E8</v>
      </c>
      <c r="X41" s="166">
        <v>6.03646E8</v>
      </c>
      <c r="Y41" s="86"/>
      <c r="Z41" s="169"/>
      <c r="AA41" s="169"/>
      <c r="AB41" s="169"/>
      <c r="AC41" s="169"/>
      <c r="AD41" s="169"/>
      <c r="AE41" s="169"/>
      <c r="AF41" s="169"/>
      <c r="AG41" s="169"/>
      <c r="AH41" s="169"/>
      <c r="AI41" s="169"/>
      <c r="AJ41" s="169"/>
      <c r="AK41" s="169"/>
      <c r="AL41" s="169"/>
    </row>
    <row r="42">
      <c r="A42" s="105" t="s">
        <v>111</v>
      </c>
      <c r="B42" s="106"/>
      <c r="C42" s="106">
        <v>429000.0</v>
      </c>
      <c r="D42" s="106">
        <v>103000.0</v>
      </c>
      <c r="E42" s="106"/>
      <c r="F42" s="106"/>
      <c r="G42" s="106">
        <v>-1000000.0</v>
      </c>
      <c r="H42" s="107">
        <v>-1000000.0</v>
      </c>
      <c r="I42" s="107">
        <v>1495000.0</v>
      </c>
      <c r="J42" s="106">
        <v>-1.4858E8</v>
      </c>
      <c r="K42" s="106">
        <v>-1000000.0</v>
      </c>
      <c r="L42" s="107">
        <v>-5000000.0</v>
      </c>
      <c r="M42" s="170"/>
      <c r="N42" s="107"/>
      <c r="O42" s="107"/>
      <c r="P42" s="107"/>
      <c r="Q42" s="107"/>
      <c r="R42" s="107"/>
      <c r="S42" s="107"/>
      <c r="T42" s="107"/>
      <c r="U42" s="106">
        <v>0.0</v>
      </c>
      <c r="V42" s="106">
        <v>-4.9656E7</v>
      </c>
      <c r="W42" s="106">
        <v>-7000000.0</v>
      </c>
      <c r="X42" s="106">
        <v>-1.49085E8</v>
      </c>
      <c r="Y42" s="1"/>
    </row>
    <row r="43">
      <c r="A43" s="105" t="s">
        <v>81</v>
      </c>
      <c r="B43" s="106"/>
      <c r="C43" s="106">
        <v>3.0987E7</v>
      </c>
      <c r="D43" s="106">
        <v>3.4064E7</v>
      </c>
      <c r="E43" s="106"/>
      <c r="F43" s="106"/>
      <c r="G43" s="106">
        <v>4.7E7</v>
      </c>
      <c r="H43" s="107">
        <v>4.7E7</v>
      </c>
      <c r="I43" s="107">
        <v>5.5821E7</v>
      </c>
      <c r="J43" s="106">
        <v>6.4591E7</v>
      </c>
      <c r="K43" s="106">
        <v>6.7E7</v>
      </c>
      <c r="L43" s="107">
        <v>1.24E8</v>
      </c>
      <c r="M43" s="171"/>
      <c r="N43" s="107"/>
      <c r="O43" s="107"/>
      <c r="P43" s="107"/>
      <c r="Q43" s="107"/>
      <c r="R43" s="107"/>
      <c r="S43" s="106">
        <v>-4.1582E7</v>
      </c>
      <c r="T43" s="106">
        <v>1.42466E8</v>
      </c>
      <c r="U43" s="106">
        <v>1.02987E8</v>
      </c>
      <c r="V43" s="106">
        <v>1.21071E8</v>
      </c>
      <c r="W43" s="106">
        <v>1.46118E8</v>
      </c>
      <c r="X43" s="106">
        <v>2.14412E8</v>
      </c>
      <c r="Y43" s="1"/>
    </row>
    <row r="44">
      <c r="A44" s="105" t="s">
        <v>112</v>
      </c>
      <c r="B44" s="106"/>
      <c r="C44" s="106">
        <v>1.5103E7</v>
      </c>
      <c r="D44" s="106">
        <v>1.2594E7</v>
      </c>
      <c r="E44" s="106"/>
      <c r="F44" s="106"/>
      <c r="G44" s="106">
        <v>7000000.0</v>
      </c>
      <c r="H44" s="107">
        <v>7000000.0</v>
      </c>
      <c r="I44" s="107">
        <v>-1.9264E7</v>
      </c>
      <c r="J44" s="106">
        <v>-6122000.0</v>
      </c>
      <c r="K44" s="106">
        <v>-3.2E7</v>
      </c>
      <c r="L44" s="107">
        <v>2.9E7</v>
      </c>
      <c r="M44" s="170"/>
      <c r="N44" s="121"/>
      <c r="O44" s="121"/>
      <c r="P44" s="121"/>
      <c r="Q44" s="121"/>
      <c r="R44" s="121"/>
      <c r="S44" s="170">
        <v>7.8178E7</v>
      </c>
      <c r="T44" s="170">
        <v>1.00501E8</v>
      </c>
      <c r="U44" s="170">
        <v>0.0</v>
      </c>
      <c r="V44" s="106">
        <v>1.8138E7</v>
      </c>
      <c r="W44" s="106">
        <v>2.5793E7</v>
      </c>
      <c r="X44" s="106">
        <v>-1.1386E7</v>
      </c>
      <c r="Y44" s="1"/>
    </row>
    <row r="45">
      <c r="A45" s="105" t="s">
        <v>113</v>
      </c>
      <c r="B45" s="106"/>
      <c r="C45" s="106">
        <v>-2215000.0</v>
      </c>
      <c r="D45" s="106">
        <v>-3997000.0</v>
      </c>
      <c r="E45" s="106"/>
      <c r="F45" s="106"/>
      <c r="G45" s="106">
        <v>-3000000.0</v>
      </c>
      <c r="H45" s="107">
        <v>-3000000.0</v>
      </c>
      <c r="I45" s="107">
        <v>3962000.0</v>
      </c>
      <c r="J45" s="106">
        <v>-940000.0</v>
      </c>
      <c r="K45" s="106">
        <v>9000000.0</v>
      </c>
      <c r="L45" s="107">
        <v>3000000.0</v>
      </c>
      <c r="M45" s="170"/>
      <c r="N45" s="121"/>
      <c r="O45" s="121"/>
      <c r="P45" s="121"/>
      <c r="Q45" s="121"/>
      <c r="R45" s="121"/>
      <c r="S45" s="170">
        <v>0.0</v>
      </c>
      <c r="T45" s="170">
        <v>6.9202E7</v>
      </c>
      <c r="U45" s="170">
        <v>6.9409E7</v>
      </c>
      <c r="V45" s="106">
        <v>-3.1319E7</v>
      </c>
      <c r="W45" s="106">
        <v>-1.3319E7</v>
      </c>
      <c r="X45" s="106">
        <v>-2978000.0</v>
      </c>
      <c r="Y45" s="1"/>
    </row>
    <row r="46">
      <c r="A46" s="105" t="s">
        <v>74</v>
      </c>
      <c r="B46" s="106"/>
      <c r="C46" s="106">
        <v>643000.0</v>
      </c>
      <c r="D46" s="106">
        <v>579000.0</v>
      </c>
      <c r="E46" s="106"/>
      <c r="F46" s="106"/>
      <c r="G46" s="106">
        <v>2000000.0</v>
      </c>
      <c r="H46" s="107">
        <v>2000000.0</v>
      </c>
      <c r="I46" s="107">
        <v>470000.0</v>
      </c>
      <c r="J46" s="106">
        <v>1727000.0</v>
      </c>
      <c r="K46" s="106">
        <v>1000000.0</v>
      </c>
      <c r="L46" s="107">
        <v>3000000.0</v>
      </c>
      <c r="M46" s="170"/>
      <c r="N46" s="121"/>
      <c r="O46" s="121"/>
      <c r="P46" s="121"/>
      <c r="Q46" s="121"/>
      <c r="R46" s="121"/>
      <c r="S46" s="170">
        <v>0.0</v>
      </c>
      <c r="T46" s="170">
        <v>6.3591E7</v>
      </c>
      <c r="U46" s="170">
        <v>-9.2585E7</v>
      </c>
      <c r="V46" s="106">
        <v>5070000.0</v>
      </c>
      <c r="W46" s="106">
        <v>3442000.0</v>
      </c>
      <c r="X46" s="106">
        <v>6197000.0</v>
      </c>
      <c r="Y46" s="1"/>
    </row>
    <row r="47">
      <c r="A47" s="105" t="s">
        <v>114</v>
      </c>
      <c r="B47" s="106"/>
      <c r="C47" s="106">
        <v>-1381000.0</v>
      </c>
      <c r="D47" s="106">
        <v>2243000.0</v>
      </c>
      <c r="E47" s="106"/>
      <c r="F47" s="106"/>
      <c r="G47" s="106">
        <v>-2.3E7</v>
      </c>
      <c r="H47" s="107">
        <v>-2.3E7</v>
      </c>
      <c r="I47" s="107">
        <v>4.8886E7</v>
      </c>
      <c r="J47" s="106">
        <v>-1.6135E7</v>
      </c>
      <c r="K47" s="106">
        <v>3000000.0</v>
      </c>
      <c r="L47" s="107">
        <v>-5.7E7</v>
      </c>
      <c r="M47" s="170"/>
      <c r="N47" s="121"/>
      <c r="O47" s="121"/>
      <c r="P47" s="121"/>
      <c r="Q47" s="121"/>
      <c r="R47" s="121"/>
      <c r="S47" s="170">
        <v>0.0</v>
      </c>
      <c r="T47" s="170">
        <v>-3.6998E7</v>
      </c>
      <c r="U47" s="170">
        <v>0.0</v>
      </c>
      <c r="V47" s="106">
        <v>-1.3089E7</v>
      </c>
      <c r="W47" s="106">
        <v>-2.7379E7</v>
      </c>
      <c r="X47" s="106">
        <v>-1.3249E7</v>
      </c>
      <c r="Y47" s="1"/>
    </row>
    <row r="48">
      <c r="A48" s="105" t="s">
        <v>115</v>
      </c>
      <c r="B48" s="106"/>
      <c r="C48" s="106">
        <v>-3.0064E7</v>
      </c>
      <c r="D48" s="106">
        <v>3.194E7</v>
      </c>
      <c r="E48" s="106"/>
      <c r="F48" s="106"/>
      <c r="G48" s="106">
        <v>-3.0E7</v>
      </c>
      <c r="H48" s="107">
        <v>-3.0E7</v>
      </c>
      <c r="I48" s="107">
        <v>2.7333E7</v>
      </c>
      <c r="J48" s="106">
        <v>5025000.0</v>
      </c>
      <c r="K48" s="106">
        <v>-1.0E7</v>
      </c>
      <c r="L48" s="107">
        <v>2000000.0</v>
      </c>
      <c r="M48" s="170"/>
      <c r="N48" s="107"/>
      <c r="O48" s="107"/>
      <c r="P48" s="107"/>
      <c r="Q48" s="107"/>
      <c r="R48" s="107"/>
      <c r="S48" s="106">
        <v>-4832000.0</v>
      </c>
      <c r="T48" s="106">
        <v>8556000.0</v>
      </c>
      <c r="U48" s="106">
        <v>4710000.0</v>
      </c>
      <c r="V48" s="106">
        <v>-4116000.0</v>
      </c>
      <c r="W48" s="106">
        <v>2931000.0</v>
      </c>
      <c r="X48" s="106">
        <v>-2.7642E7</v>
      </c>
      <c r="Y48" s="1"/>
    </row>
    <row r="49">
      <c r="A49" s="105" t="s">
        <v>116</v>
      </c>
      <c r="B49" s="106"/>
      <c r="C49" s="106">
        <v>-2534000.0</v>
      </c>
      <c r="D49" s="106">
        <v>-49000.0</v>
      </c>
      <c r="E49" s="106"/>
      <c r="F49" s="106"/>
      <c r="G49" s="106">
        <v>5000000.0</v>
      </c>
      <c r="H49" s="107">
        <v>5000000.0</v>
      </c>
      <c r="I49" s="107">
        <v>4192000.0</v>
      </c>
      <c r="J49" s="106">
        <v>-7190000.0</v>
      </c>
      <c r="K49" s="170">
        <v>-4000000.0</v>
      </c>
      <c r="L49" s="107">
        <v>-3000000.0</v>
      </c>
      <c r="M49" s="170"/>
      <c r="N49" s="107"/>
      <c r="O49" s="107"/>
      <c r="P49" s="107"/>
      <c r="Q49" s="107"/>
      <c r="R49" s="107"/>
      <c r="S49" s="106">
        <v>2800000.0</v>
      </c>
      <c r="T49" s="106">
        <v>2.5879E7</v>
      </c>
      <c r="U49" s="106">
        <v>-3.6358E7</v>
      </c>
      <c r="V49" s="106">
        <v>151000.0</v>
      </c>
      <c r="W49" s="106">
        <v>6311000.0</v>
      </c>
      <c r="X49" s="106">
        <v>7002000.0</v>
      </c>
      <c r="Y49" s="1"/>
    </row>
    <row r="50">
      <c r="A50" s="105" t="s">
        <v>117</v>
      </c>
      <c r="B50" s="170"/>
      <c r="C50" s="170">
        <v>-306000.0</v>
      </c>
      <c r="D50" s="106">
        <v>0.0</v>
      </c>
      <c r="E50" s="170"/>
      <c r="F50" s="170"/>
      <c r="G50" s="170">
        <v>-1000000.0</v>
      </c>
      <c r="H50" s="107">
        <v>-1000000.0</v>
      </c>
      <c r="I50" s="107">
        <v>670000.0</v>
      </c>
      <c r="J50" s="170">
        <v>1981000.0</v>
      </c>
      <c r="K50" s="170">
        <v>0.0</v>
      </c>
      <c r="L50" s="107">
        <v>-2000000.0</v>
      </c>
      <c r="M50" s="170"/>
      <c r="N50" s="107"/>
      <c r="O50" s="107"/>
      <c r="P50" s="107"/>
      <c r="Q50" s="107"/>
      <c r="R50" s="107"/>
      <c r="S50" s="106">
        <v>-1.9266E7</v>
      </c>
      <c r="T50" s="106">
        <v>8578000.0</v>
      </c>
      <c r="U50" s="106">
        <v>-146000.0</v>
      </c>
      <c r="V50" s="170">
        <v>306000.0</v>
      </c>
      <c r="W50" s="170">
        <v>1024000.0</v>
      </c>
      <c r="X50" s="106">
        <v>651000.0</v>
      </c>
      <c r="Y50" s="1"/>
    </row>
    <row r="51">
      <c r="A51" s="105" t="s">
        <v>118</v>
      </c>
      <c r="B51" s="170"/>
      <c r="C51" s="170">
        <v>8566000.0</v>
      </c>
      <c r="D51" s="106">
        <v>-7893000.0</v>
      </c>
      <c r="E51" s="170"/>
      <c r="F51" s="170"/>
      <c r="G51" s="170">
        <v>1.2E7</v>
      </c>
      <c r="H51" s="107">
        <v>1.2E7</v>
      </c>
      <c r="I51" s="107">
        <v>-2.4109E7</v>
      </c>
      <c r="J51" s="170">
        <v>218000.0</v>
      </c>
      <c r="K51" s="122">
        <v>1.5E7</v>
      </c>
      <c r="L51" s="107">
        <v>-1.3E7</v>
      </c>
      <c r="M51" s="170"/>
      <c r="N51" s="107"/>
      <c r="O51" s="107"/>
      <c r="P51" s="107"/>
      <c r="Q51" s="107"/>
      <c r="R51" s="107"/>
      <c r="S51" s="106">
        <v>-7087000.0</v>
      </c>
      <c r="T51" s="106">
        <v>0.0</v>
      </c>
      <c r="U51" s="122">
        <v>0.0</v>
      </c>
      <c r="V51" s="170">
        <v>440000.0</v>
      </c>
      <c r="W51" s="170">
        <v>1014000.0</v>
      </c>
      <c r="X51" s="106">
        <v>109000.0</v>
      </c>
      <c r="Y51" s="1"/>
      <c r="Z51" s="172"/>
      <c r="AA51" s="110" t="s">
        <v>119</v>
      </c>
      <c r="AB51" s="111"/>
    </row>
    <row r="52">
      <c r="A52" s="105" t="s">
        <v>74</v>
      </c>
      <c r="B52" s="170"/>
      <c r="C52" s="170">
        <v>-251000.0</v>
      </c>
      <c r="D52" s="106">
        <v>-4119000.0</v>
      </c>
      <c r="E52" s="170"/>
      <c r="F52" s="170"/>
      <c r="G52" s="170">
        <v>1000000.0</v>
      </c>
      <c r="H52" s="107">
        <v>1000000.0</v>
      </c>
      <c r="I52" s="107">
        <v>-602000.0</v>
      </c>
      <c r="J52" s="170">
        <v>-9467000.0</v>
      </c>
      <c r="K52" s="170">
        <v>0.0</v>
      </c>
      <c r="L52" s="107">
        <v>7000000.0</v>
      </c>
      <c r="M52" s="170"/>
      <c r="N52" s="107"/>
      <c r="O52" s="107"/>
      <c r="P52" s="107"/>
      <c r="Q52" s="107"/>
      <c r="R52" s="107"/>
      <c r="S52" s="106">
        <v>7270000.0</v>
      </c>
      <c r="T52" s="106">
        <v>4605000.0</v>
      </c>
      <c r="U52" s="106">
        <v>2420000.0</v>
      </c>
      <c r="V52" s="170">
        <v>-2204000.0</v>
      </c>
      <c r="W52" s="170">
        <v>-2084000.0</v>
      </c>
      <c r="X52" s="106">
        <v>-8069000.0</v>
      </c>
      <c r="Y52" s="1"/>
      <c r="Z52" s="112"/>
      <c r="AA52" s="125" t="s">
        <v>75</v>
      </c>
      <c r="AB52" s="126" t="s">
        <v>76</v>
      </c>
    </row>
    <row r="53">
      <c r="A53" s="158" t="s">
        <v>119</v>
      </c>
      <c r="B53" s="116"/>
      <c r="C53" s="116">
        <f t="shared" ref="C53:K53" si="37">SUM(C41:C52)</f>
        <v>107243000</v>
      </c>
      <c r="D53" s="116">
        <f t="shared" si="37"/>
        <v>145396000</v>
      </c>
      <c r="E53" s="116">
        <f t="shared" si="37"/>
        <v>0</v>
      </c>
      <c r="F53" s="116">
        <f t="shared" si="37"/>
        <v>0</v>
      </c>
      <c r="G53" s="116">
        <f t="shared" si="37"/>
        <v>115000000</v>
      </c>
      <c r="H53" s="116">
        <f t="shared" si="37"/>
        <v>115000000</v>
      </c>
      <c r="I53" s="116">
        <f t="shared" si="37"/>
        <v>231700000</v>
      </c>
      <c r="J53" s="116">
        <f t="shared" si="37"/>
        <v>157908000</v>
      </c>
      <c r="K53" s="116">
        <f t="shared" si="37"/>
        <v>201000000</v>
      </c>
      <c r="L53" s="116">
        <f>SUM(L41:L49)</f>
        <v>180000000</v>
      </c>
      <c r="M53" s="108"/>
      <c r="N53" s="117">
        <v>5.1813E7</v>
      </c>
      <c r="O53" s="117">
        <v>6.3832E7</v>
      </c>
      <c r="P53" s="117">
        <v>6.8627E7</v>
      </c>
      <c r="Q53" s="117">
        <v>1.39219E8</v>
      </c>
      <c r="R53" s="117">
        <v>2.44493E8</v>
      </c>
      <c r="S53" s="116">
        <f>SUM(S41:S52)</f>
        <v>236691000</v>
      </c>
      <c r="T53" s="117">
        <v>1.96556E8</v>
      </c>
      <c r="U53" s="117">
        <v>3.07114E8</v>
      </c>
      <c r="V53" s="116">
        <f t="shared" ref="V53:X53" si="38">SUM(V41:V52)</f>
        <v>699796000</v>
      </c>
      <c r="W53" s="116">
        <f t="shared" si="38"/>
        <v>638192000</v>
      </c>
      <c r="X53" s="116">
        <f t="shared" si="38"/>
        <v>619608000</v>
      </c>
      <c r="Y53" s="1"/>
      <c r="Z53" s="118"/>
      <c r="AA53" s="119">
        <f>(X53-N53)/(COUNT(N53:X53))</f>
        <v>51617727.27</v>
      </c>
      <c r="AB53" s="120">
        <f>((X53/N53)^(1/COUNT(N53:X53)))-1</f>
        <v>0.2530567852</v>
      </c>
    </row>
    <row r="54">
      <c r="A54" s="108"/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"/>
    </row>
    <row r="55">
      <c r="A55" s="105" t="s">
        <v>120</v>
      </c>
      <c r="B55" s="106"/>
      <c r="C55" s="106">
        <v>-7.5073E7</v>
      </c>
      <c r="D55" s="106">
        <v>0.0</v>
      </c>
      <c r="E55" s="106"/>
      <c r="F55" s="106"/>
      <c r="G55" s="106">
        <v>0.0</v>
      </c>
      <c r="H55" s="106">
        <v>0.0</v>
      </c>
      <c r="I55" s="107">
        <v>0.0</v>
      </c>
      <c r="J55" s="106">
        <v>0.0</v>
      </c>
      <c r="K55" s="106">
        <v>0.0</v>
      </c>
      <c r="L55" s="106">
        <v>0.0</v>
      </c>
      <c r="M55" s="170"/>
      <c r="N55" s="106">
        <v>0.0</v>
      </c>
      <c r="O55" s="106">
        <v>0.0</v>
      </c>
      <c r="P55" s="106">
        <v>0.0</v>
      </c>
      <c r="Q55" s="106">
        <v>-3.44079E8</v>
      </c>
      <c r="R55" s="106">
        <v>-6.10131E8</v>
      </c>
      <c r="S55" s="106">
        <v>-5.30572E8</v>
      </c>
      <c r="T55" s="106">
        <v>-6.5678E7</v>
      </c>
      <c r="U55" s="106">
        <v>0.0</v>
      </c>
      <c r="V55" s="106">
        <v>0.0</v>
      </c>
      <c r="W55" s="106">
        <v>-7.5073E7</v>
      </c>
      <c r="X55" s="106">
        <v>0.0</v>
      </c>
      <c r="Y55" s="1"/>
    </row>
    <row r="56">
      <c r="A56" s="105" t="s">
        <v>121</v>
      </c>
      <c r="B56" s="106"/>
      <c r="C56" s="106">
        <v>-3.9602E7</v>
      </c>
      <c r="D56" s="106">
        <v>-9007000.0</v>
      </c>
      <c r="E56" s="106"/>
      <c r="F56" s="106"/>
      <c r="G56" s="106">
        <v>-2.1E7</v>
      </c>
      <c r="H56" s="107">
        <f t="shared" ref="H56:H58" si="39">M56-G56</f>
        <v>21000000</v>
      </c>
      <c r="I56" s="107">
        <v>-2.71052E8</v>
      </c>
      <c r="J56" s="106">
        <v>-4.2519E8</v>
      </c>
      <c r="K56" s="106">
        <v>-4.86E8</v>
      </c>
      <c r="L56" s="107">
        <v>-4.95E8</v>
      </c>
      <c r="M56" s="170"/>
      <c r="N56" s="107">
        <f>-5276000-57689000-33850000</f>
        <v>-96815000</v>
      </c>
      <c r="O56" s="106">
        <v>-4.3907E7</v>
      </c>
      <c r="P56" s="106">
        <v>-2.05721E8</v>
      </c>
      <c r="Q56" s="106">
        <v>0.0</v>
      </c>
      <c r="R56" s="106">
        <v>-4687000.0</v>
      </c>
      <c r="S56" s="106">
        <v>0.0</v>
      </c>
      <c r="T56" s="106">
        <v>0.0</v>
      </c>
      <c r="U56" s="106">
        <v>-2.81176E8</v>
      </c>
      <c r="V56" s="106">
        <v>-6.4131E7</v>
      </c>
      <c r="W56" s="106">
        <v>-8.30128E8</v>
      </c>
      <c r="X56" s="106">
        <v>-6.96242E8</v>
      </c>
      <c r="Y56" s="1"/>
    </row>
    <row r="57">
      <c r="A57" s="105" t="s">
        <v>122</v>
      </c>
      <c r="B57" s="106"/>
      <c r="C57" s="106">
        <v>-1908000.0</v>
      </c>
      <c r="D57" s="106">
        <v>-67000.0</v>
      </c>
      <c r="E57" s="106"/>
      <c r="F57" s="106"/>
      <c r="G57" s="106">
        <v>1000000.0</v>
      </c>
      <c r="H57" s="107">
        <f t="shared" si="39"/>
        <v>-1000000</v>
      </c>
      <c r="I57" s="107">
        <v>8.7674E7</v>
      </c>
      <c r="J57" s="106">
        <v>-5000.0</v>
      </c>
      <c r="K57" s="107"/>
      <c r="L57" s="107">
        <v>-2.79E7</v>
      </c>
      <c r="M57" s="170"/>
      <c r="N57" s="106">
        <v>0.0</v>
      </c>
      <c r="O57" s="106">
        <v>0.0</v>
      </c>
      <c r="P57" s="107"/>
      <c r="Q57" s="106">
        <v>0.0</v>
      </c>
      <c r="R57" s="106">
        <v>441000.0</v>
      </c>
      <c r="S57" s="106">
        <v>0.0</v>
      </c>
      <c r="T57" s="106">
        <v>3.8594E7</v>
      </c>
      <c r="U57" s="106">
        <v>0.0</v>
      </c>
      <c r="V57" s="106">
        <v>1.11702E8</v>
      </c>
      <c r="W57" s="106">
        <v>-3164000.0</v>
      </c>
      <c r="X57" s="106">
        <v>8.7669E7</v>
      </c>
      <c r="Y57" s="1"/>
      <c r="AA57" s="124" t="s">
        <v>123</v>
      </c>
      <c r="AB57" s="111"/>
    </row>
    <row r="58">
      <c r="A58" s="108" t="s">
        <v>74</v>
      </c>
      <c r="B58" s="173"/>
      <c r="C58" s="173">
        <v>0.0</v>
      </c>
      <c r="D58" s="106">
        <v>1200000.0</v>
      </c>
      <c r="E58" s="106"/>
      <c r="F58" s="173"/>
      <c r="G58" s="173">
        <v>0.0</v>
      </c>
      <c r="H58" s="107">
        <f t="shared" si="39"/>
        <v>0</v>
      </c>
      <c r="I58" s="107">
        <v>0.0</v>
      </c>
      <c r="J58" s="106">
        <v>0.0</v>
      </c>
      <c r="K58" s="106">
        <v>0.0</v>
      </c>
      <c r="L58" s="107">
        <v>0.0</v>
      </c>
      <c r="M58" s="170"/>
      <c r="N58" s="106">
        <v>0.0</v>
      </c>
      <c r="O58" s="106">
        <v>0.0</v>
      </c>
      <c r="P58" s="106">
        <v>0.0</v>
      </c>
      <c r="Q58" s="106">
        <v>0.0</v>
      </c>
      <c r="R58" s="106">
        <v>124000.0</v>
      </c>
      <c r="S58" s="106">
        <v>0.0</v>
      </c>
      <c r="T58" s="106">
        <v>1.0801E7</v>
      </c>
      <c r="U58" s="106">
        <v>0.0</v>
      </c>
      <c r="V58" s="106">
        <v>0.0</v>
      </c>
      <c r="W58" s="106">
        <v>0.0</v>
      </c>
      <c r="X58" s="106">
        <v>0.0</v>
      </c>
      <c r="Y58" s="1"/>
      <c r="AA58" s="125" t="s">
        <v>75</v>
      </c>
      <c r="AB58" s="126" t="s">
        <v>76</v>
      </c>
    </row>
    <row r="59">
      <c r="A59" s="158" t="s">
        <v>123</v>
      </c>
      <c r="B59" s="116"/>
      <c r="C59" s="116">
        <f t="shared" ref="C59:L59" si="40">SUM(C56:C58)</f>
        <v>-41510000</v>
      </c>
      <c r="D59" s="116">
        <f t="shared" si="40"/>
        <v>-7874000</v>
      </c>
      <c r="E59" s="116">
        <f t="shared" si="40"/>
        <v>0</v>
      </c>
      <c r="F59" s="116">
        <f t="shared" si="40"/>
        <v>0</v>
      </c>
      <c r="G59" s="116">
        <f t="shared" si="40"/>
        <v>-20000000</v>
      </c>
      <c r="H59" s="116">
        <f t="shared" si="40"/>
        <v>20000000</v>
      </c>
      <c r="I59" s="116">
        <f t="shared" si="40"/>
        <v>-183378000</v>
      </c>
      <c r="J59" s="116">
        <f t="shared" si="40"/>
        <v>-425195000</v>
      </c>
      <c r="K59" s="116">
        <f t="shared" si="40"/>
        <v>-486000000</v>
      </c>
      <c r="L59" s="116">
        <f t="shared" si="40"/>
        <v>-522900000</v>
      </c>
      <c r="M59" s="121"/>
      <c r="N59" s="116">
        <f t="shared" ref="N59:S59" si="41">SUM(N55:N58)</f>
        <v>-96815000</v>
      </c>
      <c r="O59" s="116">
        <f t="shared" si="41"/>
        <v>-43907000</v>
      </c>
      <c r="P59" s="116">
        <f t="shared" si="41"/>
        <v>-205721000</v>
      </c>
      <c r="Q59" s="116">
        <f t="shared" si="41"/>
        <v>-344079000</v>
      </c>
      <c r="R59" s="116">
        <f t="shared" si="41"/>
        <v>-614253000</v>
      </c>
      <c r="S59" s="116">
        <f t="shared" si="41"/>
        <v>-530572000</v>
      </c>
      <c r="T59" s="117">
        <v>-1.6283E7</v>
      </c>
      <c r="U59" s="117">
        <v>-2.81176E8</v>
      </c>
      <c r="V59" s="116">
        <f t="shared" ref="V59:X59" si="42">SUM(V55:V58)</f>
        <v>47571000</v>
      </c>
      <c r="W59" s="116">
        <f t="shared" si="42"/>
        <v>-908365000</v>
      </c>
      <c r="X59" s="116">
        <f t="shared" si="42"/>
        <v>-608573000</v>
      </c>
      <c r="Y59" s="1"/>
      <c r="AA59" s="119">
        <f>(X59-N59)/(COUNT(N59:X59))</f>
        <v>-46523454.55</v>
      </c>
      <c r="AB59" s="120">
        <f>((X59/N59)^(1/COUNT(N59:X59)))-1</f>
        <v>0.1818955397</v>
      </c>
    </row>
    <row r="60">
      <c r="A60" s="108"/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08"/>
      <c r="M60" s="121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"/>
    </row>
    <row r="61">
      <c r="A61" s="105" t="s">
        <v>124</v>
      </c>
      <c r="B61" s="106"/>
      <c r="C61" s="106">
        <v>1.18E8</v>
      </c>
      <c r="D61" s="106">
        <v>7.3E7</v>
      </c>
      <c r="E61" s="106"/>
      <c r="F61" s="106"/>
      <c r="G61" s="106">
        <v>9.0E7</v>
      </c>
      <c r="H61" s="107">
        <v>5000000.0</v>
      </c>
      <c r="I61" s="107">
        <v>3.75E8</v>
      </c>
      <c r="J61" s="106">
        <v>3.72E8</v>
      </c>
      <c r="K61" s="106">
        <v>2.95E8</v>
      </c>
      <c r="L61" s="107">
        <v>4.45E8</v>
      </c>
      <c r="M61" s="170"/>
      <c r="N61" s="107"/>
      <c r="O61" s="107"/>
      <c r="P61" s="107"/>
      <c r="Q61" s="107"/>
      <c r="R61" s="107"/>
      <c r="S61" s="106">
        <v>5.905E8</v>
      </c>
      <c r="T61" s="106">
        <v>1.04E8</v>
      </c>
      <c r="U61" s="106">
        <v>3.3E8</v>
      </c>
      <c r="V61" s="106">
        <v>2.72E8</v>
      </c>
      <c r="W61" s="106">
        <v>5.73E8</v>
      </c>
      <c r="X61" s="106">
        <v>8.42E8</v>
      </c>
      <c r="Y61" s="1"/>
    </row>
    <row r="62">
      <c r="A62" s="105" t="s">
        <v>125</v>
      </c>
      <c r="B62" s="106"/>
      <c r="C62" s="106">
        <v>0.0</v>
      </c>
      <c r="D62" s="106">
        <v>-1.19E8</v>
      </c>
      <c r="E62" s="106"/>
      <c r="F62" s="106"/>
      <c r="G62" s="106">
        <v>-8.0E7</v>
      </c>
      <c r="H62" s="107">
        <v>-1.01E8</v>
      </c>
      <c r="I62" s="107">
        <v>-5.52E8</v>
      </c>
      <c r="J62" s="106">
        <v>-1.11E8</v>
      </c>
      <c r="K62" s="106">
        <v>-5.56E8</v>
      </c>
      <c r="L62" s="107">
        <v>-1.2E8</v>
      </c>
      <c r="M62" s="170"/>
      <c r="N62" s="107"/>
      <c r="O62" s="107"/>
      <c r="P62" s="107"/>
      <c r="Q62" s="107"/>
      <c r="R62" s="107"/>
      <c r="S62" s="106">
        <v>-9.05E8</v>
      </c>
      <c r="T62" s="106">
        <v>-1.165E8</v>
      </c>
      <c r="U62" s="106">
        <v>-1.1E8</v>
      </c>
      <c r="V62" s="106">
        <v>-4.24E8</v>
      </c>
      <c r="W62" s="106">
        <v>-4.62E8</v>
      </c>
      <c r="X62" s="106">
        <v>-8.44E8</v>
      </c>
      <c r="Y62" s="1"/>
    </row>
    <row r="63">
      <c r="A63" s="105" t="s">
        <v>126</v>
      </c>
      <c r="B63" s="90"/>
      <c r="C63" s="90">
        <v>0.0</v>
      </c>
      <c r="D63" s="106">
        <v>0.0</v>
      </c>
      <c r="E63" s="90"/>
      <c r="F63" s="90"/>
      <c r="G63" s="90">
        <v>0.0</v>
      </c>
      <c r="H63" s="106">
        <v>0.0</v>
      </c>
      <c r="I63" s="107">
        <v>4.75904E8</v>
      </c>
      <c r="J63" s="106">
        <v>-4.75904E8</v>
      </c>
      <c r="K63" s="174">
        <v>0.0</v>
      </c>
      <c r="L63" s="106">
        <v>0.0</v>
      </c>
      <c r="M63" s="170"/>
      <c r="N63" s="107"/>
      <c r="O63" s="107"/>
      <c r="P63" s="107"/>
      <c r="Q63" s="107"/>
      <c r="R63" s="107"/>
      <c r="S63" s="106">
        <v>5.0E8</v>
      </c>
      <c r="T63" s="106">
        <v>0.0</v>
      </c>
      <c r="U63" s="106">
        <v>0.0</v>
      </c>
      <c r="V63" s="106">
        <v>0.0</v>
      </c>
      <c r="W63" s="106">
        <v>4.0E8</v>
      </c>
      <c r="X63" s="106">
        <v>0.0</v>
      </c>
      <c r="Y63" s="1"/>
    </row>
    <row r="64">
      <c r="A64" s="105" t="s">
        <v>127</v>
      </c>
      <c r="B64" s="90"/>
      <c r="C64" s="90">
        <v>0.0</v>
      </c>
      <c r="D64" s="106">
        <v>0.0</v>
      </c>
      <c r="E64" s="90"/>
      <c r="F64" s="90"/>
      <c r="G64" s="90">
        <v>0.0</v>
      </c>
      <c r="H64" s="107">
        <v>0.0</v>
      </c>
      <c r="I64" s="107">
        <v>0.0</v>
      </c>
      <c r="J64" s="106">
        <v>0.0</v>
      </c>
      <c r="K64" s="174">
        <v>0.0</v>
      </c>
      <c r="L64" s="107">
        <v>-5.0E7</v>
      </c>
      <c r="M64" s="170"/>
      <c r="N64" s="107"/>
      <c r="O64" s="107"/>
      <c r="P64" s="107"/>
      <c r="Q64" s="107"/>
      <c r="R64" s="107"/>
      <c r="S64" s="106">
        <v>0.0</v>
      </c>
      <c r="T64" s="106">
        <v>-1.9697E7</v>
      </c>
      <c r="U64" s="106">
        <v>0.0</v>
      </c>
      <c r="V64" s="106">
        <v>-4.8963E7</v>
      </c>
      <c r="W64" s="106">
        <v>0.0</v>
      </c>
      <c r="X64" s="106">
        <v>0.0</v>
      </c>
      <c r="Y64" s="1"/>
    </row>
    <row r="65">
      <c r="A65" s="105" t="s">
        <v>128</v>
      </c>
      <c r="B65" s="90"/>
      <c r="C65" s="90">
        <v>0.0</v>
      </c>
      <c r="D65" s="106">
        <v>0.0</v>
      </c>
      <c r="E65" s="90"/>
      <c r="F65" s="90"/>
      <c r="G65" s="90">
        <v>0.0</v>
      </c>
      <c r="H65" s="106">
        <v>0.0</v>
      </c>
      <c r="I65" s="106">
        <v>0.0</v>
      </c>
      <c r="J65" s="106">
        <v>0.0</v>
      </c>
      <c r="K65" s="174">
        <v>0.0</v>
      </c>
      <c r="L65" s="106">
        <v>0.0</v>
      </c>
      <c r="M65" s="170"/>
      <c r="N65" s="107"/>
      <c r="O65" s="107"/>
      <c r="P65" s="107"/>
      <c r="Q65" s="107"/>
      <c r="R65" s="107"/>
      <c r="S65" s="106">
        <v>-1.0863E7</v>
      </c>
      <c r="T65" s="106">
        <v>-111000.0</v>
      </c>
      <c r="U65" s="106">
        <v>-2885000.0</v>
      </c>
      <c r="V65" s="106"/>
      <c r="W65" s="106"/>
      <c r="X65" s="106"/>
      <c r="Y65" s="1"/>
    </row>
    <row r="66">
      <c r="A66" s="105" t="s">
        <v>129</v>
      </c>
      <c r="B66" s="90"/>
      <c r="C66" s="90">
        <v>0.0</v>
      </c>
      <c r="D66" s="106">
        <v>0.0</v>
      </c>
      <c r="E66" s="90"/>
      <c r="F66" s="90"/>
      <c r="G66" s="90">
        <v>0.0</v>
      </c>
      <c r="H66" s="107">
        <v>0.0</v>
      </c>
      <c r="I66" s="107">
        <v>-1.56553E8</v>
      </c>
      <c r="J66" s="106">
        <v>6.32459E8</v>
      </c>
      <c r="K66" s="174">
        <v>1.232E9</v>
      </c>
      <c r="L66" s="107">
        <v>0.0</v>
      </c>
      <c r="M66" s="170"/>
      <c r="N66" s="107"/>
      <c r="O66" s="107"/>
      <c r="P66" s="107"/>
      <c r="Q66" s="107"/>
      <c r="R66" s="107"/>
      <c r="S66" s="106">
        <v>0.0</v>
      </c>
      <c r="T66" s="106">
        <v>0.0</v>
      </c>
      <c r="U66" s="106">
        <v>0.0</v>
      </c>
      <c r="V66" s="106">
        <v>0.0</v>
      </c>
      <c r="W66" s="106">
        <v>0.0</v>
      </c>
      <c r="X66" s="106">
        <v>4.75906E8</v>
      </c>
      <c r="Y66" s="1"/>
    </row>
    <row r="67">
      <c r="A67" s="105" t="s">
        <v>130</v>
      </c>
      <c r="B67" s="106"/>
      <c r="C67" s="106">
        <v>0.0</v>
      </c>
      <c r="D67" s="106">
        <v>0.0</v>
      </c>
      <c r="E67" s="106"/>
      <c r="F67" s="106"/>
      <c r="G67" s="106">
        <v>0.0</v>
      </c>
      <c r="H67" s="106">
        <v>0.0</v>
      </c>
      <c r="I67" s="107">
        <v>-1.9183E8</v>
      </c>
      <c r="J67" s="106">
        <v>1.9183E8</v>
      </c>
      <c r="K67" s="106">
        <v>0.0</v>
      </c>
      <c r="L67" s="106">
        <v>0.0</v>
      </c>
      <c r="M67" s="170"/>
      <c r="N67" s="107"/>
      <c r="O67" s="107"/>
      <c r="P67" s="107"/>
      <c r="Q67" s="107"/>
      <c r="R67" s="107"/>
      <c r="S67" s="106">
        <v>3.4086E8</v>
      </c>
      <c r="T67" s="106">
        <v>0.0</v>
      </c>
      <c r="U67" s="106">
        <v>0.0</v>
      </c>
      <c r="V67" s="106">
        <v>0.0</v>
      </c>
      <c r="W67" s="106">
        <v>2.0E8</v>
      </c>
      <c r="X67" s="106">
        <v>0.0</v>
      </c>
      <c r="Y67" s="1"/>
    </row>
    <row r="68">
      <c r="A68" s="105" t="s">
        <v>131</v>
      </c>
      <c r="B68" s="106"/>
      <c r="C68" s="106">
        <v>-3.3022E7</v>
      </c>
      <c r="D68" s="106">
        <v>-2.4509E7</v>
      </c>
      <c r="E68" s="106"/>
      <c r="F68" s="106"/>
      <c r="G68" s="106">
        <v>0.0</v>
      </c>
      <c r="H68" s="107">
        <v>0.0</v>
      </c>
      <c r="I68" s="106">
        <v>0.0</v>
      </c>
      <c r="J68" s="106">
        <v>0.0</v>
      </c>
      <c r="K68" s="106">
        <v>0.0</v>
      </c>
      <c r="L68" s="107">
        <v>-1000000.0</v>
      </c>
      <c r="M68" s="170"/>
      <c r="N68" s="107"/>
      <c r="O68" s="107"/>
      <c r="P68" s="107"/>
      <c r="Q68" s="107"/>
      <c r="R68" s="107"/>
      <c r="S68" s="106">
        <v>0.0</v>
      </c>
      <c r="T68" s="106">
        <v>-2.4026E7</v>
      </c>
      <c r="U68" s="106">
        <v>-4.5999E7</v>
      </c>
      <c r="V68" s="106">
        <v>-1.50593E8</v>
      </c>
      <c r="W68" s="106">
        <v>-9.5221E7</v>
      </c>
      <c r="X68" s="106">
        <v>0.0</v>
      </c>
      <c r="Y68" s="1"/>
    </row>
    <row r="69">
      <c r="A69" s="105" t="s">
        <v>132</v>
      </c>
      <c r="B69" s="106"/>
      <c r="C69" s="106">
        <v>-3.5325E7</v>
      </c>
      <c r="D69" s="106">
        <v>-2.3556E7</v>
      </c>
      <c r="E69" s="106"/>
      <c r="F69" s="106"/>
      <c r="G69" s="106">
        <v>-4.4E7</v>
      </c>
      <c r="H69" s="107">
        <v>-5.4E7</v>
      </c>
      <c r="I69" s="107">
        <v>9.8E7</v>
      </c>
      <c r="J69" s="106">
        <v>-2.19465E8</v>
      </c>
      <c r="K69" s="106">
        <v>-8.5E7</v>
      </c>
      <c r="L69" s="107">
        <v>-7.5E7</v>
      </c>
      <c r="M69" s="170"/>
      <c r="N69" s="106">
        <v>-19926.0</v>
      </c>
      <c r="O69" s="107"/>
      <c r="P69" s="107"/>
      <c r="Q69" s="107"/>
      <c r="R69" s="107"/>
      <c r="S69" s="106">
        <v>-1.07074E8</v>
      </c>
      <c r="T69" s="106">
        <v>-4.5674E7</v>
      </c>
      <c r="U69" s="106">
        <v>-7.5942E7</v>
      </c>
      <c r="V69" s="106">
        <v>-1.82835E8</v>
      </c>
      <c r="W69" s="106">
        <v>-1.28777E8</v>
      </c>
      <c r="X69" s="106">
        <v>-2.19465E8</v>
      </c>
      <c r="Y69" s="1"/>
    </row>
    <row r="70">
      <c r="A70" s="105" t="s">
        <v>133</v>
      </c>
      <c r="B70" s="106"/>
      <c r="C70" s="106">
        <v>-4.9366E7</v>
      </c>
      <c r="D70" s="106">
        <v>-3.8363E7</v>
      </c>
      <c r="E70" s="106"/>
      <c r="F70" s="106"/>
      <c r="G70" s="106">
        <v>-6.7E7</v>
      </c>
      <c r="H70" s="107">
        <v>-6.0E7</v>
      </c>
      <c r="I70" s="106">
        <v>0.0</v>
      </c>
      <c r="J70" s="106">
        <v>-1.27216E8</v>
      </c>
      <c r="K70" s="106">
        <v>-5.9E7</v>
      </c>
      <c r="L70" s="107">
        <v>-1.09E8</v>
      </c>
      <c r="M70" s="171"/>
      <c r="N70" s="106">
        <v>-1.4876E8</v>
      </c>
      <c r="O70" s="106">
        <v>-6.8555E7</v>
      </c>
      <c r="P70" s="106">
        <v>-6.4824E7</v>
      </c>
      <c r="Q70" s="106">
        <v>-1.30876E8</v>
      </c>
      <c r="R70" s="106">
        <v>-2.53483E8</v>
      </c>
      <c r="S70" s="106">
        <v>-1.33211E8</v>
      </c>
      <c r="T70" s="106">
        <v>-6.2282E7</v>
      </c>
      <c r="U70" s="106">
        <v>-1.00685E8</v>
      </c>
      <c r="V70" s="106">
        <v>-2.34103E8</v>
      </c>
      <c r="W70" s="106">
        <v>-1.95976E8</v>
      </c>
      <c r="X70" s="106">
        <v>-2.54216E8</v>
      </c>
      <c r="Y70" s="1"/>
    </row>
    <row r="71">
      <c r="A71" s="105" t="s">
        <v>134</v>
      </c>
      <c r="B71" s="122"/>
      <c r="C71" s="122">
        <v>0.0</v>
      </c>
      <c r="D71" s="106">
        <v>0.0</v>
      </c>
      <c r="E71" s="106"/>
      <c r="F71" s="106"/>
      <c r="G71" s="106">
        <v>0.0</v>
      </c>
      <c r="H71" s="107">
        <v>0.0</v>
      </c>
      <c r="I71" s="107">
        <v>0.0</v>
      </c>
      <c r="J71" s="106">
        <v>-7368000.0</v>
      </c>
      <c r="K71" s="106">
        <v>-9000000.0</v>
      </c>
      <c r="L71" s="107">
        <v>7300000.0</v>
      </c>
      <c r="M71" s="171"/>
      <c r="N71" s="107"/>
      <c r="O71" s="107"/>
      <c r="P71" s="107"/>
      <c r="Q71" s="107"/>
      <c r="R71" s="107"/>
      <c r="S71" s="106">
        <v>0.0</v>
      </c>
      <c r="T71" s="106">
        <v>0.0</v>
      </c>
      <c r="U71" s="106">
        <v>0.0</v>
      </c>
      <c r="V71" s="106">
        <v>0.0</v>
      </c>
      <c r="W71" s="106">
        <v>0.0</v>
      </c>
      <c r="X71" s="106">
        <v>-7368000.0</v>
      </c>
      <c r="Y71" s="1"/>
      <c r="AA71" s="124" t="s">
        <v>135</v>
      </c>
      <c r="AB71" s="111"/>
    </row>
    <row r="72">
      <c r="A72" s="105" t="s">
        <v>74</v>
      </c>
      <c r="B72" s="106"/>
      <c r="C72" s="106">
        <v>-20000.0</v>
      </c>
      <c r="D72" s="106">
        <v>-1151000.0</v>
      </c>
      <c r="E72" s="106"/>
      <c r="F72" s="106"/>
      <c r="G72" s="106">
        <v>0.0</v>
      </c>
      <c r="H72" s="107">
        <v>0.0</v>
      </c>
      <c r="I72" s="106">
        <v>-63000.0</v>
      </c>
      <c r="J72" s="106">
        <v>-2847000.0</v>
      </c>
      <c r="K72" s="106">
        <v>0.0</v>
      </c>
      <c r="L72" s="107">
        <v>-3000000.0</v>
      </c>
      <c r="M72" s="171"/>
      <c r="N72" s="107"/>
      <c r="O72" s="107"/>
      <c r="P72" s="107"/>
      <c r="Q72" s="107"/>
      <c r="R72" s="107"/>
      <c r="S72" s="106">
        <v>-405000.0</v>
      </c>
      <c r="T72" s="106">
        <v>-464000.0</v>
      </c>
      <c r="U72" s="106">
        <v>-100000.0</v>
      </c>
      <c r="V72" s="106">
        <v>-142000.0</v>
      </c>
      <c r="W72" s="106">
        <v>-1.3163E7</v>
      </c>
      <c r="X72" s="106">
        <v>-2910000.0</v>
      </c>
      <c r="Y72" s="1"/>
      <c r="AA72" s="125" t="s">
        <v>75</v>
      </c>
      <c r="AB72" s="126" t="s">
        <v>76</v>
      </c>
    </row>
    <row r="73">
      <c r="A73" s="158" t="s">
        <v>135</v>
      </c>
      <c r="B73" s="116"/>
      <c r="C73" s="116">
        <f t="shared" ref="C73:K73" si="43">SUM(C61:C72)</f>
        <v>267000</v>
      </c>
      <c r="D73" s="116">
        <f t="shared" si="43"/>
        <v>-133579000</v>
      </c>
      <c r="E73" s="116">
        <f t="shared" si="43"/>
        <v>0</v>
      </c>
      <c r="F73" s="116">
        <f t="shared" si="43"/>
        <v>0</v>
      </c>
      <c r="G73" s="116">
        <f t="shared" si="43"/>
        <v>-101000000</v>
      </c>
      <c r="H73" s="116">
        <f t="shared" si="43"/>
        <v>-210000000</v>
      </c>
      <c r="I73" s="116">
        <f t="shared" si="43"/>
        <v>48458000</v>
      </c>
      <c r="J73" s="116">
        <f t="shared" si="43"/>
        <v>252489000</v>
      </c>
      <c r="K73" s="116">
        <f t="shared" si="43"/>
        <v>818000000</v>
      </c>
      <c r="L73" s="116">
        <f>SUM(L61:L71)</f>
        <v>97300000</v>
      </c>
      <c r="M73" s="121"/>
      <c r="N73" s="117">
        <v>5.935E7</v>
      </c>
      <c r="O73" s="117">
        <v>-3.4496E7</v>
      </c>
      <c r="P73" s="117">
        <v>1.45768E8</v>
      </c>
      <c r="Q73" s="117">
        <v>2.19844E8</v>
      </c>
      <c r="R73" s="117">
        <v>3.68239E8</v>
      </c>
      <c r="S73" s="116">
        <f t="shared" ref="S73:X73" si="44">SUM(S61:S72)</f>
        <v>274807000</v>
      </c>
      <c r="T73" s="116">
        <f t="shared" si="44"/>
        <v>-164754000</v>
      </c>
      <c r="U73" s="116">
        <f t="shared" si="44"/>
        <v>-5611000</v>
      </c>
      <c r="V73" s="116">
        <f t="shared" si="44"/>
        <v>-768636000</v>
      </c>
      <c r="W73" s="116">
        <f t="shared" si="44"/>
        <v>277863000</v>
      </c>
      <c r="X73" s="116">
        <f t="shared" si="44"/>
        <v>-10053000</v>
      </c>
      <c r="Y73" s="1"/>
      <c r="AA73" s="119">
        <f>(X73-N73)/(COUNT(N73:X73))</f>
        <v>-6309363.636</v>
      </c>
      <c r="AB73" s="120">
        <f>((X73/N73)^(1/COUNT(N73:X73)))-1</f>
        <v>-1.850937619</v>
      </c>
    </row>
    <row r="74">
      <c r="A74" s="108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70"/>
      <c r="T74" s="170"/>
      <c r="U74" s="170"/>
      <c r="V74" s="121"/>
      <c r="W74" s="121"/>
      <c r="X74" s="121"/>
      <c r="Y74" s="1"/>
    </row>
    <row r="75">
      <c r="A75" s="115" t="s">
        <v>136</v>
      </c>
      <c r="B75" s="116"/>
      <c r="C75" s="116">
        <f t="shared" ref="C75:L75" si="45">C53+C59+C73</f>
        <v>66000000</v>
      </c>
      <c r="D75" s="116">
        <f t="shared" si="45"/>
        <v>3943000</v>
      </c>
      <c r="E75" s="116">
        <f t="shared" si="45"/>
        <v>0</v>
      </c>
      <c r="F75" s="116">
        <f t="shared" si="45"/>
        <v>0</v>
      </c>
      <c r="G75" s="116">
        <f t="shared" si="45"/>
        <v>-6000000</v>
      </c>
      <c r="H75" s="116">
        <f t="shared" si="45"/>
        <v>-75000000</v>
      </c>
      <c r="I75" s="116">
        <f t="shared" si="45"/>
        <v>96780000</v>
      </c>
      <c r="J75" s="116">
        <f t="shared" si="45"/>
        <v>-14798000</v>
      </c>
      <c r="K75" s="116">
        <f t="shared" si="45"/>
        <v>533000000</v>
      </c>
      <c r="L75" s="116">
        <f t="shared" si="45"/>
        <v>-245600000</v>
      </c>
      <c r="M75" s="121"/>
      <c r="N75" s="116">
        <f t="shared" ref="N75:X75" si="46">N53+N59+N73</f>
        <v>14348000</v>
      </c>
      <c r="O75" s="116">
        <f t="shared" si="46"/>
        <v>-14571000</v>
      </c>
      <c r="P75" s="116">
        <f t="shared" si="46"/>
        <v>8674000</v>
      </c>
      <c r="Q75" s="116">
        <f t="shared" si="46"/>
        <v>14984000</v>
      </c>
      <c r="R75" s="116">
        <f t="shared" si="46"/>
        <v>-1521000</v>
      </c>
      <c r="S75" s="116">
        <f t="shared" si="46"/>
        <v>-19074000</v>
      </c>
      <c r="T75" s="116">
        <f t="shared" si="46"/>
        <v>15519000</v>
      </c>
      <c r="U75" s="116">
        <f t="shared" si="46"/>
        <v>20327000</v>
      </c>
      <c r="V75" s="116">
        <f t="shared" si="46"/>
        <v>-21269000</v>
      </c>
      <c r="W75" s="116">
        <f t="shared" si="46"/>
        <v>7690000</v>
      </c>
      <c r="X75" s="116">
        <f t="shared" si="46"/>
        <v>982000</v>
      </c>
      <c r="Y75" s="1"/>
    </row>
    <row r="76">
      <c r="A76" s="108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70"/>
      <c r="S76" s="121"/>
      <c r="T76" s="121"/>
      <c r="U76" s="121"/>
      <c r="V76" s="121"/>
      <c r="W76" s="121"/>
      <c r="X76" s="121"/>
      <c r="Y76" s="1"/>
    </row>
    <row r="77">
      <c r="A77" s="175" t="s">
        <v>137</v>
      </c>
      <c r="B77" s="132"/>
      <c r="C77" s="132">
        <v>1.8179E7</v>
      </c>
      <c r="D77" s="132">
        <v>1.8179E7</v>
      </c>
      <c r="E77" s="132">
        <v>1.8179E7</v>
      </c>
      <c r="F77" s="132">
        <v>1.8179E7</v>
      </c>
      <c r="G77" s="132">
        <v>2.6E7</v>
      </c>
      <c r="H77" s="132">
        <v>2.6E7</v>
      </c>
      <c r="I77" s="132">
        <v>2.6E7</v>
      </c>
      <c r="J77" s="132">
        <v>2.6E7</v>
      </c>
      <c r="K77" s="132">
        <v>2.7E7</v>
      </c>
      <c r="L77" s="132">
        <v>2.7E7</v>
      </c>
      <c r="M77" s="121"/>
      <c r="N77" s="132">
        <v>539000.0</v>
      </c>
      <c r="O77" s="132">
        <v>1.511E7</v>
      </c>
      <c r="P77" s="132">
        <v>762000.0</v>
      </c>
      <c r="Q77" s="132">
        <v>9213000.0</v>
      </c>
      <c r="R77" s="132">
        <v>2.4197E7</v>
      </c>
      <c r="S77" s="132">
        <v>2.2676E7</v>
      </c>
      <c r="T77" s="132">
        <v>3602000.0</v>
      </c>
      <c r="U77" s="132">
        <v>1.9121E7</v>
      </c>
      <c r="V77" s="132">
        <v>-2.1269E7</v>
      </c>
      <c r="W77" s="132">
        <v>1.8179E7</v>
      </c>
      <c r="X77" s="132">
        <v>2.5869E7</v>
      </c>
      <c r="Y77" s="1"/>
    </row>
    <row r="78">
      <c r="A78" s="176" t="s">
        <v>138</v>
      </c>
      <c r="B78" s="177"/>
      <c r="C78" s="177">
        <f t="shared" ref="C78:L78" si="47">+C75+C77</f>
        <v>84179000</v>
      </c>
      <c r="D78" s="177">
        <f t="shared" si="47"/>
        <v>22122000</v>
      </c>
      <c r="E78" s="177">
        <f t="shared" si="47"/>
        <v>18179000</v>
      </c>
      <c r="F78" s="177">
        <f t="shared" si="47"/>
        <v>18179000</v>
      </c>
      <c r="G78" s="177">
        <f t="shared" si="47"/>
        <v>20000000</v>
      </c>
      <c r="H78" s="177">
        <f t="shared" si="47"/>
        <v>-49000000</v>
      </c>
      <c r="I78" s="177">
        <f t="shared" si="47"/>
        <v>122780000</v>
      </c>
      <c r="J78" s="177">
        <f t="shared" si="47"/>
        <v>11202000</v>
      </c>
      <c r="K78" s="177">
        <f t="shared" si="47"/>
        <v>560000000</v>
      </c>
      <c r="L78" s="177">
        <f t="shared" si="47"/>
        <v>-218600000</v>
      </c>
      <c r="M78" s="121"/>
      <c r="N78" s="177">
        <f t="shared" ref="N78:X78" si="48">+N75+N77</f>
        <v>14887000</v>
      </c>
      <c r="O78" s="177">
        <f t="shared" si="48"/>
        <v>539000</v>
      </c>
      <c r="P78" s="177">
        <f t="shared" si="48"/>
        <v>9436000</v>
      </c>
      <c r="Q78" s="177">
        <f t="shared" si="48"/>
        <v>24197000</v>
      </c>
      <c r="R78" s="177">
        <f t="shared" si="48"/>
        <v>22676000</v>
      </c>
      <c r="S78" s="177">
        <f t="shared" si="48"/>
        <v>3602000</v>
      </c>
      <c r="T78" s="177">
        <f t="shared" si="48"/>
        <v>19121000</v>
      </c>
      <c r="U78" s="177">
        <f t="shared" si="48"/>
        <v>39448000</v>
      </c>
      <c r="V78" s="177">
        <f t="shared" si="48"/>
        <v>-42538000</v>
      </c>
      <c r="W78" s="177">
        <f t="shared" si="48"/>
        <v>25869000</v>
      </c>
      <c r="X78" s="177">
        <f t="shared" si="48"/>
        <v>26851000</v>
      </c>
      <c r="Y78" s="1"/>
    </row>
    <row r="79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21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"/>
    </row>
    <row r="80">
      <c r="A80" s="178" t="s">
        <v>34</v>
      </c>
      <c r="B80" s="179"/>
      <c r="C80" s="179">
        <f>MAIN!C3</f>
        <v>4570000000</v>
      </c>
      <c r="D80" s="179">
        <f>MAIN!D3</f>
        <v>4370000000</v>
      </c>
      <c r="E80" s="179">
        <f>MAIN!E3</f>
        <v>4510000000</v>
      </c>
      <c r="F80" s="179">
        <f>MAIN!F3</f>
        <v>5580000000</v>
      </c>
      <c r="G80" s="179">
        <f>MAIN!G3</f>
        <v>6800000000</v>
      </c>
      <c r="H80" s="179">
        <f>MAIN!H3</f>
        <v>6640000000</v>
      </c>
      <c r="I80" s="179">
        <f>MAIN!I3</f>
        <v>7980000000</v>
      </c>
      <c r="J80" s="179">
        <f>MAIN!J3</f>
        <v>9250000000</v>
      </c>
      <c r="K80" s="179">
        <f>MAIN!K3</f>
        <v>9890000000</v>
      </c>
      <c r="L80" s="179">
        <f>MAIN!L3</f>
        <v>11000000000</v>
      </c>
      <c r="M80" s="121"/>
      <c r="N80" s="180">
        <v>1.44E9</v>
      </c>
      <c r="O80" s="180">
        <v>1.11E9</v>
      </c>
      <c r="P80" s="180">
        <v>1.4E9</v>
      </c>
      <c r="Q80" s="180">
        <v>2.65E9</v>
      </c>
      <c r="R80" s="180">
        <v>3.23E9</v>
      </c>
      <c r="S80" s="180">
        <v>3.9E9</v>
      </c>
      <c r="T80" s="180">
        <v>1.84E9</v>
      </c>
      <c r="U80" s="180">
        <v>1.67E9</v>
      </c>
      <c r="V80" s="180">
        <v>5.24E9</v>
      </c>
      <c r="W80" s="180">
        <v>5.58E9</v>
      </c>
      <c r="X80" s="180">
        <v>9.25E9</v>
      </c>
      <c r="Y80" s="35"/>
    </row>
    <row r="81">
      <c r="A81" s="127" t="s">
        <v>139</v>
      </c>
      <c r="B81" s="128"/>
      <c r="C81" s="128">
        <f t="shared" ref="C81:L81" si="49">C56</f>
        <v>-39602000</v>
      </c>
      <c r="D81" s="128">
        <f t="shared" si="49"/>
        <v>-9007000</v>
      </c>
      <c r="E81" s="128" t="str">
        <f t="shared" si="49"/>
        <v/>
      </c>
      <c r="F81" s="128" t="str">
        <f t="shared" si="49"/>
        <v/>
      </c>
      <c r="G81" s="128">
        <f t="shared" si="49"/>
        <v>-21000000</v>
      </c>
      <c r="H81" s="128">
        <f t="shared" si="49"/>
        <v>21000000</v>
      </c>
      <c r="I81" s="128">
        <f t="shared" si="49"/>
        <v>-271052000</v>
      </c>
      <c r="J81" s="128">
        <f t="shared" si="49"/>
        <v>-425190000</v>
      </c>
      <c r="K81" s="128">
        <f t="shared" si="49"/>
        <v>-486000000</v>
      </c>
      <c r="L81" s="128">
        <f t="shared" si="49"/>
        <v>-495000000</v>
      </c>
      <c r="M81" s="121"/>
      <c r="N81" s="128">
        <f t="shared" ref="N81:X81" si="50">(N55+N56)</f>
        <v>-96815000</v>
      </c>
      <c r="O81" s="128">
        <f t="shared" si="50"/>
        <v>-43907000</v>
      </c>
      <c r="P81" s="128">
        <f t="shared" si="50"/>
        <v>-205721000</v>
      </c>
      <c r="Q81" s="128">
        <f t="shared" si="50"/>
        <v>-344079000</v>
      </c>
      <c r="R81" s="128">
        <f t="shared" si="50"/>
        <v>-614818000</v>
      </c>
      <c r="S81" s="128">
        <f t="shared" si="50"/>
        <v>-530572000</v>
      </c>
      <c r="T81" s="128">
        <f t="shared" si="50"/>
        <v>-65678000</v>
      </c>
      <c r="U81" s="128">
        <f t="shared" si="50"/>
        <v>-281176000</v>
      </c>
      <c r="V81" s="128">
        <f t="shared" si="50"/>
        <v>-64131000</v>
      </c>
      <c r="W81" s="128">
        <f t="shared" si="50"/>
        <v>-905201000</v>
      </c>
      <c r="X81" s="128">
        <f t="shared" si="50"/>
        <v>-696242000</v>
      </c>
      <c r="Y81" s="1"/>
      <c r="Z81" s="112"/>
      <c r="AA81" s="181" t="s">
        <v>140</v>
      </c>
      <c r="AB81" s="181" t="s">
        <v>141</v>
      </c>
    </row>
    <row r="82">
      <c r="A82" s="182" t="s">
        <v>140</v>
      </c>
      <c r="B82" s="177"/>
      <c r="C82" s="177">
        <f t="shared" ref="C82:K82" si="51">+C53+C81</f>
        <v>67641000</v>
      </c>
      <c r="D82" s="177">
        <f t="shared" si="51"/>
        <v>136389000</v>
      </c>
      <c r="E82" s="177">
        <f t="shared" si="51"/>
        <v>0</v>
      </c>
      <c r="F82" s="177">
        <f t="shared" si="51"/>
        <v>0</v>
      </c>
      <c r="G82" s="177">
        <f t="shared" si="51"/>
        <v>94000000</v>
      </c>
      <c r="H82" s="177">
        <f t="shared" si="51"/>
        <v>136000000</v>
      </c>
      <c r="I82" s="177">
        <f t="shared" si="51"/>
        <v>-39352000</v>
      </c>
      <c r="J82" s="177">
        <f t="shared" si="51"/>
        <v>-267282000</v>
      </c>
      <c r="K82" s="177">
        <f t="shared" si="51"/>
        <v>-285000000</v>
      </c>
      <c r="L82" s="177">
        <f>L53+L81</f>
        <v>-315000000</v>
      </c>
      <c r="M82" s="121"/>
      <c r="N82" s="177">
        <f t="shared" ref="N82:X82" si="52">N53+N81</f>
        <v>-45002000</v>
      </c>
      <c r="O82" s="177">
        <f t="shared" si="52"/>
        <v>19925000</v>
      </c>
      <c r="P82" s="177">
        <f t="shared" si="52"/>
        <v>-137094000</v>
      </c>
      <c r="Q82" s="177">
        <f t="shared" si="52"/>
        <v>-204860000</v>
      </c>
      <c r="R82" s="177">
        <f t="shared" si="52"/>
        <v>-370325000</v>
      </c>
      <c r="S82" s="177">
        <f t="shared" si="52"/>
        <v>-293881000</v>
      </c>
      <c r="T82" s="177">
        <f t="shared" si="52"/>
        <v>130878000</v>
      </c>
      <c r="U82" s="177">
        <f t="shared" si="52"/>
        <v>25938000</v>
      </c>
      <c r="V82" s="177">
        <f t="shared" si="52"/>
        <v>635665000</v>
      </c>
      <c r="W82" s="177">
        <f t="shared" si="52"/>
        <v>-267009000</v>
      </c>
      <c r="X82" s="177">
        <f t="shared" si="52"/>
        <v>-76634000</v>
      </c>
      <c r="Y82" s="35"/>
      <c r="AA82" s="183">
        <f>AVERAGE(N82:X82)</f>
        <v>-52945363.64</v>
      </c>
      <c r="AB82" s="184">
        <f t="shared" ref="AB82:AB84" si="55">STDEV(N82:X82)</f>
        <v>274753396.7</v>
      </c>
    </row>
    <row r="83">
      <c r="A83" s="185" t="s">
        <v>142</v>
      </c>
      <c r="B83" s="186"/>
      <c r="C83" s="186" t="str">
        <f>(C82-A82)/A82</f>
        <v>#VALUE!</v>
      </c>
      <c r="D83" s="186">
        <f t="shared" ref="D83:L83" si="53">(D82-C82)/C82</f>
        <v>1.016365814</v>
      </c>
      <c r="E83" s="186">
        <f t="shared" si="53"/>
        <v>-1</v>
      </c>
      <c r="F83" s="186" t="str">
        <f t="shared" si="53"/>
        <v>#DIV/0!</v>
      </c>
      <c r="G83" s="186" t="str">
        <f t="shared" si="53"/>
        <v>#DIV/0!</v>
      </c>
      <c r="H83" s="186">
        <f t="shared" si="53"/>
        <v>0.4468085106</v>
      </c>
      <c r="I83" s="186">
        <f t="shared" si="53"/>
        <v>-1.289352941</v>
      </c>
      <c r="J83" s="186">
        <f t="shared" si="53"/>
        <v>5.792081724</v>
      </c>
      <c r="K83" s="186">
        <f t="shared" si="53"/>
        <v>0.06628953689</v>
      </c>
      <c r="L83" s="186">
        <f t="shared" si="53"/>
        <v>0.1052631579</v>
      </c>
      <c r="M83" s="121"/>
      <c r="N83" s="186"/>
      <c r="O83" s="186">
        <f t="shared" ref="O83:X83" si="54">(O82-N82)/ABS(N82)</f>
        <v>1.4427581</v>
      </c>
      <c r="P83" s="186">
        <f t="shared" si="54"/>
        <v>-7.880501882</v>
      </c>
      <c r="Q83" s="186">
        <f t="shared" si="54"/>
        <v>-0.4943031788</v>
      </c>
      <c r="R83" s="186">
        <f t="shared" si="54"/>
        <v>-0.8076979401</v>
      </c>
      <c r="S83" s="186">
        <f t="shared" si="54"/>
        <v>0.206424087</v>
      </c>
      <c r="T83" s="186">
        <f t="shared" si="54"/>
        <v>1.445343523</v>
      </c>
      <c r="U83" s="186">
        <f t="shared" si="54"/>
        <v>-0.8018154312</v>
      </c>
      <c r="V83" s="186">
        <f t="shared" si="54"/>
        <v>23.50709384</v>
      </c>
      <c r="W83" s="186">
        <f t="shared" si="54"/>
        <v>-1.420046723</v>
      </c>
      <c r="X83" s="186">
        <f t="shared" si="54"/>
        <v>0.7129909479</v>
      </c>
      <c r="Y83" s="156"/>
      <c r="AA83" s="187">
        <f t="shared" ref="AA83:AA84" si="57">AVERAGE(O83:X83)</f>
        <v>1.591024534</v>
      </c>
      <c r="AB83" s="188">
        <f t="shared" si="55"/>
        <v>8.148959498</v>
      </c>
    </row>
    <row r="84">
      <c r="A84" s="129" t="s">
        <v>143</v>
      </c>
      <c r="B84" s="189"/>
      <c r="C84" s="189">
        <f>C82/MAIN!C3</f>
        <v>0.01480109409</v>
      </c>
      <c r="D84" s="189">
        <f>D82/MAIN!D3</f>
        <v>0.03121029748</v>
      </c>
      <c r="E84" s="189">
        <f>E82/MAIN!E3</f>
        <v>0</v>
      </c>
      <c r="F84" s="189">
        <f>F82/MAIN!F3</f>
        <v>0</v>
      </c>
      <c r="G84" s="189">
        <f>G82/MAIN!G3</f>
        <v>0.01382352941</v>
      </c>
      <c r="H84" s="189">
        <f>H82/MAIN!H3</f>
        <v>0.02048192771</v>
      </c>
      <c r="I84" s="189">
        <f>I82/MAIN!I3</f>
        <v>-0.004931328321</v>
      </c>
      <c r="J84" s="189">
        <f>J82/MAIN!J3</f>
        <v>-0.02889535135</v>
      </c>
      <c r="K84" s="189">
        <f>K82/MAIN!K3</f>
        <v>-0.02881698686</v>
      </c>
      <c r="L84" s="189">
        <f>L82/MAIN!L3</f>
        <v>-0.02863636364</v>
      </c>
      <c r="M84" s="121"/>
      <c r="N84" s="189">
        <f t="shared" ref="N84:X84" si="56">N82/N80</f>
        <v>-0.03125138889</v>
      </c>
      <c r="O84" s="189">
        <f t="shared" si="56"/>
        <v>0.01795045045</v>
      </c>
      <c r="P84" s="189">
        <f t="shared" si="56"/>
        <v>-0.09792428571</v>
      </c>
      <c r="Q84" s="189">
        <f t="shared" si="56"/>
        <v>-0.07730566038</v>
      </c>
      <c r="R84" s="189">
        <f t="shared" si="56"/>
        <v>-0.1146517028</v>
      </c>
      <c r="S84" s="189">
        <f t="shared" si="56"/>
        <v>-0.07535410256</v>
      </c>
      <c r="T84" s="189">
        <f t="shared" si="56"/>
        <v>0.07112934783</v>
      </c>
      <c r="U84" s="189">
        <f t="shared" si="56"/>
        <v>0.01553173653</v>
      </c>
      <c r="V84" s="189">
        <f t="shared" si="56"/>
        <v>0.1213101145</v>
      </c>
      <c r="W84" s="189">
        <f t="shared" si="56"/>
        <v>-0.04785107527</v>
      </c>
      <c r="X84" s="190">
        <f t="shared" si="56"/>
        <v>-0.008284756757</v>
      </c>
      <c r="Y84" s="191"/>
      <c r="AA84" s="192">
        <f t="shared" si="57"/>
        <v>-0.01954499342</v>
      </c>
      <c r="AB84" s="193">
        <f t="shared" si="55"/>
        <v>0.07306876389</v>
      </c>
    </row>
    <row r="85">
      <c r="A85" s="194" t="s">
        <v>144</v>
      </c>
      <c r="B85" s="195"/>
      <c r="C85" s="195"/>
      <c r="D85" s="195"/>
      <c r="E85" s="195"/>
      <c r="F85" s="195"/>
      <c r="G85" s="195"/>
      <c r="H85" s="195"/>
      <c r="I85" s="195"/>
      <c r="J85" s="195"/>
      <c r="K85" s="195"/>
      <c r="L85" s="195"/>
      <c r="M85" s="196"/>
      <c r="N85" s="197">
        <v>0.0214</v>
      </c>
      <c r="O85" s="197">
        <v>0.0214</v>
      </c>
      <c r="P85" s="197">
        <v>0.0184</v>
      </c>
      <c r="Q85" s="197">
        <v>0.0233</v>
      </c>
      <c r="R85" s="197">
        <v>0.0291</v>
      </c>
      <c r="S85" s="198">
        <v>0.0214</v>
      </c>
      <c r="T85" s="198">
        <v>0.0089</v>
      </c>
      <c r="U85" s="198">
        <v>0.0145</v>
      </c>
      <c r="V85" s="198">
        <v>0.0284</v>
      </c>
      <c r="W85" s="198">
        <v>0.0375</v>
      </c>
      <c r="X85" s="198">
        <v>0.045</v>
      </c>
      <c r="Y85" s="199"/>
      <c r="AB85" s="112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12"/>
      <c r="AA86" s="181" t="s">
        <v>119</v>
      </c>
      <c r="AB86" s="181" t="s">
        <v>141</v>
      </c>
    </row>
    <row r="87">
      <c r="A87" s="200" t="s">
        <v>145</v>
      </c>
      <c r="B87" s="201"/>
      <c r="C87" s="201"/>
      <c r="D87" s="201">
        <f t="shared" ref="D87:L87" si="58">(D53-C53)/ABS(C53)</f>
        <v>0.3557621476</v>
      </c>
      <c r="E87" s="201">
        <f t="shared" si="58"/>
        <v>-1</v>
      </c>
      <c r="F87" s="201" t="str">
        <f t="shared" si="58"/>
        <v>#DIV/0!</v>
      </c>
      <c r="G87" s="201" t="str">
        <f t="shared" si="58"/>
        <v>#DIV/0!</v>
      </c>
      <c r="H87" s="201">
        <f t="shared" si="58"/>
        <v>0</v>
      </c>
      <c r="I87" s="201">
        <f t="shared" si="58"/>
        <v>1.014782609</v>
      </c>
      <c r="J87" s="201">
        <f t="shared" si="58"/>
        <v>-0.3184807941</v>
      </c>
      <c r="K87" s="201">
        <f t="shared" si="58"/>
        <v>0.272893077</v>
      </c>
      <c r="L87" s="201">
        <f t="shared" si="58"/>
        <v>-0.1044776119</v>
      </c>
      <c r="M87" s="150"/>
      <c r="N87" s="201"/>
      <c r="O87" s="201">
        <f t="shared" ref="O87:X87" si="59">(O53-N53)/ABS(N53)</f>
        <v>0.2319688109</v>
      </c>
      <c r="P87" s="201">
        <f t="shared" si="59"/>
        <v>0.07511906254</v>
      </c>
      <c r="Q87" s="201">
        <f t="shared" si="59"/>
        <v>1.028633045</v>
      </c>
      <c r="R87" s="201">
        <f t="shared" si="59"/>
        <v>0.756175522</v>
      </c>
      <c r="S87" s="201">
        <f t="shared" si="59"/>
        <v>-0.03191093406</v>
      </c>
      <c r="T87" s="201">
        <f t="shared" si="59"/>
        <v>-0.1695670727</v>
      </c>
      <c r="U87" s="201">
        <f t="shared" si="59"/>
        <v>0.5624758339</v>
      </c>
      <c r="V87" s="201">
        <f t="shared" si="59"/>
        <v>1.278619666</v>
      </c>
      <c r="W87" s="201">
        <f t="shared" si="59"/>
        <v>-0.08803136914</v>
      </c>
      <c r="X87" s="201">
        <f t="shared" si="59"/>
        <v>-0.02911976333</v>
      </c>
      <c r="Y87" s="150"/>
      <c r="AA87" s="187">
        <f t="shared" ref="AA87:AA89" si="62">AVERAGE(O87:X87)</f>
        <v>0.3614362801</v>
      </c>
      <c r="AB87" s="188">
        <f t="shared" ref="AB87:AB89" si="63">STDEV(N87:X87)</f>
        <v>0.5134408994</v>
      </c>
      <c r="AC87" s="150"/>
      <c r="AD87" s="150"/>
      <c r="AE87" s="150"/>
      <c r="AF87" s="150"/>
      <c r="AG87" s="150"/>
      <c r="AH87" s="150"/>
      <c r="AI87" s="150"/>
      <c r="AJ87" s="150"/>
      <c r="AK87" s="150"/>
      <c r="AL87" s="150"/>
    </row>
    <row r="88">
      <c r="A88" s="122" t="s">
        <v>146</v>
      </c>
      <c r="B88" s="150"/>
      <c r="C88" s="150"/>
      <c r="D88" s="150">
        <f t="shared" ref="D88:L88" si="60">(D89-C89)/ABS(C89)</f>
        <v>0.4178107585</v>
      </c>
      <c r="E88" s="150">
        <f t="shared" si="60"/>
        <v>-1</v>
      </c>
      <c r="F88" s="150" t="str">
        <f t="shared" si="60"/>
        <v>#DIV/0!</v>
      </c>
      <c r="G88" s="150" t="str">
        <f t="shared" si="60"/>
        <v>#DIV/0!</v>
      </c>
      <c r="H88" s="150">
        <f t="shared" si="60"/>
        <v>0.02409638554</v>
      </c>
      <c r="I88" s="150">
        <f t="shared" si="60"/>
        <v>0.676460717</v>
      </c>
      <c r="J88" s="150">
        <f t="shared" si="60"/>
        <v>-0.4120515392</v>
      </c>
      <c r="K88" s="150">
        <f t="shared" si="60"/>
        <v>0.1905218364</v>
      </c>
      <c r="L88" s="150">
        <f t="shared" si="60"/>
        <v>-0.194843962</v>
      </c>
      <c r="M88" s="150"/>
      <c r="N88" s="150"/>
      <c r="O88" s="150">
        <f t="shared" ref="O88:X88" si="61">(O89-N89)/ABS(N89)</f>
        <v>0.5982298088</v>
      </c>
      <c r="P88" s="150">
        <f t="shared" si="61"/>
        <v>-0.1475841718</v>
      </c>
      <c r="Q88" s="150">
        <f t="shared" si="61"/>
        <v>0.07173066544</v>
      </c>
      <c r="R88" s="150">
        <f t="shared" si="61"/>
        <v>0.4408251187</v>
      </c>
      <c r="S88" s="150">
        <f t="shared" si="61"/>
        <v>-0.198223671</v>
      </c>
      <c r="T88" s="150">
        <f t="shared" si="61"/>
        <v>0.7601567481</v>
      </c>
      <c r="U88" s="150">
        <f t="shared" si="61"/>
        <v>0.7215302601</v>
      </c>
      <c r="V88" s="150">
        <f t="shared" si="61"/>
        <v>-0.2737986943</v>
      </c>
      <c r="W88" s="150">
        <f t="shared" si="61"/>
        <v>-0.1435993502</v>
      </c>
      <c r="X88" s="150">
        <f t="shared" si="61"/>
        <v>-0.4143230572</v>
      </c>
      <c r="Y88" s="150"/>
      <c r="AA88" s="187">
        <f t="shared" si="62"/>
        <v>0.1414943656</v>
      </c>
      <c r="AB88" s="188">
        <f t="shared" si="63"/>
        <v>0.4452106151</v>
      </c>
      <c r="AC88" s="150"/>
      <c r="AD88" s="150"/>
      <c r="AE88" s="150"/>
      <c r="AF88" s="150"/>
      <c r="AG88" s="150"/>
      <c r="AH88" s="150"/>
      <c r="AI88" s="150"/>
      <c r="AJ88" s="150"/>
      <c r="AK88" s="150"/>
      <c r="AL88" s="150"/>
    </row>
    <row r="89">
      <c r="A89" s="202" t="s">
        <v>147</v>
      </c>
      <c r="B89" s="203"/>
      <c r="C89" s="203">
        <f t="shared" ref="C89:L89" si="64">C53/C80</f>
        <v>0.02346673961</v>
      </c>
      <c r="D89" s="203">
        <f t="shared" si="64"/>
        <v>0.03327139588</v>
      </c>
      <c r="E89" s="203">
        <f t="shared" si="64"/>
        <v>0</v>
      </c>
      <c r="F89" s="203">
        <f t="shared" si="64"/>
        <v>0</v>
      </c>
      <c r="G89" s="203">
        <f t="shared" si="64"/>
        <v>0.01691176471</v>
      </c>
      <c r="H89" s="203">
        <f t="shared" si="64"/>
        <v>0.01731927711</v>
      </c>
      <c r="I89" s="203">
        <f t="shared" si="64"/>
        <v>0.02903508772</v>
      </c>
      <c r="J89" s="203">
        <f t="shared" si="64"/>
        <v>0.01707113514</v>
      </c>
      <c r="K89" s="203">
        <f t="shared" si="64"/>
        <v>0.02032355915</v>
      </c>
      <c r="L89" s="203">
        <f t="shared" si="64"/>
        <v>0.01636363636</v>
      </c>
      <c r="M89" s="204"/>
      <c r="N89" s="203">
        <f t="shared" ref="N89:X89" si="65">N53/N80</f>
        <v>0.03598125</v>
      </c>
      <c r="O89" s="203">
        <f t="shared" si="65"/>
        <v>0.05750630631</v>
      </c>
      <c r="P89" s="203">
        <f t="shared" si="65"/>
        <v>0.04901928571</v>
      </c>
      <c r="Q89" s="203">
        <f t="shared" si="65"/>
        <v>0.0525354717</v>
      </c>
      <c r="R89" s="203">
        <f t="shared" si="65"/>
        <v>0.07569442724</v>
      </c>
      <c r="S89" s="203">
        <f t="shared" si="65"/>
        <v>0.06069</v>
      </c>
      <c r="T89" s="203">
        <f t="shared" si="65"/>
        <v>0.106823913</v>
      </c>
      <c r="U89" s="203">
        <f t="shared" si="65"/>
        <v>0.1839005988</v>
      </c>
      <c r="V89" s="203">
        <f t="shared" si="65"/>
        <v>0.133548855</v>
      </c>
      <c r="W89" s="203">
        <f t="shared" si="65"/>
        <v>0.1143713262</v>
      </c>
      <c r="X89" s="203">
        <f t="shared" si="65"/>
        <v>0.06698464865</v>
      </c>
      <c r="Y89" s="150"/>
      <c r="Z89" s="150"/>
      <c r="AA89" s="192">
        <f t="shared" si="62"/>
        <v>0.09010748326</v>
      </c>
      <c r="AB89" s="193">
        <f t="shared" si="63"/>
        <v>0.04470605612</v>
      </c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</row>
    <row r="90">
      <c r="A90" s="205" t="s">
        <v>148</v>
      </c>
      <c r="B90" s="206"/>
      <c r="C90" s="206">
        <f t="shared" ref="C90:L90" si="66">(C91-B91)/ABS(B91)</f>
        <v>-0.08105169915</v>
      </c>
      <c r="D90" s="206">
        <f t="shared" si="66"/>
        <v>-0.03045173728</v>
      </c>
      <c r="E90" s="206">
        <f t="shared" si="66"/>
        <v>0.1157357195</v>
      </c>
      <c r="F90" s="206">
        <f t="shared" si="66"/>
        <v>-0.04722751023</v>
      </c>
      <c r="G90" s="206">
        <f t="shared" si="66"/>
        <v>-0.01084045402</v>
      </c>
      <c r="H90" s="206">
        <f t="shared" si="66"/>
        <v>0.05354993983</v>
      </c>
      <c r="I90" s="206">
        <f t="shared" si="66"/>
        <v>-0.06698213266</v>
      </c>
      <c r="J90" s="206">
        <f t="shared" si="66"/>
        <v>-0.0728401539</v>
      </c>
      <c r="K90" s="206">
        <f t="shared" si="66"/>
        <v>0.01626898048</v>
      </c>
      <c r="L90" s="206">
        <f t="shared" si="66"/>
        <v>-0.1003665723</v>
      </c>
      <c r="M90" s="206"/>
      <c r="N90" s="206"/>
      <c r="O90" s="206">
        <f t="shared" ref="O90:X90" si="67">(O91-N91)/ABS(N91)</f>
        <v>-0.4779197569</v>
      </c>
      <c r="P90" s="206">
        <f t="shared" si="67"/>
        <v>-0.1138705371</v>
      </c>
      <c r="Q90" s="206">
        <f t="shared" si="67"/>
        <v>0.1793985282</v>
      </c>
      <c r="R90" s="206">
        <f t="shared" si="67"/>
        <v>0.2761992106</v>
      </c>
      <c r="S90" s="206">
        <f t="shared" si="67"/>
        <v>-0.1224880014</v>
      </c>
      <c r="T90" s="206">
        <f t="shared" si="67"/>
        <v>-0.3116070253</v>
      </c>
      <c r="U90" s="206">
        <f t="shared" si="67"/>
        <v>0.7331591358</v>
      </c>
      <c r="V90" s="206">
        <f t="shared" si="67"/>
        <v>0.3941778513</v>
      </c>
      <c r="W90" s="206">
        <f t="shared" si="67"/>
        <v>-0.1809414123</v>
      </c>
      <c r="X90" s="206">
        <f t="shared" si="67"/>
        <v>-0.01398623917</v>
      </c>
    </row>
    <row r="91">
      <c r="A91" s="207" t="str">
        <f t="shared" ref="A91:X91" si="68">A3</f>
        <v>WTI Oil Price</v>
      </c>
      <c r="B91" s="207">
        <f t="shared" si="68"/>
        <v>82.78666667</v>
      </c>
      <c r="C91" s="207">
        <f t="shared" si="68"/>
        <v>76.07666667</v>
      </c>
      <c r="D91" s="207">
        <f t="shared" si="68"/>
        <v>73.76</v>
      </c>
      <c r="E91" s="207">
        <f t="shared" si="68"/>
        <v>82.29666667</v>
      </c>
      <c r="F91" s="207">
        <f t="shared" si="68"/>
        <v>78.41</v>
      </c>
      <c r="G91" s="207">
        <f t="shared" si="68"/>
        <v>77.56</v>
      </c>
      <c r="H91" s="207">
        <f t="shared" si="68"/>
        <v>81.71333333</v>
      </c>
      <c r="I91" s="207">
        <f t="shared" si="68"/>
        <v>76.24</v>
      </c>
      <c r="J91" s="207">
        <f t="shared" si="68"/>
        <v>70.68666667</v>
      </c>
      <c r="K91" s="207">
        <f t="shared" si="68"/>
        <v>71.83666667</v>
      </c>
      <c r="L91" s="207">
        <f t="shared" si="68"/>
        <v>64.62666667</v>
      </c>
      <c r="M91" s="208" t="str">
        <f t="shared" si="68"/>
        <v/>
      </c>
      <c r="N91" s="207">
        <f t="shared" si="68"/>
        <v>93.25833333</v>
      </c>
      <c r="O91" s="207">
        <f t="shared" si="68"/>
        <v>48.68833333</v>
      </c>
      <c r="P91" s="207">
        <f t="shared" si="68"/>
        <v>43.14416667</v>
      </c>
      <c r="Q91" s="207">
        <f t="shared" si="68"/>
        <v>50.88416667</v>
      </c>
      <c r="R91" s="207">
        <f t="shared" si="68"/>
        <v>64.93833333</v>
      </c>
      <c r="S91" s="207">
        <f t="shared" si="68"/>
        <v>56.98416667</v>
      </c>
      <c r="T91" s="207">
        <f t="shared" si="68"/>
        <v>39.2275</v>
      </c>
      <c r="U91" s="207">
        <f t="shared" si="68"/>
        <v>67.9875</v>
      </c>
      <c r="V91" s="207">
        <f t="shared" si="68"/>
        <v>94.78666667</v>
      </c>
      <c r="W91" s="207">
        <f t="shared" si="68"/>
        <v>77.63583333</v>
      </c>
      <c r="X91" s="207">
        <f t="shared" si="68"/>
        <v>76.55</v>
      </c>
    </row>
  </sheetData>
  <mergeCells count="12">
    <mergeCell ref="AA57:AB57"/>
    <mergeCell ref="AA71:AB71"/>
    <mergeCell ref="AA6:AB6"/>
    <mergeCell ref="AA35:AB35"/>
    <mergeCell ref="AA31:AB31"/>
    <mergeCell ref="C1:L1"/>
    <mergeCell ref="N1:Y1"/>
    <mergeCell ref="C39:L39"/>
    <mergeCell ref="AA23:AB23"/>
    <mergeCell ref="AA51:AB51"/>
    <mergeCell ref="AA14:AB14"/>
    <mergeCell ref="AA20:AB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5"/>
    <col customWidth="1" min="2" max="6" width="15.63"/>
    <col customWidth="1" min="7" max="7" width="15.38"/>
    <col customWidth="1" min="8" max="8" width="15.13"/>
  </cols>
  <sheetData>
    <row r="1">
      <c r="A1" s="209"/>
      <c r="B1" s="210"/>
      <c r="C1" s="211" t="s">
        <v>149</v>
      </c>
      <c r="D1" s="210"/>
      <c r="E1" s="210"/>
      <c r="F1" s="210"/>
      <c r="G1" s="122"/>
      <c r="H1" s="122"/>
    </row>
    <row r="2">
      <c r="A2" s="8" t="s">
        <v>150</v>
      </c>
      <c r="B2" s="212" t="s">
        <v>151</v>
      </c>
      <c r="C2" s="212" t="s">
        <v>152</v>
      </c>
      <c r="D2" s="212" t="s">
        <v>153</v>
      </c>
      <c r="E2" s="212" t="s">
        <v>154</v>
      </c>
      <c r="F2" s="213" t="s">
        <v>155</v>
      </c>
      <c r="G2" s="214" t="s">
        <v>156</v>
      </c>
      <c r="H2" s="215" t="s">
        <v>157</v>
      </c>
    </row>
    <row r="3">
      <c r="A3" s="216">
        <v>41640.0</v>
      </c>
      <c r="B3" s="217">
        <f t="shared" ref="B3:B142" si="1">ROUNDUP(YEAR(DATEVALUE(A3)),0)</f>
        <v>2014</v>
      </c>
      <c r="C3" s="217">
        <f>MONTH(DATEVALUE(A3))</f>
        <v>1</v>
      </c>
      <c r="D3" s="217">
        <f t="shared" ref="D3:D142" si="2">ROUNDUP(C3/3,0)</f>
        <v>1</v>
      </c>
      <c r="E3" s="218" t="str">
        <f t="shared" ref="E3:E142" si="3">(D3)&amp;"Q"&amp;" "&amp;(B3)</f>
        <v>1Q 2014</v>
      </c>
      <c r="F3" s="218">
        <v>94.62</v>
      </c>
      <c r="G3" s="219">
        <f>AVERAGEIF(West_Texas_Oil_Price[Q&amp;Y],E3,West_Texas_Oil_Price[WTISPLC])</f>
        <v>98.74666667</v>
      </c>
      <c r="H3" s="220">
        <f>AVERAGEIF(West_Texas_Oil_Price[Year],B3,West_Texas_Oil_Price[WTISPLC])</f>
        <v>93.25833333</v>
      </c>
    </row>
    <row r="4">
      <c r="A4" s="221">
        <v>41671.0</v>
      </c>
      <c r="B4" s="222">
        <f t="shared" si="1"/>
        <v>2014</v>
      </c>
      <c r="C4" s="222">
        <f t="shared" ref="C4:C142" si="4">ROUNDUP(MONTH(DATEVALUE(A4)),0)</f>
        <v>2</v>
      </c>
      <c r="D4" s="222">
        <f t="shared" si="2"/>
        <v>1</v>
      </c>
      <c r="E4" s="223" t="str">
        <f t="shared" si="3"/>
        <v>1Q 2014</v>
      </c>
      <c r="F4" s="223">
        <v>100.82</v>
      </c>
      <c r="G4" s="224">
        <f>AVERAGEIF(West_Texas_Oil_Price[Q&amp;Y],E4,West_Texas_Oil_Price[WTISPLC])</f>
        <v>98.74666667</v>
      </c>
      <c r="H4" s="225">
        <f>AVERAGEIF(West_Texas_Oil_Price[Year],B4,West_Texas_Oil_Price[WTISPLC])</f>
        <v>93.25833333</v>
      </c>
    </row>
    <row r="5">
      <c r="A5" s="216">
        <v>41699.0</v>
      </c>
      <c r="B5" s="217">
        <f t="shared" si="1"/>
        <v>2014</v>
      </c>
      <c r="C5" s="217">
        <f t="shared" si="4"/>
        <v>3</v>
      </c>
      <c r="D5" s="217">
        <f t="shared" si="2"/>
        <v>1</v>
      </c>
      <c r="E5" s="218" t="str">
        <f t="shared" si="3"/>
        <v>1Q 2014</v>
      </c>
      <c r="F5" s="218">
        <v>100.8</v>
      </c>
      <c r="G5" s="219">
        <f>AVERAGEIF(West_Texas_Oil_Price[Q&amp;Y],E5,West_Texas_Oil_Price[WTISPLC])</f>
        <v>98.74666667</v>
      </c>
      <c r="H5" s="220">
        <f>AVERAGEIF(West_Texas_Oil_Price[Year],B5,West_Texas_Oil_Price[WTISPLC])</f>
        <v>93.25833333</v>
      </c>
    </row>
    <row r="6">
      <c r="A6" s="221">
        <v>41730.0</v>
      </c>
      <c r="B6" s="222">
        <f t="shared" si="1"/>
        <v>2014</v>
      </c>
      <c r="C6" s="222">
        <f t="shared" si="4"/>
        <v>4</v>
      </c>
      <c r="D6" s="222">
        <f t="shared" si="2"/>
        <v>2</v>
      </c>
      <c r="E6" s="223" t="str">
        <f t="shared" si="3"/>
        <v>2Q 2014</v>
      </c>
      <c r="F6" s="223">
        <v>102.07</v>
      </c>
      <c r="G6" s="224">
        <f>AVERAGEIF(West_Texas_Oil_Price[Q&amp;Y],E6,West_Texas_Oil_Price[WTISPLC])</f>
        <v>103.3466667</v>
      </c>
      <c r="H6" s="225">
        <f>AVERAGEIF(West_Texas_Oil_Price[Year],B6,West_Texas_Oil_Price[WTISPLC])</f>
        <v>93.25833333</v>
      </c>
    </row>
    <row r="7">
      <c r="A7" s="216">
        <v>41760.0</v>
      </c>
      <c r="B7" s="217">
        <f t="shared" si="1"/>
        <v>2014</v>
      </c>
      <c r="C7" s="217">
        <f t="shared" si="4"/>
        <v>5</v>
      </c>
      <c r="D7" s="217">
        <f t="shared" si="2"/>
        <v>2</v>
      </c>
      <c r="E7" s="218" t="str">
        <f t="shared" si="3"/>
        <v>2Q 2014</v>
      </c>
      <c r="F7" s="218">
        <v>102.18</v>
      </c>
      <c r="G7" s="219">
        <f>AVERAGEIF(West_Texas_Oil_Price[Q&amp;Y],E7,West_Texas_Oil_Price[WTISPLC])</f>
        <v>103.3466667</v>
      </c>
      <c r="H7" s="220">
        <f>AVERAGEIF(West_Texas_Oil_Price[Year],B7,West_Texas_Oil_Price[WTISPLC])</f>
        <v>93.25833333</v>
      </c>
    </row>
    <row r="8">
      <c r="A8" s="221">
        <v>41791.0</v>
      </c>
      <c r="B8" s="222">
        <f t="shared" si="1"/>
        <v>2014</v>
      </c>
      <c r="C8" s="222">
        <f t="shared" si="4"/>
        <v>6</v>
      </c>
      <c r="D8" s="222">
        <f t="shared" si="2"/>
        <v>2</v>
      </c>
      <c r="E8" s="223" t="str">
        <f t="shared" si="3"/>
        <v>2Q 2014</v>
      </c>
      <c r="F8" s="223">
        <v>105.79</v>
      </c>
      <c r="G8" s="224">
        <f>AVERAGEIF(West_Texas_Oil_Price[Q&amp;Y],E8,West_Texas_Oil_Price[WTISPLC])</f>
        <v>103.3466667</v>
      </c>
      <c r="H8" s="225">
        <f>AVERAGEIF(West_Texas_Oil_Price[Year],B8,West_Texas_Oil_Price[WTISPLC])</f>
        <v>93.25833333</v>
      </c>
    </row>
    <row r="9">
      <c r="A9" s="216">
        <v>41821.0</v>
      </c>
      <c r="B9" s="217">
        <f t="shared" si="1"/>
        <v>2014</v>
      </c>
      <c r="C9" s="217">
        <f t="shared" si="4"/>
        <v>7</v>
      </c>
      <c r="D9" s="217">
        <f t="shared" si="2"/>
        <v>3</v>
      </c>
      <c r="E9" s="218" t="str">
        <f t="shared" si="3"/>
        <v>3Q 2014</v>
      </c>
      <c r="F9" s="218">
        <v>103.59</v>
      </c>
      <c r="G9" s="219">
        <f>AVERAGEIF(West_Texas_Oil_Price[Q&amp;Y],E9,West_Texas_Oil_Price[WTISPLC])</f>
        <v>97.78</v>
      </c>
      <c r="H9" s="220">
        <f>AVERAGEIF(West_Texas_Oil_Price[Year],B9,West_Texas_Oil_Price[WTISPLC])</f>
        <v>93.25833333</v>
      </c>
    </row>
    <row r="10">
      <c r="A10" s="221">
        <v>41852.0</v>
      </c>
      <c r="B10" s="222">
        <f t="shared" si="1"/>
        <v>2014</v>
      </c>
      <c r="C10" s="222">
        <f t="shared" si="4"/>
        <v>8</v>
      </c>
      <c r="D10" s="222">
        <f t="shared" si="2"/>
        <v>3</v>
      </c>
      <c r="E10" s="223" t="str">
        <f t="shared" si="3"/>
        <v>3Q 2014</v>
      </c>
      <c r="F10" s="223">
        <v>96.54</v>
      </c>
      <c r="G10" s="224">
        <f>AVERAGEIF(West_Texas_Oil_Price[Q&amp;Y],E10,West_Texas_Oil_Price[WTISPLC])</f>
        <v>97.78</v>
      </c>
      <c r="H10" s="225">
        <f>AVERAGEIF(West_Texas_Oil_Price[Year],B10,West_Texas_Oil_Price[WTISPLC])</f>
        <v>93.25833333</v>
      </c>
    </row>
    <row r="11">
      <c r="A11" s="216">
        <v>41883.0</v>
      </c>
      <c r="B11" s="217">
        <f t="shared" si="1"/>
        <v>2014</v>
      </c>
      <c r="C11" s="217">
        <f t="shared" si="4"/>
        <v>9</v>
      </c>
      <c r="D11" s="217">
        <f t="shared" si="2"/>
        <v>3</v>
      </c>
      <c r="E11" s="218" t="str">
        <f t="shared" si="3"/>
        <v>3Q 2014</v>
      </c>
      <c r="F11" s="218">
        <v>93.21</v>
      </c>
      <c r="G11" s="219">
        <f>AVERAGEIF(West_Texas_Oil_Price[Q&amp;Y],E11,West_Texas_Oil_Price[WTISPLC])</f>
        <v>97.78</v>
      </c>
      <c r="H11" s="220">
        <f>AVERAGEIF(West_Texas_Oil_Price[Year],B11,West_Texas_Oil_Price[WTISPLC])</f>
        <v>93.25833333</v>
      </c>
    </row>
    <row r="12">
      <c r="A12" s="221">
        <v>41913.0</v>
      </c>
      <c r="B12" s="222">
        <f t="shared" si="1"/>
        <v>2014</v>
      </c>
      <c r="C12" s="222">
        <f t="shared" si="4"/>
        <v>10</v>
      </c>
      <c r="D12" s="222">
        <f t="shared" si="2"/>
        <v>4</v>
      </c>
      <c r="E12" s="223" t="str">
        <f t="shared" si="3"/>
        <v>4Q 2014</v>
      </c>
      <c r="F12" s="223">
        <v>84.4</v>
      </c>
      <c r="G12" s="224">
        <f>AVERAGEIF(West_Texas_Oil_Price[Q&amp;Y],E12,West_Texas_Oil_Price[WTISPLC])</f>
        <v>73.16</v>
      </c>
      <c r="H12" s="225">
        <f>AVERAGEIF(West_Texas_Oil_Price[Year],B12,West_Texas_Oil_Price[WTISPLC])</f>
        <v>93.25833333</v>
      </c>
    </row>
    <row r="13">
      <c r="A13" s="216">
        <v>41944.0</v>
      </c>
      <c r="B13" s="217">
        <f t="shared" si="1"/>
        <v>2014</v>
      </c>
      <c r="C13" s="217">
        <f t="shared" si="4"/>
        <v>11</v>
      </c>
      <c r="D13" s="217">
        <f t="shared" si="2"/>
        <v>4</v>
      </c>
      <c r="E13" s="218" t="str">
        <f t="shared" si="3"/>
        <v>4Q 2014</v>
      </c>
      <c r="F13" s="218">
        <v>75.79</v>
      </c>
      <c r="G13" s="219">
        <f>AVERAGEIF(West_Texas_Oil_Price[Q&amp;Y],E13,West_Texas_Oil_Price[WTISPLC])</f>
        <v>73.16</v>
      </c>
      <c r="H13" s="220">
        <f>AVERAGEIF(West_Texas_Oil_Price[Year],B13,West_Texas_Oil_Price[WTISPLC])</f>
        <v>93.25833333</v>
      </c>
    </row>
    <row r="14">
      <c r="A14" s="221">
        <v>41974.0</v>
      </c>
      <c r="B14" s="222">
        <f t="shared" si="1"/>
        <v>2014</v>
      </c>
      <c r="C14" s="222">
        <f t="shared" si="4"/>
        <v>12</v>
      </c>
      <c r="D14" s="222">
        <f t="shared" si="2"/>
        <v>4</v>
      </c>
      <c r="E14" s="223" t="str">
        <f t="shared" si="3"/>
        <v>4Q 2014</v>
      </c>
      <c r="F14" s="223">
        <v>59.29</v>
      </c>
      <c r="G14" s="224">
        <f>AVERAGEIF(West_Texas_Oil_Price[Q&amp;Y],E14,West_Texas_Oil_Price[WTISPLC])</f>
        <v>73.16</v>
      </c>
      <c r="H14" s="225">
        <f>AVERAGEIF(West_Texas_Oil_Price[Year],B14,West_Texas_Oil_Price[WTISPLC])</f>
        <v>93.25833333</v>
      </c>
    </row>
    <row r="15">
      <c r="A15" s="216">
        <v>42005.0</v>
      </c>
      <c r="B15" s="217">
        <f t="shared" si="1"/>
        <v>2015</v>
      </c>
      <c r="C15" s="217">
        <f t="shared" si="4"/>
        <v>1</v>
      </c>
      <c r="D15" s="217">
        <f t="shared" si="2"/>
        <v>1</v>
      </c>
      <c r="E15" s="218" t="str">
        <f t="shared" si="3"/>
        <v>1Q 2015</v>
      </c>
      <c r="F15" s="218">
        <v>47.22</v>
      </c>
      <c r="G15" s="219">
        <f>AVERAGEIF(West_Texas_Oil_Price[Q&amp;Y],E15,West_Texas_Oil_Price[WTISPLC])</f>
        <v>48.54</v>
      </c>
      <c r="H15" s="220">
        <f>AVERAGEIF(West_Texas_Oil_Price[Year],B15,West_Texas_Oil_Price[WTISPLC])</f>
        <v>48.68833333</v>
      </c>
    </row>
    <row r="16">
      <c r="A16" s="221">
        <v>42036.0</v>
      </c>
      <c r="B16" s="222">
        <f t="shared" si="1"/>
        <v>2015</v>
      </c>
      <c r="C16" s="222">
        <f t="shared" si="4"/>
        <v>2</v>
      </c>
      <c r="D16" s="222">
        <f t="shared" si="2"/>
        <v>1</v>
      </c>
      <c r="E16" s="223" t="str">
        <f t="shared" si="3"/>
        <v>1Q 2015</v>
      </c>
      <c r="F16" s="223">
        <v>50.58</v>
      </c>
      <c r="G16" s="224">
        <f>AVERAGEIF(West_Texas_Oil_Price[Q&amp;Y],E16,West_Texas_Oil_Price[WTISPLC])</f>
        <v>48.54</v>
      </c>
      <c r="H16" s="225">
        <f>AVERAGEIF(West_Texas_Oil_Price[Year],B16,West_Texas_Oil_Price[WTISPLC])</f>
        <v>48.68833333</v>
      </c>
    </row>
    <row r="17">
      <c r="A17" s="216">
        <v>42064.0</v>
      </c>
      <c r="B17" s="217">
        <f t="shared" si="1"/>
        <v>2015</v>
      </c>
      <c r="C17" s="217">
        <f t="shared" si="4"/>
        <v>3</v>
      </c>
      <c r="D17" s="217">
        <f t="shared" si="2"/>
        <v>1</v>
      </c>
      <c r="E17" s="218" t="str">
        <f t="shared" si="3"/>
        <v>1Q 2015</v>
      </c>
      <c r="F17" s="218">
        <v>47.82</v>
      </c>
      <c r="G17" s="219">
        <f>AVERAGEIF(West_Texas_Oil_Price[Q&amp;Y],E17,West_Texas_Oil_Price[WTISPLC])</f>
        <v>48.54</v>
      </c>
      <c r="H17" s="220">
        <f>AVERAGEIF(West_Texas_Oil_Price[Year],B17,West_Texas_Oil_Price[WTISPLC])</f>
        <v>48.68833333</v>
      </c>
    </row>
    <row r="18">
      <c r="A18" s="221">
        <v>42095.0</v>
      </c>
      <c r="B18" s="222">
        <f t="shared" si="1"/>
        <v>2015</v>
      </c>
      <c r="C18" s="222">
        <f t="shared" si="4"/>
        <v>4</v>
      </c>
      <c r="D18" s="222">
        <f t="shared" si="2"/>
        <v>2</v>
      </c>
      <c r="E18" s="223" t="str">
        <f t="shared" si="3"/>
        <v>2Q 2015</v>
      </c>
      <c r="F18" s="223">
        <v>54.45</v>
      </c>
      <c r="G18" s="224">
        <f>AVERAGEIF(West_Texas_Oil_Price[Q&amp;Y],E18,West_Texas_Oil_Price[WTISPLC])</f>
        <v>57.84666667</v>
      </c>
      <c r="H18" s="225">
        <f>AVERAGEIF(West_Texas_Oil_Price[Year],B18,West_Texas_Oil_Price[WTISPLC])</f>
        <v>48.68833333</v>
      </c>
    </row>
    <row r="19">
      <c r="A19" s="216">
        <v>42125.0</v>
      </c>
      <c r="B19" s="217">
        <f t="shared" si="1"/>
        <v>2015</v>
      </c>
      <c r="C19" s="217">
        <f t="shared" si="4"/>
        <v>5</v>
      </c>
      <c r="D19" s="217">
        <f t="shared" si="2"/>
        <v>2</v>
      </c>
      <c r="E19" s="218" t="str">
        <f t="shared" si="3"/>
        <v>2Q 2015</v>
      </c>
      <c r="F19" s="218">
        <v>59.27</v>
      </c>
      <c r="G19" s="219">
        <f>AVERAGEIF(West_Texas_Oil_Price[Q&amp;Y],E19,West_Texas_Oil_Price[WTISPLC])</f>
        <v>57.84666667</v>
      </c>
      <c r="H19" s="220">
        <f>AVERAGEIF(West_Texas_Oil_Price[Year],B19,West_Texas_Oil_Price[WTISPLC])</f>
        <v>48.68833333</v>
      </c>
    </row>
    <row r="20">
      <c r="A20" s="221">
        <v>42156.0</v>
      </c>
      <c r="B20" s="222">
        <f t="shared" si="1"/>
        <v>2015</v>
      </c>
      <c r="C20" s="222">
        <f t="shared" si="4"/>
        <v>6</v>
      </c>
      <c r="D20" s="222">
        <f t="shared" si="2"/>
        <v>2</v>
      </c>
      <c r="E20" s="223" t="str">
        <f t="shared" si="3"/>
        <v>2Q 2015</v>
      </c>
      <c r="F20" s="223">
        <v>59.82</v>
      </c>
      <c r="G20" s="224">
        <f>AVERAGEIF(West_Texas_Oil_Price[Q&amp;Y],E20,West_Texas_Oil_Price[WTISPLC])</f>
        <v>57.84666667</v>
      </c>
      <c r="H20" s="225">
        <f>AVERAGEIF(West_Texas_Oil_Price[Year],B20,West_Texas_Oil_Price[WTISPLC])</f>
        <v>48.68833333</v>
      </c>
    </row>
    <row r="21">
      <c r="A21" s="216">
        <v>42186.0</v>
      </c>
      <c r="B21" s="217">
        <f t="shared" si="1"/>
        <v>2015</v>
      </c>
      <c r="C21" s="217">
        <f t="shared" si="4"/>
        <v>7</v>
      </c>
      <c r="D21" s="217">
        <f t="shared" si="2"/>
        <v>3</v>
      </c>
      <c r="E21" s="218" t="str">
        <f t="shared" si="3"/>
        <v>3Q 2015</v>
      </c>
      <c r="F21" s="218">
        <v>50.9</v>
      </c>
      <c r="G21" s="219">
        <f>AVERAGEIF(West_Texas_Oil_Price[Q&amp;Y],E21,West_Texas_Oil_Price[WTISPLC])</f>
        <v>46.41666667</v>
      </c>
      <c r="H21" s="220">
        <f>AVERAGEIF(West_Texas_Oil_Price[Year],B21,West_Texas_Oil_Price[WTISPLC])</f>
        <v>48.68833333</v>
      </c>
    </row>
    <row r="22">
      <c r="A22" s="221">
        <v>42217.0</v>
      </c>
      <c r="B22" s="222">
        <f t="shared" si="1"/>
        <v>2015</v>
      </c>
      <c r="C22" s="222">
        <f t="shared" si="4"/>
        <v>8</v>
      </c>
      <c r="D22" s="222">
        <f t="shared" si="2"/>
        <v>3</v>
      </c>
      <c r="E22" s="223" t="str">
        <f t="shared" si="3"/>
        <v>3Q 2015</v>
      </c>
      <c r="F22" s="223">
        <v>42.87</v>
      </c>
      <c r="G22" s="224">
        <f>AVERAGEIF(West_Texas_Oil_Price[Q&amp;Y],E22,West_Texas_Oil_Price[WTISPLC])</f>
        <v>46.41666667</v>
      </c>
      <c r="H22" s="225">
        <f>AVERAGEIF(West_Texas_Oil_Price[Year],B22,West_Texas_Oil_Price[WTISPLC])</f>
        <v>48.68833333</v>
      </c>
    </row>
    <row r="23">
      <c r="A23" s="216">
        <v>42248.0</v>
      </c>
      <c r="B23" s="217">
        <f t="shared" si="1"/>
        <v>2015</v>
      </c>
      <c r="C23" s="217">
        <f t="shared" si="4"/>
        <v>9</v>
      </c>
      <c r="D23" s="217">
        <f t="shared" si="2"/>
        <v>3</v>
      </c>
      <c r="E23" s="218" t="str">
        <f t="shared" si="3"/>
        <v>3Q 2015</v>
      </c>
      <c r="F23" s="218">
        <v>45.48</v>
      </c>
      <c r="G23" s="219">
        <f>AVERAGEIF(West_Texas_Oil_Price[Q&amp;Y],E23,West_Texas_Oil_Price[WTISPLC])</f>
        <v>46.41666667</v>
      </c>
      <c r="H23" s="220">
        <f>AVERAGEIF(West_Texas_Oil_Price[Year],B23,West_Texas_Oil_Price[WTISPLC])</f>
        <v>48.68833333</v>
      </c>
    </row>
    <row r="24">
      <c r="A24" s="221">
        <v>42278.0</v>
      </c>
      <c r="B24" s="222">
        <f t="shared" si="1"/>
        <v>2015</v>
      </c>
      <c r="C24" s="222">
        <f t="shared" si="4"/>
        <v>10</v>
      </c>
      <c r="D24" s="222">
        <f t="shared" si="2"/>
        <v>4</v>
      </c>
      <c r="E24" s="223" t="str">
        <f t="shared" si="3"/>
        <v>4Q 2015</v>
      </c>
      <c r="F24" s="223">
        <v>46.22</v>
      </c>
      <c r="G24" s="224">
        <f>AVERAGEIF(West_Texas_Oil_Price[Q&amp;Y],E24,West_Texas_Oil_Price[WTISPLC])</f>
        <v>41.95</v>
      </c>
      <c r="H24" s="225">
        <f>AVERAGEIF(West_Texas_Oil_Price[Year],B24,West_Texas_Oil_Price[WTISPLC])</f>
        <v>48.68833333</v>
      </c>
    </row>
    <row r="25">
      <c r="A25" s="216">
        <v>42309.0</v>
      </c>
      <c r="B25" s="217">
        <f t="shared" si="1"/>
        <v>2015</v>
      </c>
      <c r="C25" s="217">
        <f t="shared" si="4"/>
        <v>11</v>
      </c>
      <c r="D25" s="217">
        <f t="shared" si="2"/>
        <v>4</v>
      </c>
      <c r="E25" s="218" t="str">
        <f t="shared" si="3"/>
        <v>4Q 2015</v>
      </c>
      <c r="F25" s="218">
        <v>42.44</v>
      </c>
      <c r="G25" s="219">
        <f>AVERAGEIF(West_Texas_Oil_Price[Q&amp;Y],E25,West_Texas_Oil_Price[WTISPLC])</f>
        <v>41.95</v>
      </c>
      <c r="H25" s="220">
        <f>AVERAGEIF(West_Texas_Oil_Price[Year],B25,West_Texas_Oil_Price[WTISPLC])</f>
        <v>48.68833333</v>
      </c>
    </row>
    <row r="26">
      <c r="A26" s="221">
        <v>42339.0</v>
      </c>
      <c r="B26" s="222">
        <f t="shared" si="1"/>
        <v>2015</v>
      </c>
      <c r="C26" s="222">
        <f t="shared" si="4"/>
        <v>12</v>
      </c>
      <c r="D26" s="222">
        <f t="shared" si="2"/>
        <v>4</v>
      </c>
      <c r="E26" s="223" t="str">
        <f t="shared" si="3"/>
        <v>4Q 2015</v>
      </c>
      <c r="F26" s="223">
        <v>37.19</v>
      </c>
      <c r="G26" s="224">
        <f>AVERAGEIF(West_Texas_Oil_Price[Q&amp;Y],E26,West_Texas_Oil_Price[WTISPLC])</f>
        <v>41.95</v>
      </c>
      <c r="H26" s="225">
        <f>AVERAGEIF(West_Texas_Oil_Price[Year],B26,West_Texas_Oil_Price[WTISPLC])</f>
        <v>48.68833333</v>
      </c>
    </row>
    <row r="27">
      <c r="A27" s="216">
        <v>42370.0</v>
      </c>
      <c r="B27" s="217">
        <f t="shared" si="1"/>
        <v>2016</v>
      </c>
      <c r="C27" s="217">
        <f t="shared" si="4"/>
        <v>1</v>
      </c>
      <c r="D27" s="217">
        <f t="shared" si="2"/>
        <v>1</v>
      </c>
      <c r="E27" s="218" t="str">
        <f t="shared" si="3"/>
        <v>1Q 2016</v>
      </c>
      <c r="F27" s="218">
        <v>31.68</v>
      </c>
      <c r="G27" s="219">
        <f>AVERAGEIF(West_Texas_Oil_Price[Q&amp;Y],E27,West_Texas_Oil_Price[WTISPLC])</f>
        <v>33.18333333</v>
      </c>
      <c r="H27" s="220">
        <f>AVERAGEIF(West_Texas_Oil_Price[Year],B27,West_Texas_Oil_Price[WTISPLC])</f>
        <v>43.14416667</v>
      </c>
    </row>
    <row r="28">
      <c r="A28" s="221">
        <v>42401.0</v>
      </c>
      <c r="B28" s="222">
        <f t="shared" si="1"/>
        <v>2016</v>
      </c>
      <c r="C28" s="222">
        <f t="shared" si="4"/>
        <v>2</v>
      </c>
      <c r="D28" s="222">
        <f t="shared" si="2"/>
        <v>1</v>
      </c>
      <c r="E28" s="223" t="str">
        <f t="shared" si="3"/>
        <v>1Q 2016</v>
      </c>
      <c r="F28" s="223">
        <v>30.32</v>
      </c>
      <c r="G28" s="224">
        <f>AVERAGEIF(West_Texas_Oil_Price[Q&amp;Y],E28,West_Texas_Oil_Price[WTISPLC])</f>
        <v>33.18333333</v>
      </c>
      <c r="H28" s="225">
        <f>AVERAGEIF(West_Texas_Oil_Price[Year],B28,West_Texas_Oil_Price[WTISPLC])</f>
        <v>43.14416667</v>
      </c>
    </row>
    <row r="29">
      <c r="A29" s="216">
        <v>42430.0</v>
      </c>
      <c r="B29" s="217">
        <f t="shared" si="1"/>
        <v>2016</v>
      </c>
      <c r="C29" s="217">
        <f t="shared" si="4"/>
        <v>3</v>
      </c>
      <c r="D29" s="217">
        <f t="shared" si="2"/>
        <v>1</v>
      </c>
      <c r="E29" s="218" t="str">
        <f t="shared" si="3"/>
        <v>1Q 2016</v>
      </c>
      <c r="F29" s="218">
        <v>37.55</v>
      </c>
      <c r="G29" s="219">
        <f>AVERAGEIF(West_Texas_Oil_Price[Q&amp;Y],E29,West_Texas_Oil_Price[WTISPLC])</f>
        <v>33.18333333</v>
      </c>
      <c r="H29" s="220">
        <f>AVERAGEIF(West_Texas_Oil_Price[Year],B29,West_Texas_Oil_Price[WTISPLC])</f>
        <v>43.14416667</v>
      </c>
    </row>
    <row r="30">
      <c r="A30" s="221">
        <v>42461.0</v>
      </c>
      <c r="B30" s="222">
        <f t="shared" si="1"/>
        <v>2016</v>
      </c>
      <c r="C30" s="222">
        <f t="shared" si="4"/>
        <v>4</v>
      </c>
      <c r="D30" s="222">
        <f t="shared" si="2"/>
        <v>2</v>
      </c>
      <c r="E30" s="223" t="str">
        <f t="shared" si="3"/>
        <v>2Q 2016</v>
      </c>
      <c r="F30" s="223">
        <v>40.75</v>
      </c>
      <c r="G30" s="224">
        <f>AVERAGEIF(West_Texas_Oil_Price[Q&amp;Y],E30,West_Texas_Oil_Price[WTISPLC])</f>
        <v>45.40666667</v>
      </c>
      <c r="H30" s="225">
        <f>AVERAGEIF(West_Texas_Oil_Price[Year],B30,West_Texas_Oil_Price[WTISPLC])</f>
        <v>43.14416667</v>
      </c>
    </row>
    <row r="31">
      <c r="A31" s="216">
        <v>42491.0</v>
      </c>
      <c r="B31" s="217">
        <f t="shared" si="1"/>
        <v>2016</v>
      </c>
      <c r="C31" s="217">
        <f t="shared" si="4"/>
        <v>5</v>
      </c>
      <c r="D31" s="217">
        <f t="shared" si="2"/>
        <v>2</v>
      </c>
      <c r="E31" s="218" t="str">
        <f t="shared" si="3"/>
        <v>2Q 2016</v>
      </c>
      <c r="F31" s="218">
        <v>46.71</v>
      </c>
      <c r="G31" s="219">
        <f>AVERAGEIF(West_Texas_Oil_Price[Q&amp;Y],E31,West_Texas_Oil_Price[WTISPLC])</f>
        <v>45.40666667</v>
      </c>
      <c r="H31" s="220">
        <f>AVERAGEIF(West_Texas_Oil_Price[Year],B31,West_Texas_Oil_Price[WTISPLC])</f>
        <v>43.14416667</v>
      </c>
    </row>
    <row r="32">
      <c r="A32" s="221">
        <v>42522.0</v>
      </c>
      <c r="B32" s="222">
        <f t="shared" si="1"/>
        <v>2016</v>
      </c>
      <c r="C32" s="222">
        <f t="shared" si="4"/>
        <v>6</v>
      </c>
      <c r="D32" s="222">
        <f t="shared" si="2"/>
        <v>2</v>
      </c>
      <c r="E32" s="223" t="str">
        <f t="shared" si="3"/>
        <v>2Q 2016</v>
      </c>
      <c r="F32" s="223">
        <v>48.76</v>
      </c>
      <c r="G32" s="224">
        <f>AVERAGEIF(West_Texas_Oil_Price[Q&amp;Y],E32,West_Texas_Oil_Price[WTISPLC])</f>
        <v>45.40666667</v>
      </c>
      <c r="H32" s="225">
        <f>AVERAGEIF(West_Texas_Oil_Price[Year],B32,West_Texas_Oil_Price[WTISPLC])</f>
        <v>43.14416667</v>
      </c>
    </row>
    <row r="33">
      <c r="A33" s="216">
        <v>42552.0</v>
      </c>
      <c r="B33" s="217">
        <f t="shared" si="1"/>
        <v>2016</v>
      </c>
      <c r="C33" s="217">
        <f t="shared" si="4"/>
        <v>7</v>
      </c>
      <c r="D33" s="217">
        <f t="shared" si="2"/>
        <v>3</v>
      </c>
      <c r="E33" s="218" t="str">
        <f t="shared" si="3"/>
        <v>3Q 2016</v>
      </c>
      <c r="F33" s="218">
        <v>44.65</v>
      </c>
      <c r="G33" s="219">
        <f>AVERAGEIF(West_Texas_Oil_Price[Q&amp;Y],E33,West_Texas_Oil_Price[WTISPLC])</f>
        <v>44.85</v>
      </c>
      <c r="H33" s="220">
        <f>AVERAGEIF(West_Texas_Oil_Price[Year],B33,West_Texas_Oil_Price[WTISPLC])</f>
        <v>43.14416667</v>
      </c>
    </row>
    <row r="34">
      <c r="A34" s="221">
        <v>42583.0</v>
      </c>
      <c r="B34" s="222">
        <f t="shared" si="1"/>
        <v>2016</v>
      </c>
      <c r="C34" s="222">
        <f t="shared" si="4"/>
        <v>8</v>
      </c>
      <c r="D34" s="222">
        <f t="shared" si="2"/>
        <v>3</v>
      </c>
      <c r="E34" s="223" t="str">
        <f t="shared" si="3"/>
        <v>3Q 2016</v>
      </c>
      <c r="F34" s="223">
        <v>44.72</v>
      </c>
      <c r="G34" s="224">
        <f>AVERAGEIF(West_Texas_Oil_Price[Q&amp;Y],E34,West_Texas_Oil_Price[WTISPLC])</f>
        <v>44.85</v>
      </c>
      <c r="H34" s="225">
        <f>AVERAGEIF(West_Texas_Oil_Price[Year],B34,West_Texas_Oil_Price[WTISPLC])</f>
        <v>43.14416667</v>
      </c>
    </row>
    <row r="35">
      <c r="A35" s="216">
        <v>42614.0</v>
      </c>
      <c r="B35" s="217">
        <f t="shared" si="1"/>
        <v>2016</v>
      </c>
      <c r="C35" s="217">
        <f t="shared" si="4"/>
        <v>9</v>
      </c>
      <c r="D35" s="217">
        <f t="shared" si="2"/>
        <v>3</v>
      </c>
      <c r="E35" s="218" t="str">
        <f t="shared" si="3"/>
        <v>3Q 2016</v>
      </c>
      <c r="F35" s="218">
        <v>45.18</v>
      </c>
      <c r="G35" s="219">
        <f>AVERAGEIF(West_Texas_Oil_Price[Q&amp;Y],E35,West_Texas_Oil_Price[WTISPLC])</f>
        <v>44.85</v>
      </c>
      <c r="H35" s="220">
        <f>AVERAGEIF(West_Texas_Oil_Price[Year],B35,West_Texas_Oil_Price[WTISPLC])</f>
        <v>43.14416667</v>
      </c>
    </row>
    <row r="36">
      <c r="A36" s="221">
        <v>42644.0</v>
      </c>
      <c r="B36" s="222">
        <f t="shared" si="1"/>
        <v>2016</v>
      </c>
      <c r="C36" s="222">
        <f t="shared" si="4"/>
        <v>10</v>
      </c>
      <c r="D36" s="222">
        <f t="shared" si="2"/>
        <v>4</v>
      </c>
      <c r="E36" s="223" t="str">
        <f t="shared" si="3"/>
        <v>4Q 2016</v>
      </c>
      <c r="F36" s="223">
        <v>49.78</v>
      </c>
      <c r="G36" s="224">
        <f>AVERAGEIF(West_Texas_Oil_Price[Q&amp;Y],E36,West_Texas_Oil_Price[WTISPLC])</f>
        <v>49.13666667</v>
      </c>
      <c r="H36" s="225">
        <f>AVERAGEIF(West_Texas_Oil_Price[Year],B36,West_Texas_Oil_Price[WTISPLC])</f>
        <v>43.14416667</v>
      </c>
    </row>
    <row r="37">
      <c r="A37" s="216">
        <v>42675.0</v>
      </c>
      <c r="B37" s="217">
        <f t="shared" si="1"/>
        <v>2016</v>
      </c>
      <c r="C37" s="217">
        <f t="shared" si="4"/>
        <v>11</v>
      </c>
      <c r="D37" s="217">
        <f t="shared" si="2"/>
        <v>4</v>
      </c>
      <c r="E37" s="218" t="str">
        <f t="shared" si="3"/>
        <v>4Q 2016</v>
      </c>
      <c r="F37" s="218">
        <v>45.66</v>
      </c>
      <c r="G37" s="219">
        <f>AVERAGEIF(West_Texas_Oil_Price[Q&amp;Y],E37,West_Texas_Oil_Price[WTISPLC])</f>
        <v>49.13666667</v>
      </c>
      <c r="H37" s="220">
        <f>AVERAGEIF(West_Texas_Oil_Price[Year],B37,West_Texas_Oil_Price[WTISPLC])</f>
        <v>43.14416667</v>
      </c>
    </row>
    <row r="38">
      <c r="A38" s="221">
        <v>42705.0</v>
      </c>
      <c r="B38" s="222">
        <f t="shared" si="1"/>
        <v>2016</v>
      </c>
      <c r="C38" s="222">
        <f t="shared" si="4"/>
        <v>12</v>
      </c>
      <c r="D38" s="222">
        <f t="shared" si="2"/>
        <v>4</v>
      </c>
      <c r="E38" s="223" t="str">
        <f t="shared" si="3"/>
        <v>4Q 2016</v>
      </c>
      <c r="F38" s="223">
        <v>51.97</v>
      </c>
      <c r="G38" s="224">
        <f>AVERAGEIF(West_Texas_Oil_Price[Q&amp;Y],E38,West_Texas_Oil_Price[WTISPLC])</f>
        <v>49.13666667</v>
      </c>
      <c r="H38" s="225">
        <f>AVERAGEIF(West_Texas_Oil_Price[Year],B38,West_Texas_Oil_Price[WTISPLC])</f>
        <v>43.14416667</v>
      </c>
    </row>
    <row r="39">
      <c r="A39" s="216">
        <v>42736.0</v>
      </c>
      <c r="B39" s="217">
        <f t="shared" si="1"/>
        <v>2017</v>
      </c>
      <c r="C39" s="217">
        <f t="shared" si="4"/>
        <v>1</v>
      </c>
      <c r="D39" s="217">
        <f t="shared" si="2"/>
        <v>1</v>
      </c>
      <c r="E39" s="218" t="str">
        <f t="shared" si="3"/>
        <v>1Q 2017</v>
      </c>
      <c r="F39" s="218">
        <v>52.5</v>
      </c>
      <c r="G39" s="219">
        <f>AVERAGEIF(West_Texas_Oil_Price[Q&amp;Y],E39,West_Texas_Oil_Price[WTISPLC])</f>
        <v>51.76666667</v>
      </c>
      <c r="H39" s="220">
        <f>AVERAGEIF(West_Texas_Oil_Price[Year],B39,West_Texas_Oil_Price[WTISPLC])</f>
        <v>50.88416667</v>
      </c>
    </row>
    <row r="40">
      <c r="A40" s="221">
        <v>42767.0</v>
      </c>
      <c r="B40" s="222">
        <f t="shared" si="1"/>
        <v>2017</v>
      </c>
      <c r="C40" s="222">
        <f t="shared" si="4"/>
        <v>2</v>
      </c>
      <c r="D40" s="222">
        <f t="shared" si="2"/>
        <v>1</v>
      </c>
      <c r="E40" s="223" t="str">
        <f t="shared" si="3"/>
        <v>1Q 2017</v>
      </c>
      <c r="F40" s="223">
        <v>53.47</v>
      </c>
      <c r="G40" s="224">
        <f>AVERAGEIF(West_Texas_Oil_Price[Q&amp;Y],E40,West_Texas_Oil_Price[WTISPLC])</f>
        <v>51.76666667</v>
      </c>
      <c r="H40" s="225">
        <f>AVERAGEIF(West_Texas_Oil_Price[Year],B40,West_Texas_Oil_Price[WTISPLC])</f>
        <v>50.88416667</v>
      </c>
    </row>
    <row r="41">
      <c r="A41" s="216">
        <v>42795.0</v>
      </c>
      <c r="B41" s="217">
        <f t="shared" si="1"/>
        <v>2017</v>
      </c>
      <c r="C41" s="217">
        <f t="shared" si="4"/>
        <v>3</v>
      </c>
      <c r="D41" s="217">
        <f t="shared" si="2"/>
        <v>1</v>
      </c>
      <c r="E41" s="218" t="str">
        <f t="shared" si="3"/>
        <v>1Q 2017</v>
      </c>
      <c r="F41" s="218">
        <v>49.33</v>
      </c>
      <c r="G41" s="219">
        <f>AVERAGEIF(West_Texas_Oil_Price[Q&amp;Y],E41,West_Texas_Oil_Price[WTISPLC])</f>
        <v>51.76666667</v>
      </c>
      <c r="H41" s="220">
        <f>AVERAGEIF(West_Texas_Oil_Price[Year],B41,West_Texas_Oil_Price[WTISPLC])</f>
        <v>50.88416667</v>
      </c>
    </row>
    <row r="42">
      <c r="A42" s="221">
        <v>42826.0</v>
      </c>
      <c r="B42" s="222">
        <f t="shared" si="1"/>
        <v>2017</v>
      </c>
      <c r="C42" s="222">
        <f t="shared" si="4"/>
        <v>4</v>
      </c>
      <c r="D42" s="222">
        <f t="shared" si="2"/>
        <v>2</v>
      </c>
      <c r="E42" s="223" t="str">
        <f t="shared" si="3"/>
        <v>2Q 2017</v>
      </c>
      <c r="F42" s="223">
        <v>51.06</v>
      </c>
      <c r="G42" s="224">
        <f>AVERAGEIF(West_Texas_Oil_Price[Q&amp;Y],E42,West_Texas_Oil_Price[WTISPLC])</f>
        <v>48.24</v>
      </c>
      <c r="H42" s="225">
        <f>AVERAGEIF(West_Texas_Oil_Price[Year],B42,West_Texas_Oil_Price[WTISPLC])</f>
        <v>50.88416667</v>
      </c>
    </row>
    <row r="43">
      <c r="A43" s="216">
        <v>42856.0</v>
      </c>
      <c r="B43" s="217">
        <f t="shared" si="1"/>
        <v>2017</v>
      </c>
      <c r="C43" s="217">
        <f t="shared" si="4"/>
        <v>5</v>
      </c>
      <c r="D43" s="217">
        <f t="shared" si="2"/>
        <v>2</v>
      </c>
      <c r="E43" s="218" t="str">
        <f t="shared" si="3"/>
        <v>2Q 2017</v>
      </c>
      <c r="F43" s="218">
        <v>48.48</v>
      </c>
      <c r="G43" s="219">
        <f>AVERAGEIF(West_Texas_Oil_Price[Q&amp;Y],E43,West_Texas_Oil_Price[WTISPLC])</f>
        <v>48.24</v>
      </c>
      <c r="H43" s="220">
        <f>AVERAGEIF(West_Texas_Oil_Price[Year],B43,West_Texas_Oil_Price[WTISPLC])</f>
        <v>50.88416667</v>
      </c>
    </row>
    <row r="44">
      <c r="A44" s="221">
        <v>42887.0</v>
      </c>
      <c r="B44" s="222">
        <f t="shared" si="1"/>
        <v>2017</v>
      </c>
      <c r="C44" s="222">
        <f t="shared" si="4"/>
        <v>6</v>
      </c>
      <c r="D44" s="222">
        <f t="shared" si="2"/>
        <v>2</v>
      </c>
      <c r="E44" s="223" t="str">
        <f t="shared" si="3"/>
        <v>2Q 2017</v>
      </c>
      <c r="F44" s="223">
        <v>45.18</v>
      </c>
      <c r="G44" s="224">
        <f>AVERAGEIF(West_Texas_Oil_Price[Q&amp;Y],E44,West_Texas_Oil_Price[WTISPLC])</f>
        <v>48.24</v>
      </c>
      <c r="H44" s="225">
        <f>AVERAGEIF(West_Texas_Oil_Price[Year],B44,West_Texas_Oil_Price[WTISPLC])</f>
        <v>50.88416667</v>
      </c>
    </row>
    <row r="45">
      <c r="A45" s="216">
        <v>42917.0</v>
      </c>
      <c r="B45" s="217">
        <f t="shared" si="1"/>
        <v>2017</v>
      </c>
      <c r="C45" s="217">
        <f t="shared" si="4"/>
        <v>7</v>
      </c>
      <c r="D45" s="217">
        <f t="shared" si="2"/>
        <v>3</v>
      </c>
      <c r="E45" s="218" t="str">
        <f t="shared" si="3"/>
        <v>3Q 2017</v>
      </c>
      <c r="F45" s="218">
        <v>46.63</v>
      </c>
      <c r="G45" s="219">
        <f>AVERAGEIF(West_Texas_Oil_Price[Q&amp;Y],E45,West_Texas_Oil_Price[WTISPLC])</f>
        <v>48.16333333</v>
      </c>
      <c r="H45" s="220">
        <f>AVERAGEIF(West_Texas_Oil_Price[Year],B45,West_Texas_Oil_Price[WTISPLC])</f>
        <v>50.88416667</v>
      </c>
    </row>
    <row r="46">
      <c r="A46" s="221">
        <v>42948.0</v>
      </c>
      <c r="B46" s="222">
        <f t="shared" si="1"/>
        <v>2017</v>
      </c>
      <c r="C46" s="222">
        <f t="shared" si="4"/>
        <v>8</v>
      </c>
      <c r="D46" s="222">
        <f t="shared" si="2"/>
        <v>3</v>
      </c>
      <c r="E46" s="223" t="str">
        <f t="shared" si="3"/>
        <v>3Q 2017</v>
      </c>
      <c r="F46" s="223">
        <v>48.04</v>
      </c>
      <c r="G46" s="224">
        <f>AVERAGEIF(West_Texas_Oil_Price[Q&amp;Y],E46,West_Texas_Oil_Price[WTISPLC])</f>
        <v>48.16333333</v>
      </c>
      <c r="H46" s="225">
        <f>AVERAGEIF(West_Texas_Oil_Price[Year],B46,West_Texas_Oil_Price[WTISPLC])</f>
        <v>50.88416667</v>
      </c>
    </row>
    <row r="47">
      <c r="A47" s="216">
        <v>42979.0</v>
      </c>
      <c r="B47" s="217">
        <f t="shared" si="1"/>
        <v>2017</v>
      </c>
      <c r="C47" s="217">
        <f t="shared" si="4"/>
        <v>9</v>
      </c>
      <c r="D47" s="217">
        <f t="shared" si="2"/>
        <v>3</v>
      </c>
      <c r="E47" s="218" t="str">
        <f t="shared" si="3"/>
        <v>3Q 2017</v>
      </c>
      <c r="F47" s="218">
        <v>49.82</v>
      </c>
      <c r="G47" s="219">
        <f>AVERAGEIF(West_Texas_Oil_Price[Q&amp;Y],E47,West_Texas_Oil_Price[WTISPLC])</f>
        <v>48.16333333</v>
      </c>
      <c r="H47" s="220">
        <f>AVERAGEIF(West_Texas_Oil_Price[Year],B47,West_Texas_Oil_Price[WTISPLC])</f>
        <v>50.88416667</v>
      </c>
    </row>
    <row r="48">
      <c r="A48" s="221">
        <v>43009.0</v>
      </c>
      <c r="B48" s="222">
        <f t="shared" si="1"/>
        <v>2017</v>
      </c>
      <c r="C48" s="222">
        <f t="shared" si="4"/>
        <v>10</v>
      </c>
      <c r="D48" s="222">
        <f t="shared" si="2"/>
        <v>4</v>
      </c>
      <c r="E48" s="223" t="str">
        <f t="shared" si="3"/>
        <v>4Q 2017</v>
      </c>
      <c r="F48" s="223">
        <v>51.58</v>
      </c>
      <c r="G48" s="224">
        <f>AVERAGEIF(West_Texas_Oil_Price[Q&amp;Y],E48,West_Texas_Oil_Price[WTISPLC])</f>
        <v>55.36666667</v>
      </c>
      <c r="H48" s="225">
        <f>AVERAGEIF(West_Texas_Oil_Price[Year],B48,West_Texas_Oil_Price[WTISPLC])</f>
        <v>50.88416667</v>
      </c>
    </row>
    <row r="49">
      <c r="A49" s="216">
        <v>43040.0</v>
      </c>
      <c r="B49" s="217">
        <f t="shared" si="1"/>
        <v>2017</v>
      </c>
      <c r="C49" s="217">
        <f t="shared" si="4"/>
        <v>11</v>
      </c>
      <c r="D49" s="217">
        <f t="shared" si="2"/>
        <v>4</v>
      </c>
      <c r="E49" s="218" t="str">
        <f t="shared" si="3"/>
        <v>4Q 2017</v>
      </c>
      <c r="F49" s="218">
        <v>56.64</v>
      </c>
      <c r="G49" s="219">
        <f>AVERAGEIF(West_Texas_Oil_Price[Q&amp;Y],E49,West_Texas_Oil_Price[WTISPLC])</f>
        <v>55.36666667</v>
      </c>
      <c r="H49" s="220">
        <f>AVERAGEIF(West_Texas_Oil_Price[Year],B49,West_Texas_Oil_Price[WTISPLC])</f>
        <v>50.88416667</v>
      </c>
    </row>
    <row r="50">
      <c r="A50" s="221">
        <v>43070.0</v>
      </c>
      <c r="B50" s="222">
        <f t="shared" si="1"/>
        <v>2017</v>
      </c>
      <c r="C50" s="222">
        <f t="shared" si="4"/>
        <v>12</v>
      </c>
      <c r="D50" s="222">
        <f t="shared" si="2"/>
        <v>4</v>
      </c>
      <c r="E50" s="223" t="str">
        <f t="shared" si="3"/>
        <v>4Q 2017</v>
      </c>
      <c r="F50" s="223">
        <v>57.88</v>
      </c>
      <c r="G50" s="224">
        <f>AVERAGEIF(West_Texas_Oil_Price[Q&amp;Y],E50,West_Texas_Oil_Price[WTISPLC])</f>
        <v>55.36666667</v>
      </c>
      <c r="H50" s="225">
        <f>AVERAGEIF(West_Texas_Oil_Price[Year],B50,West_Texas_Oil_Price[WTISPLC])</f>
        <v>50.88416667</v>
      </c>
    </row>
    <row r="51">
      <c r="A51" s="216">
        <v>43101.0</v>
      </c>
      <c r="B51" s="217">
        <f t="shared" si="1"/>
        <v>2018</v>
      </c>
      <c r="C51" s="217">
        <f t="shared" si="4"/>
        <v>1</v>
      </c>
      <c r="D51" s="217">
        <f t="shared" si="2"/>
        <v>1</v>
      </c>
      <c r="E51" s="218" t="str">
        <f t="shared" si="3"/>
        <v>1Q 2018</v>
      </c>
      <c r="F51" s="218">
        <v>63.7</v>
      </c>
      <c r="G51" s="219">
        <f>AVERAGEIF(West_Texas_Oil_Price[Q&amp;Y],E51,West_Texas_Oil_Price[WTISPLC])</f>
        <v>62.88666667</v>
      </c>
      <c r="H51" s="220">
        <f>AVERAGEIF(West_Texas_Oil_Price[Year],B51,West_Texas_Oil_Price[WTISPLC])</f>
        <v>64.93833333</v>
      </c>
    </row>
    <row r="52">
      <c r="A52" s="221">
        <v>43132.0</v>
      </c>
      <c r="B52" s="222">
        <f t="shared" si="1"/>
        <v>2018</v>
      </c>
      <c r="C52" s="222">
        <f t="shared" si="4"/>
        <v>2</v>
      </c>
      <c r="D52" s="222">
        <f t="shared" si="2"/>
        <v>1</v>
      </c>
      <c r="E52" s="223" t="str">
        <f t="shared" si="3"/>
        <v>1Q 2018</v>
      </c>
      <c r="F52" s="223">
        <v>62.23</v>
      </c>
      <c r="G52" s="224">
        <f>AVERAGEIF(West_Texas_Oil_Price[Q&amp;Y],E52,West_Texas_Oil_Price[WTISPLC])</f>
        <v>62.88666667</v>
      </c>
      <c r="H52" s="225">
        <f>AVERAGEIF(West_Texas_Oil_Price[Year],B52,West_Texas_Oil_Price[WTISPLC])</f>
        <v>64.93833333</v>
      </c>
    </row>
    <row r="53">
      <c r="A53" s="216">
        <v>43160.0</v>
      </c>
      <c r="B53" s="217">
        <f t="shared" si="1"/>
        <v>2018</v>
      </c>
      <c r="C53" s="217">
        <f t="shared" si="4"/>
        <v>3</v>
      </c>
      <c r="D53" s="217">
        <f t="shared" si="2"/>
        <v>1</v>
      </c>
      <c r="E53" s="218" t="str">
        <f t="shared" si="3"/>
        <v>1Q 2018</v>
      </c>
      <c r="F53" s="218">
        <v>62.73</v>
      </c>
      <c r="G53" s="219">
        <f>AVERAGEIF(West_Texas_Oil_Price[Q&amp;Y],E53,West_Texas_Oil_Price[WTISPLC])</f>
        <v>62.88666667</v>
      </c>
      <c r="H53" s="220">
        <f>AVERAGEIF(West_Texas_Oil_Price[Year],B53,West_Texas_Oil_Price[WTISPLC])</f>
        <v>64.93833333</v>
      </c>
    </row>
    <row r="54">
      <c r="A54" s="221">
        <v>43191.0</v>
      </c>
      <c r="B54" s="222">
        <f t="shared" si="1"/>
        <v>2018</v>
      </c>
      <c r="C54" s="222">
        <f t="shared" si="4"/>
        <v>4</v>
      </c>
      <c r="D54" s="222">
        <f t="shared" si="2"/>
        <v>2</v>
      </c>
      <c r="E54" s="223" t="str">
        <f t="shared" si="3"/>
        <v>2Q 2018</v>
      </c>
      <c r="F54" s="223">
        <v>66.25</v>
      </c>
      <c r="G54" s="224">
        <f>AVERAGEIF(West_Texas_Oil_Price[Q&amp;Y],E54,West_Texas_Oil_Price[WTISPLC])</f>
        <v>68.03333333</v>
      </c>
      <c r="H54" s="225">
        <f>AVERAGEIF(West_Texas_Oil_Price[Year],B54,West_Texas_Oil_Price[WTISPLC])</f>
        <v>64.93833333</v>
      </c>
    </row>
    <row r="55">
      <c r="A55" s="216">
        <v>43221.0</v>
      </c>
      <c r="B55" s="217">
        <f t="shared" si="1"/>
        <v>2018</v>
      </c>
      <c r="C55" s="217">
        <f t="shared" si="4"/>
        <v>5</v>
      </c>
      <c r="D55" s="217">
        <f t="shared" si="2"/>
        <v>2</v>
      </c>
      <c r="E55" s="218" t="str">
        <f t="shared" si="3"/>
        <v>2Q 2018</v>
      </c>
      <c r="F55" s="218">
        <v>69.98</v>
      </c>
      <c r="G55" s="219">
        <f>AVERAGEIF(West_Texas_Oil_Price[Q&amp;Y],E55,West_Texas_Oil_Price[WTISPLC])</f>
        <v>68.03333333</v>
      </c>
      <c r="H55" s="220">
        <f>AVERAGEIF(West_Texas_Oil_Price[Year],B55,West_Texas_Oil_Price[WTISPLC])</f>
        <v>64.93833333</v>
      </c>
    </row>
    <row r="56">
      <c r="A56" s="221">
        <v>43252.0</v>
      </c>
      <c r="B56" s="222">
        <f t="shared" si="1"/>
        <v>2018</v>
      </c>
      <c r="C56" s="222">
        <f t="shared" si="4"/>
        <v>6</v>
      </c>
      <c r="D56" s="222">
        <f t="shared" si="2"/>
        <v>2</v>
      </c>
      <c r="E56" s="223" t="str">
        <f t="shared" si="3"/>
        <v>2Q 2018</v>
      </c>
      <c r="F56" s="223">
        <v>67.87</v>
      </c>
      <c r="G56" s="224">
        <f>AVERAGEIF(West_Texas_Oil_Price[Q&amp;Y],E56,West_Texas_Oil_Price[WTISPLC])</f>
        <v>68.03333333</v>
      </c>
      <c r="H56" s="225">
        <f>AVERAGEIF(West_Texas_Oil_Price[Year],B56,West_Texas_Oil_Price[WTISPLC])</f>
        <v>64.93833333</v>
      </c>
    </row>
    <row r="57">
      <c r="A57" s="216">
        <v>43282.0</v>
      </c>
      <c r="B57" s="217">
        <f t="shared" si="1"/>
        <v>2018</v>
      </c>
      <c r="C57" s="217">
        <f t="shared" si="4"/>
        <v>7</v>
      </c>
      <c r="D57" s="217">
        <f t="shared" si="2"/>
        <v>3</v>
      </c>
      <c r="E57" s="218" t="str">
        <f t="shared" si="3"/>
        <v>3Q 2018</v>
      </c>
      <c r="F57" s="218">
        <v>70.98</v>
      </c>
      <c r="G57" s="219">
        <f>AVERAGEIF(West_Texas_Oil_Price[Q&amp;Y],E57,West_Texas_Oil_Price[WTISPLC])</f>
        <v>69.75666667</v>
      </c>
      <c r="H57" s="220">
        <f>AVERAGEIF(West_Texas_Oil_Price[Year],B57,West_Texas_Oil_Price[WTISPLC])</f>
        <v>64.93833333</v>
      </c>
    </row>
    <row r="58">
      <c r="A58" s="221">
        <v>43313.0</v>
      </c>
      <c r="B58" s="222">
        <f t="shared" si="1"/>
        <v>2018</v>
      </c>
      <c r="C58" s="222">
        <f t="shared" si="4"/>
        <v>8</v>
      </c>
      <c r="D58" s="222">
        <f t="shared" si="2"/>
        <v>3</v>
      </c>
      <c r="E58" s="223" t="str">
        <f t="shared" si="3"/>
        <v>3Q 2018</v>
      </c>
      <c r="F58" s="223">
        <v>68.06</v>
      </c>
      <c r="G58" s="224">
        <f>AVERAGEIF(West_Texas_Oil_Price[Q&amp;Y],E58,West_Texas_Oil_Price[WTISPLC])</f>
        <v>69.75666667</v>
      </c>
      <c r="H58" s="225">
        <f>AVERAGEIF(West_Texas_Oil_Price[Year],B58,West_Texas_Oil_Price[WTISPLC])</f>
        <v>64.93833333</v>
      </c>
    </row>
    <row r="59">
      <c r="A59" s="216">
        <v>43344.0</v>
      </c>
      <c r="B59" s="217">
        <f t="shared" si="1"/>
        <v>2018</v>
      </c>
      <c r="C59" s="217">
        <f t="shared" si="4"/>
        <v>9</v>
      </c>
      <c r="D59" s="217">
        <f t="shared" si="2"/>
        <v>3</v>
      </c>
      <c r="E59" s="218" t="str">
        <f t="shared" si="3"/>
        <v>3Q 2018</v>
      </c>
      <c r="F59" s="218">
        <v>70.23</v>
      </c>
      <c r="G59" s="219">
        <f>AVERAGEIF(West_Texas_Oil_Price[Q&amp;Y],E59,West_Texas_Oil_Price[WTISPLC])</f>
        <v>69.75666667</v>
      </c>
      <c r="H59" s="220">
        <f>AVERAGEIF(West_Texas_Oil_Price[Year],B59,West_Texas_Oil_Price[WTISPLC])</f>
        <v>64.93833333</v>
      </c>
    </row>
    <row r="60">
      <c r="A60" s="221">
        <v>43374.0</v>
      </c>
      <c r="B60" s="222">
        <f t="shared" si="1"/>
        <v>2018</v>
      </c>
      <c r="C60" s="222">
        <f t="shared" si="4"/>
        <v>10</v>
      </c>
      <c r="D60" s="222">
        <f t="shared" si="2"/>
        <v>4</v>
      </c>
      <c r="E60" s="223" t="str">
        <f t="shared" si="3"/>
        <v>4Q 2018</v>
      </c>
      <c r="F60" s="223">
        <v>70.75</v>
      </c>
      <c r="G60" s="224">
        <f>AVERAGEIF(West_Texas_Oil_Price[Q&amp;Y],E60,West_Texas_Oil_Price[WTISPLC])</f>
        <v>59.07666667</v>
      </c>
      <c r="H60" s="225">
        <f>AVERAGEIF(West_Texas_Oil_Price[Year],B60,West_Texas_Oil_Price[WTISPLC])</f>
        <v>64.93833333</v>
      </c>
    </row>
    <row r="61">
      <c r="A61" s="216">
        <v>43405.0</v>
      </c>
      <c r="B61" s="217">
        <f t="shared" si="1"/>
        <v>2018</v>
      </c>
      <c r="C61" s="217">
        <f t="shared" si="4"/>
        <v>11</v>
      </c>
      <c r="D61" s="217">
        <f t="shared" si="2"/>
        <v>4</v>
      </c>
      <c r="E61" s="218" t="str">
        <f t="shared" si="3"/>
        <v>4Q 2018</v>
      </c>
      <c r="F61" s="218">
        <v>56.96</v>
      </c>
      <c r="G61" s="219">
        <f>AVERAGEIF(West_Texas_Oil_Price[Q&amp;Y],E61,West_Texas_Oil_Price[WTISPLC])</f>
        <v>59.07666667</v>
      </c>
      <c r="H61" s="220">
        <f>AVERAGEIF(West_Texas_Oil_Price[Year],B61,West_Texas_Oil_Price[WTISPLC])</f>
        <v>64.93833333</v>
      </c>
    </row>
    <row r="62">
      <c r="A62" s="221">
        <v>43435.0</v>
      </c>
      <c r="B62" s="222">
        <f t="shared" si="1"/>
        <v>2018</v>
      </c>
      <c r="C62" s="222">
        <f t="shared" si="4"/>
        <v>12</v>
      </c>
      <c r="D62" s="222">
        <f t="shared" si="2"/>
        <v>4</v>
      </c>
      <c r="E62" s="223" t="str">
        <f t="shared" si="3"/>
        <v>4Q 2018</v>
      </c>
      <c r="F62" s="223">
        <v>49.52</v>
      </c>
      <c r="G62" s="224">
        <f>AVERAGEIF(West_Texas_Oil_Price[Q&amp;Y],E62,West_Texas_Oil_Price[WTISPLC])</f>
        <v>59.07666667</v>
      </c>
      <c r="H62" s="225">
        <f>AVERAGEIF(West_Texas_Oil_Price[Year],B62,West_Texas_Oil_Price[WTISPLC])</f>
        <v>64.93833333</v>
      </c>
    </row>
    <row r="63">
      <c r="A63" s="216">
        <v>43466.0</v>
      </c>
      <c r="B63" s="217">
        <f t="shared" si="1"/>
        <v>2019</v>
      </c>
      <c r="C63" s="217">
        <f t="shared" si="4"/>
        <v>1</v>
      </c>
      <c r="D63" s="217">
        <f t="shared" si="2"/>
        <v>1</v>
      </c>
      <c r="E63" s="218" t="str">
        <f t="shared" si="3"/>
        <v>1Q 2019</v>
      </c>
      <c r="F63" s="218">
        <v>51.38</v>
      </c>
      <c r="G63" s="219">
        <f>AVERAGEIF(West_Texas_Oil_Price[Q&amp;Y],E63,West_Texas_Oil_Price[WTISPLC])</f>
        <v>54.82666667</v>
      </c>
      <c r="H63" s="220">
        <f>AVERAGEIF(West_Texas_Oil_Price[Year],B63,West_Texas_Oil_Price[WTISPLC])</f>
        <v>56.98416667</v>
      </c>
    </row>
    <row r="64">
      <c r="A64" s="221">
        <v>43497.0</v>
      </c>
      <c r="B64" s="222">
        <f t="shared" si="1"/>
        <v>2019</v>
      </c>
      <c r="C64" s="222">
        <f t="shared" si="4"/>
        <v>2</v>
      </c>
      <c r="D64" s="222">
        <f t="shared" si="2"/>
        <v>1</v>
      </c>
      <c r="E64" s="223" t="str">
        <f t="shared" si="3"/>
        <v>1Q 2019</v>
      </c>
      <c r="F64" s="223">
        <v>54.95</v>
      </c>
      <c r="G64" s="224">
        <f>AVERAGEIF(West_Texas_Oil_Price[Q&amp;Y],E64,West_Texas_Oil_Price[WTISPLC])</f>
        <v>54.82666667</v>
      </c>
      <c r="H64" s="225">
        <f>AVERAGEIF(West_Texas_Oil_Price[Year],B64,West_Texas_Oil_Price[WTISPLC])</f>
        <v>56.98416667</v>
      </c>
    </row>
    <row r="65">
      <c r="A65" s="216">
        <v>43525.0</v>
      </c>
      <c r="B65" s="217">
        <f t="shared" si="1"/>
        <v>2019</v>
      </c>
      <c r="C65" s="217">
        <f t="shared" si="4"/>
        <v>3</v>
      </c>
      <c r="D65" s="217">
        <f t="shared" si="2"/>
        <v>1</v>
      </c>
      <c r="E65" s="218" t="str">
        <f t="shared" si="3"/>
        <v>1Q 2019</v>
      </c>
      <c r="F65" s="218">
        <v>58.15</v>
      </c>
      <c r="G65" s="219">
        <f>AVERAGEIF(West_Texas_Oil_Price[Q&amp;Y],E65,West_Texas_Oil_Price[WTISPLC])</f>
        <v>54.82666667</v>
      </c>
      <c r="H65" s="220">
        <f>AVERAGEIF(West_Texas_Oil_Price[Year],B65,West_Texas_Oil_Price[WTISPLC])</f>
        <v>56.98416667</v>
      </c>
    </row>
    <row r="66">
      <c r="A66" s="221">
        <v>43556.0</v>
      </c>
      <c r="B66" s="222">
        <f t="shared" si="1"/>
        <v>2019</v>
      </c>
      <c r="C66" s="222">
        <f t="shared" si="4"/>
        <v>4</v>
      </c>
      <c r="D66" s="222">
        <f t="shared" si="2"/>
        <v>2</v>
      </c>
      <c r="E66" s="223" t="str">
        <f t="shared" si="3"/>
        <v>2Q 2019</v>
      </c>
      <c r="F66" s="223">
        <v>63.86</v>
      </c>
      <c r="G66" s="224">
        <f>AVERAGEIF(West_Texas_Oil_Price[Q&amp;Y],E66,West_Texas_Oil_Price[WTISPLC])</f>
        <v>59.78333333</v>
      </c>
      <c r="H66" s="225">
        <f>AVERAGEIF(West_Texas_Oil_Price[Year],B66,West_Texas_Oil_Price[WTISPLC])</f>
        <v>56.98416667</v>
      </c>
    </row>
    <row r="67">
      <c r="A67" s="216">
        <v>43586.0</v>
      </c>
      <c r="B67" s="217">
        <f t="shared" si="1"/>
        <v>2019</v>
      </c>
      <c r="C67" s="217">
        <f t="shared" si="4"/>
        <v>5</v>
      </c>
      <c r="D67" s="217">
        <f t="shared" si="2"/>
        <v>2</v>
      </c>
      <c r="E67" s="218" t="str">
        <f t="shared" si="3"/>
        <v>2Q 2019</v>
      </c>
      <c r="F67" s="218">
        <v>60.83</v>
      </c>
      <c r="G67" s="219">
        <f>AVERAGEIF(West_Texas_Oil_Price[Q&amp;Y],E67,West_Texas_Oil_Price[WTISPLC])</f>
        <v>59.78333333</v>
      </c>
      <c r="H67" s="220">
        <f>AVERAGEIF(West_Texas_Oil_Price[Year],B67,West_Texas_Oil_Price[WTISPLC])</f>
        <v>56.98416667</v>
      </c>
    </row>
    <row r="68">
      <c r="A68" s="221">
        <v>43617.0</v>
      </c>
      <c r="B68" s="222">
        <f t="shared" si="1"/>
        <v>2019</v>
      </c>
      <c r="C68" s="222">
        <f t="shared" si="4"/>
        <v>6</v>
      </c>
      <c r="D68" s="222">
        <f t="shared" si="2"/>
        <v>2</v>
      </c>
      <c r="E68" s="223" t="str">
        <f t="shared" si="3"/>
        <v>2Q 2019</v>
      </c>
      <c r="F68" s="223">
        <v>54.66</v>
      </c>
      <c r="G68" s="224">
        <f>AVERAGEIF(West_Texas_Oil_Price[Q&amp;Y],E68,West_Texas_Oil_Price[WTISPLC])</f>
        <v>59.78333333</v>
      </c>
      <c r="H68" s="225">
        <f>AVERAGEIF(West_Texas_Oil_Price[Year],B68,West_Texas_Oil_Price[WTISPLC])</f>
        <v>56.98416667</v>
      </c>
    </row>
    <row r="69">
      <c r="A69" s="216">
        <v>43647.0</v>
      </c>
      <c r="B69" s="217">
        <f t="shared" si="1"/>
        <v>2019</v>
      </c>
      <c r="C69" s="217">
        <f t="shared" si="4"/>
        <v>7</v>
      </c>
      <c r="D69" s="217">
        <f t="shared" si="2"/>
        <v>3</v>
      </c>
      <c r="E69" s="218" t="str">
        <f t="shared" si="3"/>
        <v>3Q 2019</v>
      </c>
      <c r="F69" s="218">
        <v>57.35</v>
      </c>
      <c r="G69" s="219">
        <f>AVERAGEIF(West_Texas_Oil_Price[Q&amp;Y],E69,West_Texas_Oil_Price[WTISPLC])</f>
        <v>56.37</v>
      </c>
      <c r="H69" s="220">
        <f>AVERAGEIF(West_Texas_Oil_Price[Year],B69,West_Texas_Oil_Price[WTISPLC])</f>
        <v>56.98416667</v>
      </c>
    </row>
    <row r="70">
      <c r="A70" s="221">
        <v>43678.0</v>
      </c>
      <c r="B70" s="222">
        <f t="shared" si="1"/>
        <v>2019</v>
      </c>
      <c r="C70" s="222">
        <f t="shared" si="4"/>
        <v>8</v>
      </c>
      <c r="D70" s="222">
        <f t="shared" si="2"/>
        <v>3</v>
      </c>
      <c r="E70" s="223" t="str">
        <f t="shared" si="3"/>
        <v>3Q 2019</v>
      </c>
      <c r="F70" s="223">
        <v>54.81</v>
      </c>
      <c r="G70" s="224">
        <f>AVERAGEIF(West_Texas_Oil_Price[Q&amp;Y],E70,West_Texas_Oil_Price[WTISPLC])</f>
        <v>56.37</v>
      </c>
      <c r="H70" s="225">
        <f>AVERAGEIF(West_Texas_Oil_Price[Year],B70,West_Texas_Oil_Price[WTISPLC])</f>
        <v>56.98416667</v>
      </c>
    </row>
    <row r="71">
      <c r="A71" s="216">
        <v>43709.0</v>
      </c>
      <c r="B71" s="217">
        <f t="shared" si="1"/>
        <v>2019</v>
      </c>
      <c r="C71" s="217">
        <f t="shared" si="4"/>
        <v>9</v>
      </c>
      <c r="D71" s="217">
        <f t="shared" si="2"/>
        <v>3</v>
      </c>
      <c r="E71" s="218" t="str">
        <f t="shared" si="3"/>
        <v>3Q 2019</v>
      </c>
      <c r="F71" s="218">
        <v>56.95</v>
      </c>
      <c r="G71" s="219">
        <f>AVERAGEIF(West_Texas_Oil_Price[Q&amp;Y],E71,West_Texas_Oil_Price[WTISPLC])</f>
        <v>56.37</v>
      </c>
      <c r="H71" s="220">
        <f>AVERAGEIF(West_Texas_Oil_Price[Year],B71,West_Texas_Oil_Price[WTISPLC])</f>
        <v>56.98416667</v>
      </c>
    </row>
    <row r="72">
      <c r="A72" s="221">
        <v>43739.0</v>
      </c>
      <c r="B72" s="222">
        <f t="shared" si="1"/>
        <v>2019</v>
      </c>
      <c r="C72" s="222">
        <f t="shared" si="4"/>
        <v>10</v>
      </c>
      <c r="D72" s="222">
        <f t="shared" si="2"/>
        <v>4</v>
      </c>
      <c r="E72" s="223" t="str">
        <f t="shared" si="3"/>
        <v>4Q 2019</v>
      </c>
      <c r="F72" s="223">
        <v>53.96</v>
      </c>
      <c r="G72" s="224">
        <f>AVERAGEIF(West_Texas_Oil_Price[Q&amp;Y],E72,West_Texas_Oil_Price[WTISPLC])</f>
        <v>56.95666667</v>
      </c>
      <c r="H72" s="225">
        <f>AVERAGEIF(West_Texas_Oil_Price[Year],B72,West_Texas_Oil_Price[WTISPLC])</f>
        <v>56.98416667</v>
      </c>
    </row>
    <row r="73">
      <c r="A73" s="216">
        <v>43770.0</v>
      </c>
      <c r="B73" s="217">
        <f t="shared" si="1"/>
        <v>2019</v>
      </c>
      <c r="C73" s="217">
        <f t="shared" si="4"/>
        <v>11</v>
      </c>
      <c r="D73" s="217">
        <f t="shared" si="2"/>
        <v>4</v>
      </c>
      <c r="E73" s="218" t="str">
        <f t="shared" si="3"/>
        <v>4Q 2019</v>
      </c>
      <c r="F73" s="218">
        <v>57.03</v>
      </c>
      <c r="G73" s="219">
        <f>AVERAGEIF(West_Texas_Oil_Price[Q&amp;Y],E73,West_Texas_Oil_Price[WTISPLC])</f>
        <v>56.95666667</v>
      </c>
      <c r="H73" s="220">
        <f>AVERAGEIF(West_Texas_Oil_Price[Year],B73,West_Texas_Oil_Price[WTISPLC])</f>
        <v>56.98416667</v>
      </c>
    </row>
    <row r="74">
      <c r="A74" s="221">
        <v>43800.0</v>
      </c>
      <c r="B74" s="222">
        <f t="shared" si="1"/>
        <v>2019</v>
      </c>
      <c r="C74" s="222">
        <f t="shared" si="4"/>
        <v>12</v>
      </c>
      <c r="D74" s="222">
        <f t="shared" si="2"/>
        <v>4</v>
      </c>
      <c r="E74" s="223" t="str">
        <f t="shared" si="3"/>
        <v>4Q 2019</v>
      </c>
      <c r="F74" s="223">
        <v>59.88</v>
      </c>
      <c r="G74" s="224">
        <f>AVERAGEIF(West_Texas_Oil_Price[Q&amp;Y],E74,West_Texas_Oil_Price[WTISPLC])</f>
        <v>56.95666667</v>
      </c>
      <c r="H74" s="225">
        <f>AVERAGEIF(West_Texas_Oil_Price[Year],B74,West_Texas_Oil_Price[WTISPLC])</f>
        <v>56.98416667</v>
      </c>
    </row>
    <row r="75">
      <c r="A75" s="216">
        <v>43831.0</v>
      </c>
      <c r="B75" s="217">
        <f t="shared" si="1"/>
        <v>2020</v>
      </c>
      <c r="C75" s="217">
        <f t="shared" si="4"/>
        <v>1</v>
      </c>
      <c r="D75" s="217">
        <f t="shared" si="2"/>
        <v>1</v>
      </c>
      <c r="E75" s="218" t="str">
        <f t="shared" si="3"/>
        <v>1Q 2020</v>
      </c>
      <c r="F75" s="218">
        <v>57.52</v>
      </c>
      <c r="G75" s="219">
        <f>AVERAGEIF(West_Texas_Oil_Price[Q&amp;Y],E75,West_Texas_Oil_Price[WTISPLC])</f>
        <v>45.75666667</v>
      </c>
      <c r="H75" s="220">
        <f>AVERAGEIF(West_Texas_Oil_Price[Year],B75,West_Texas_Oil_Price[WTISPLC])</f>
        <v>39.2275</v>
      </c>
    </row>
    <row r="76">
      <c r="A76" s="221">
        <v>43862.0</v>
      </c>
      <c r="B76" s="222">
        <f t="shared" si="1"/>
        <v>2020</v>
      </c>
      <c r="C76" s="222">
        <f t="shared" si="4"/>
        <v>2</v>
      </c>
      <c r="D76" s="222">
        <f t="shared" si="2"/>
        <v>1</v>
      </c>
      <c r="E76" s="223" t="str">
        <f t="shared" si="3"/>
        <v>1Q 2020</v>
      </c>
      <c r="F76" s="223">
        <v>50.54</v>
      </c>
      <c r="G76" s="224">
        <f>AVERAGEIF(West_Texas_Oil_Price[Q&amp;Y],E76,West_Texas_Oil_Price[WTISPLC])</f>
        <v>45.75666667</v>
      </c>
      <c r="H76" s="225">
        <f>AVERAGEIF(West_Texas_Oil_Price[Year],B76,West_Texas_Oil_Price[WTISPLC])</f>
        <v>39.2275</v>
      </c>
    </row>
    <row r="77">
      <c r="A77" s="216">
        <v>43891.0</v>
      </c>
      <c r="B77" s="217">
        <f t="shared" si="1"/>
        <v>2020</v>
      </c>
      <c r="C77" s="217">
        <f t="shared" si="4"/>
        <v>3</v>
      </c>
      <c r="D77" s="217">
        <f t="shared" si="2"/>
        <v>1</v>
      </c>
      <c r="E77" s="218" t="str">
        <f t="shared" si="3"/>
        <v>1Q 2020</v>
      </c>
      <c r="F77" s="218">
        <v>29.21</v>
      </c>
      <c r="G77" s="219">
        <f>AVERAGEIF(West_Texas_Oil_Price[Q&amp;Y],E77,West_Texas_Oil_Price[WTISPLC])</f>
        <v>45.75666667</v>
      </c>
      <c r="H77" s="220">
        <f>AVERAGEIF(West_Texas_Oil_Price[Year],B77,West_Texas_Oil_Price[WTISPLC])</f>
        <v>39.2275</v>
      </c>
    </row>
    <row r="78">
      <c r="A78" s="221">
        <v>43922.0</v>
      </c>
      <c r="B78" s="222">
        <f t="shared" si="1"/>
        <v>2020</v>
      </c>
      <c r="C78" s="222">
        <f t="shared" si="4"/>
        <v>4</v>
      </c>
      <c r="D78" s="222">
        <f t="shared" si="2"/>
        <v>2</v>
      </c>
      <c r="E78" s="223" t="str">
        <f t="shared" si="3"/>
        <v>2Q 2020</v>
      </c>
      <c r="F78" s="223">
        <v>16.55</v>
      </c>
      <c r="G78" s="224">
        <f>AVERAGEIF(West_Texas_Oil_Price[Q&amp;Y],E78,West_Texas_Oil_Price[WTISPLC])</f>
        <v>27.80666667</v>
      </c>
      <c r="H78" s="225">
        <f>AVERAGEIF(West_Texas_Oil_Price[Year],B78,West_Texas_Oil_Price[WTISPLC])</f>
        <v>39.2275</v>
      </c>
    </row>
    <row r="79">
      <c r="A79" s="216">
        <v>43952.0</v>
      </c>
      <c r="B79" s="217">
        <f t="shared" si="1"/>
        <v>2020</v>
      </c>
      <c r="C79" s="217">
        <f t="shared" si="4"/>
        <v>5</v>
      </c>
      <c r="D79" s="217">
        <f t="shared" si="2"/>
        <v>2</v>
      </c>
      <c r="E79" s="218" t="str">
        <f t="shared" si="3"/>
        <v>2Q 2020</v>
      </c>
      <c r="F79" s="218">
        <v>28.56</v>
      </c>
      <c r="G79" s="219">
        <f>AVERAGEIF(West_Texas_Oil_Price[Q&amp;Y],E79,West_Texas_Oil_Price[WTISPLC])</f>
        <v>27.80666667</v>
      </c>
      <c r="H79" s="220">
        <f>AVERAGEIF(West_Texas_Oil_Price[Year],B79,West_Texas_Oil_Price[WTISPLC])</f>
        <v>39.2275</v>
      </c>
    </row>
    <row r="80">
      <c r="A80" s="221">
        <v>43983.0</v>
      </c>
      <c r="B80" s="222">
        <f t="shared" si="1"/>
        <v>2020</v>
      </c>
      <c r="C80" s="222">
        <f t="shared" si="4"/>
        <v>6</v>
      </c>
      <c r="D80" s="222">
        <f t="shared" si="2"/>
        <v>2</v>
      </c>
      <c r="E80" s="223" t="str">
        <f t="shared" si="3"/>
        <v>2Q 2020</v>
      </c>
      <c r="F80" s="223">
        <v>38.31</v>
      </c>
      <c r="G80" s="224">
        <f>AVERAGEIF(West_Texas_Oil_Price[Q&amp;Y],E80,West_Texas_Oil_Price[WTISPLC])</f>
        <v>27.80666667</v>
      </c>
      <c r="H80" s="225">
        <f>AVERAGEIF(West_Texas_Oil_Price[Year],B80,West_Texas_Oil_Price[WTISPLC])</f>
        <v>39.2275</v>
      </c>
    </row>
    <row r="81">
      <c r="A81" s="216">
        <v>44013.0</v>
      </c>
      <c r="B81" s="217">
        <f t="shared" si="1"/>
        <v>2020</v>
      </c>
      <c r="C81" s="217">
        <f t="shared" si="4"/>
        <v>7</v>
      </c>
      <c r="D81" s="217">
        <f t="shared" si="2"/>
        <v>3</v>
      </c>
      <c r="E81" s="218" t="str">
        <f t="shared" si="3"/>
        <v>3Q 2020</v>
      </c>
      <c r="F81" s="218">
        <v>40.71</v>
      </c>
      <c r="G81" s="219">
        <f>AVERAGEIF(West_Texas_Oil_Price[Q&amp;Y],E81,West_Texas_Oil_Price[WTISPLC])</f>
        <v>40.89333333</v>
      </c>
      <c r="H81" s="220">
        <f>AVERAGEIF(West_Texas_Oil_Price[Year],B81,West_Texas_Oil_Price[WTISPLC])</f>
        <v>39.2275</v>
      </c>
    </row>
    <row r="82">
      <c r="A82" s="221">
        <v>44044.0</v>
      </c>
      <c r="B82" s="222">
        <f t="shared" si="1"/>
        <v>2020</v>
      </c>
      <c r="C82" s="222">
        <f t="shared" si="4"/>
        <v>8</v>
      </c>
      <c r="D82" s="222">
        <f t="shared" si="2"/>
        <v>3</v>
      </c>
      <c r="E82" s="223" t="str">
        <f t="shared" si="3"/>
        <v>3Q 2020</v>
      </c>
      <c r="F82" s="223">
        <v>42.34</v>
      </c>
      <c r="G82" s="224">
        <f>AVERAGEIF(West_Texas_Oil_Price[Q&amp;Y],E82,West_Texas_Oil_Price[WTISPLC])</f>
        <v>40.89333333</v>
      </c>
      <c r="H82" s="225">
        <f>AVERAGEIF(West_Texas_Oil_Price[Year],B82,West_Texas_Oil_Price[WTISPLC])</f>
        <v>39.2275</v>
      </c>
    </row>
    <row r="83">
      <c r="A83" s="216">
        <v>44075.0</v>
      </c>
      <c r="B83" s="217">
        <f t="shared" si="1"/>
        <v>2020</v>
      </c>
      <c r="C83" s="217">
        <f t="shared" si="4"/>
        <v>9</v>
      </c>
      <c r="D83" s="217">
        <f t="shared" si="2"/>
        <v>3</v>
      </c>
      <c r="E83" s="218" t="str">
        <f t="shared" si="3"/>
        <v>3Q 2020</v>
      </c>
      <c r="F83" s="218">
        <v>39.63</v>
      </c>
      <c r="G83" s="219">
        <f>AVERAGEIF(West_Texas_Oil_Price[Q&amp;Y],E83,West_Texas_Oil_Price[WTISPLC])</f>
        <v>40.89333333</v>
      </c>
      <c r="H83" s="220">
        <f>AVERAGEIF(West_Texas_Oil_Price[Year],B83,West_Texas_Oil_Price[WTISPLC])</f>
        <v>39.2275</v>
      </c>
    </row>
    <row r="84">
      <c r="A84" s="221">
        <v>44105.0</v>
      </c>
      <c r="B84" s="222">
        <f t="shared" si="1"/>
        <v>2020</v>
      </c>
      <c r="C84" s="222">
        <f t="shared" si="4"/>
        <v>10</v>
      </c>
      <c r="D84" s="222">
        <f t="shared" si="2"/>
        <v>4</v>
      </c>
      <c r="E84" s="223" t="str">
        <f t="shared" si="3"/>
        <v>4Q 2020</v>
      </c>
      <c r="F84" s="223">
        <v>39.4</v>
      </c>
      <c r="G84" s="224">
        <f>AVERAGEIF(West_Texas_Oil_Price[Q&amp;Y],E84,West_Texas_Oil_Price[WTISPLC])</f>
        <v>42.45333333</v>
      </c>
      <c r="H84" s="225">
        <f>AVERAGEIF(West_Texas_Oil_Price[Year],B84,West_Texas_Oil_Price[WTISPLC])</f>
        <v>39.2275</v>
      </c>
    </row>
    <row r="85">
      <c r="A85" s="216">
        <v>44136.0</v>
      </c>
      <c r="B85" s="217">
        <f t="shared" si="1"/>
        <v>2020</v>
      </c>
      <c r="C85" s="217">
        <f t="shared" si="4"/>
        <v>11</v>
      </c>
      <c r="D85" s="217">
        <f t="shared" si="2"/>
        <v>4</v>
      </c>
      <c r="E85" s="218" t="str">
        <f t="shared" si="3"/>
        <v>4Q 2020</v>
      </c>
      <c r="F85" s="218">
        <v>40.94</v>
      </c>
      <c r="G85" s="219">
        <f>AVERAGEIF(West_Texas_Oil_Price[Q&amp;Y],E85,West_Texas_Oil_Price[WTISPLC])</f>
        <v>42.45333333</v>
      </c>
      <c r="H85" s="220">
        <f>AVERAGEIF(West_Texas_Oil_Price[Year],B85,West_Texas_Oil_Price[WTISPLC])</f>
        <v>39.2275</v>
      </c>
    </row>
    <row r="86">
      <c r="A86" s="221">
        <v>44166.0</v>
      </c>
      <c r="B86" s="222">
        <f t="shared" si="1"/>
        <v>2020</v>
      </c>
      <c r="C86" s="222">
        <f t="shared" si="4"/>
        <v>12</v>
      </c>
      <c r="D86" s="222">
        <f t="shared" si="2"/>
        <v>4</v>
      </c>
      <c r="E86" s="223" t="str">
        <f t="shared" si="3"/>
        <v>4Q 2020</v>
      </c>
      <c r="F86" s="223">
        <v>47.02</v>
      </c>
      <c r="G86" s="224">
        <f>AVERAGEIF(West_Texas_Oil_Price[Q&amp;Y],E86,West_Texas_Oil_Price[WTISPLC])</f>
        <v>42.45333333</v>
      </c>
      <c r="H86" s="225">
        <f>AVERAGEIF(West_Texas_Oil_Price[Year],B86,West_Texas_Oil_Price[WTISPLC])</f>
        <v>39.2275</v>
      </c>
    </row>
    <row r="87">
      <c r="A87" s="216">
        <v>44197.0</v>
      </c>
      <c r="B87" s="217">
        <f t="shared" si="1"/>
        <v>2021</v>
      </c>
      <c r="C87" s="217">
        <f t="shared" si="4"/>
        <v>1</v>
      </c>
      <c r="D87" s="217">
        <f t="shared" si="2"/>
        <v>1</v>
      </c>
      <c r="E87" s="218" t="str">
        <f t="shared" si="3"/>
        <v>1Q 2021</v>
      </c>
      <c r="F87" s="218">
        <v>52.0</v>
      </c>
      <c r="G87" s="219">
        <f>AVERAGEIF(West_Texas_Oil_Price[Q&amp;Y],E87,West_Texas_Oil_Price[WTISPLC])</f>
        <v>57.79</v>
      </c>
      <c r="H87" s="220">
        <f>AVERAGEIF(West_Texas_Oil_Price[Year],B87,West_Texas_Oil_Price[WTISPLC])</f>
        <v>67.9875</v>
      </c>
    </row>
    <row r="88">
      <c r="A88" s="221">
        <v>44228.0</v>
      </c>
      <c r="B88" s="222">
        <f t="shared" si="1"/>
        <v>2021</v>
      </c>
      <c r="C88" s="222">
        <f t="shared" si="4"/>
        <v>2</v>
      </c>
      <c r="D88" s="222">
        <f t="shared" si="2"/>
        <v>1</v>
      </c>
      <c r="E88" s="223" t="str">
        <f t="shared" si="3"/>
        <v>1Q 2021</v>
      </c>
      <c r="F88" s="223">
        <v>59.04</v>
      </c>
      <c r="G88" s="224">
        <f>AVERAGEIF(West_Texas_Oil_Price[Q&amp;Y],E88,West_Texas_Oil_Price[WTISPLC])</f>
        <v>57.79</v>
      </c>
      <c r="H88" s="225">
        <f>AVERAGEIF(West_Texas_Oil_Price[Year],B88,West_Texas_Oil_Price[WTISPLC])</f>
        <v>67.9875</v>
      </c>
    </row>
    <row r="89">
      <c r="A89" s="216">
        <v>44256.0</v>
      </c>
      <c r="B89" s="217">
        <f t="shared" si="1"/>
        <v>2021</v>
      </c>
      <c r="C89" s="217">
        <f t="shared" si="4"/>
        <v>3</v>
      </c>
      <c r="D89" s="217">
        <f t="shared" si="2"/>
        <v>1</v>
      </c>
      <c r="E89" s="218" t="str">
        <f t="shared" si="3"/>
        <v>1Q 2021</v>
      </c>
      <c r="F89" s="218">
        <v>62.33</v>
      </c>
      <c r="G89" s="219">
        <f>AVERAGEIF(West_Texas_Oil_Price[Q&amp;Y],E89,West_Texas_Oil_Price[WTISPLC])</f>
        <v>57.79</v>
      </c>
      <c r="H89" s="220">
        <f>AVERAGEIF(West_Texas_Oil_Price[Year],B89,West_Texas_Oil_Price[WTISPLC])</f>
        <v>67.9875</v>
      </c>
    </row>
    <row r="90">
      <c r="A90" s="221">
        <v>44287.0</v>
      </c>
      <c r="B90" s="222">
        <f t="shared" si="1"/>
        <v>2021</v>
      </c>
      <c r="C90" s="222">
        <f t="shared" si="4"/>
        <v>4</v>
      </c>
      <c r="D90" s="222">
        <f t="shared" si="2"/>
        <v>2</v>
      </c>
      <c r="E90" s="223" t="str">
        <f t="shared" si="3"/>
        <v>2Q 2021</v>
      </c>
      <c r="F90" s="223">
        <v>61.72</v>
      </c>
      <c r="G90" s="224">
        <f>AVERAGEIF(West_Texas_Oil_Price[Q&amp;Y],E90,West_Texas_Oil_Price[WTISPLC])</f>
        <v>66.09</v>
      </c>
      <c r="H90" s="225">
        <f>AVERAGEIF(West_Texas_Oil_Price[Year],B90,West_Texas_Oil_Price[WTISPLC])</f>
        <v>67.9875</v>
      </c>
    </row>
    <row r="91">
      <c r="A91" s="216">
        <v>44317.0</v>
      </c>
      <c r="B91" s="217">
        <f t="shared" si="1"/>
        <v>2021</v>
      </c>
      <c r="C91" s="217">
        <f t="shared" si="4"/>
        <v>5</v>
      </c>
      <c r="D91" s="217">
        <f t="shared" si="2"/>
        <v>2</v>
      </c>
      <c r="E91" s="218" t="str">
        <f t="shared" si="3"/>
        <v>2Q 2021</v>
      </c>
      <c r="F91" s="218">
        <v>65.17</v>
      </c>
      <c r="G91" s="219">
        <f>AVERAGEIF(West_Texas_Oil_Price[Q&amp;Y],E91,West_Texas_Oil_Price[WTISPLC])</f>
        <v>66.09</v>
      </c>
      <c r="H91" s="220">
        <f>AVERAGEIF(West_Texas_Oil_Price[Year],B91,West_Texas_Oil_Price[WTISPLC])</f>
        <v>67.9875</v>
      </c>
    </row>
    <row r="92">
      <c r="A92" s="221">
        <v>44348.0</v>
      </c>
      <c r="B92" s="222">
        <f t="shared" si="1"/>
        <v>2021</v>
      </c>
      <c r="C92" s="222">
        <f t="shared" si="4"/>
        <v>6</v>
      </c>
      <c r="D92" s="222">
        <f t="shared" si="2"/>
        <v>2</v>
      </c>
      <c r="E92" s="223" t="str">
        <f t="shared" si="3"/>
        <v>2Q 2021</v>
      </c>
      <c r="F92" s="223">
        <v>71.38</v>
      </c>
      <c r="G92" s="224">
        <f>AVERAGEIF(West_Texas_Oil_Price[Q&amp;Y],E92,West_Texas_Oil_Price[WTISPLC])</f>
        <v>66.09</v>
      </c>
      <c r="H92" s="225">
        <f>AVERAGEIF(West_Texas_Oil_Price[Year],B92,West_Texas_Oil_Price[WTISPLC])</f>
        <v>67.9875</v>
      </c>
    </row>
    <row r="93">
      <c r="A93" s="216">
        <v>44378.0</v>
      </c>
      <c r="B93" s="217">
        <f t="shared" si="1"/>
        <v>2021</v>
      </c>
      <c r="C93" s="217">
        <f t="shared" si="4"/>
        <v>7</v>
      </c>
      <c r="D93" s="217">
        <f t="shared" si="2"/>
        <v>3</v>
      </c>
      <c r="E93" s="218" t="str">
        <f t="shared" si="3"/>
        <v>3Q 2021</v>
      </c>
      <c r="F93" s="218">
        <v>72.49</v>
      </c>
      <c r="G93" s="219">
        <f>AVERAGEIF(West_Texas_Oil_Price[Q&amp;Y],E93,West_Texas_Oil_Price[WTISPLC])</f>
        <v>70.62333333</v>
      </c>
      <c r="H93" s="220">
        <f>AVERAGEIF(West_Texas_Oil_Price[Year],B93,West_Texas_Oil_Price[WTISPLC])</f>
        <v>67.9875</v>
      </c>
    </row>
    <row r="94">
      <c r="A94" s="221">
        <v>44409.0</v>
      </c>
      <c r="B94" s="222">
        <f t="shared" si="1"/>
        <v>2021</v>
      </c>
      <c r="C94" s="222">
        <f t="shared" si="4"/>
        <v>8</v>
      </c>
      <c r="D94" s="222">
        <f t="shared" si="2"/>
        <v>3</v>
      </c>
      <c r="E94" s="223" t="str">
        <f t="shared" si="3"/>
        <v>3Q 2021</v>
      </c>
      <c r="F94" s="223">
        <v>67.73</v>
      </c>
      <c r="G94" s="224">
        <f>AVERAGEIF(West_Texas_Oil_Price[Q&amp;Y],E94,West_Texas_Oil_Price[WTISPLC])</f>
        <v>70.62333333</v>
      </c>
      <c r="H94" s="225">
        <f>AVERAGEIF(West_Texas_Oil_Price[Year],B94,West_Texas_Oil_Price[WTISPLC])</f>
        <v>67.9875</v>
      </c>
    </row>
    <row r="95">
      <c r="A95" s="216">
        <v>44440.0</v>
      </c>
      <c r="B95" s="217">
        <f t="shared" si="1"/>
        <v>2021</v>
      </c>
      <c r="C95" s="217">
        <f t="shared" si="4"/>
        <v>9</v>
      </c>
      <c r="D95" s="217">
        <f t="shared" si="2"/>
        <v>3</v>
      </c>
      <c r="E95" s="218" t="str">
        <f t="shared" si="3"/>
        <v>3Q 2021</v>
      </c>
      <c r="F95" s="218">
        <v>71.65</v>
      </c>
      <c r="G95" s="219">
        <f>AVERAGEIF(West_Texas_Oil_Price[Q&amp;Y],E95,West_Texas_Oil_Price[WTISPLC])</f>
        <v>70.62333333</v>
      </c>
      <c r="H95" s="220">
        <f>AVERAGEIF(West_Texas_Oil_Price[Year],B95,West_Texas_Oil_Price[WTISPLC])</f>
        <v>67.9875</v>
      </c>
    </row>
    <row r="96">
      <c r="A96" s="221">
        <v>44470.0</v>
      </c>
      <c r="B96" s="222">
        <f t="shared" si="1"/>
        <v>2021</v>
      </c>
      <c r="C96" s="222">
        <f t="shared" si="4"/>
        <v>10</v>
      </c>
      <c r="D96" s="222">
        <f t="shared" si="2"/>
        <v>4</v>
      </c>
      <c r="E96" s="223" t="str">
        <f t="shared" si="3"/>
        <v>4Q 2021</v>
      </c>
      <c r="F96" s="223">
        <v>81.48</v>
      </c>
      <c r="G96" s="224">
        <f>AVERAGEIF(West_Texas_Oil_Price[Q&amp;Y],E96,West_Texas_Oil_Price[WTISPLC])</f>
        <v>77.44666667</v>
      </c>
      <c r="H96" s="225">
        <f>AVERAGEIF(West_Texas_Oil_Price[Year],B96,West_Texas_Oil_Price[WTISPLC])</f>
        <v>67.9875</v>
      </c>
    </row>
    <row r="97">
      <c r="A97" s="216">
        <v>44501.0</v>
      </c>
      <c r="B97" s="217">
        <f t="shared" si="1"/>
        <v>2021</v>
      </c>
      <c r="C97" s="217">
        <f t="shared" si="4"/>
        <v>11</v>
      </c>
      <c r="D97" s="217">
        <f t="shared" si="2"/>
        <v>4</v>
      </c>
      <c r="E97" s="218" t="str">
        <f t="shared" si="3"/>
        <v>4Q 2021</v>
      </c>
      <c r="F97" s="218">
        <v>79.15</v>
      </c>
      <c r="G97" s="219">
        <f>AVERAGEIF(West_Texas_Oil_Price[Q&amp;Y],E97,West_Texas_Oil_Price[WTISPLC])</f>
        <v>77.44666667</v>
      </c>
      <c r="H97" s="220">
        <f>AVERAGEIF(West_Texas_Oil_Price[Year],B97,West_Texas_Oil_Price[WTISPLC])</f>
        <v>67.9875</v>
      </c>
    </row>
    <row r="98">
      <c r="A98" s="221">
        <v>44531.0</v>
      </c>
      <c r="B98" s="222">
        <f t="shared" si="1"/>
        <v>2021</v>
      </c>
      <c r="C98" s="222">
        <f t="shared" si="4"/>
        <v>12</v>
      </c>
      <c r="D98" s="222">
        <f t="shared" si="2"/>
        <v>4</v>
      </c>
      <c r="E98" s="223" t="str">
        <f t="shared" si="3"/>
        <v>4Q 2021</v>
      </c>
      <c r="F98" s="223">
        <v>71.71</v>
      </c>
      <c r="G98" s="224">
        <f>AVERAGEIF(West_Texas_Oil_Price[Q&amp;Y],E98,West_Texas_Oil_Price[WTISPLC])</f>
        <v>77.44666667</v>
      </c>
      <c r="H98" s="225">
        <f>AVERAGEIF(West_Texas_Oil_Price[Year],B98,West_Texas_Oil_Price[WTISPLC])</f>
        <v>67.9875</v>
      </c>
    </row>
    <row r="99">
      <c r="A99" s="216">
        <v>44562.0</v>
      </c>
      <c r="B99" s="217">
        <f t="shared" si="1"/>
        <v>2022</v>
      </c>
      <c r="C99" s="217">
        <f t="shared" si="4"/>
        <v>1</v>
      </c>
      <c r="D99" s="217">
        <f t="shared" si="2"/>
        <v>1</v>
      </c>
      <c r="E99" s="218" t="str">
        <f t="shared" si="3"/>
        <v>1Q 2022</v>
      </c>
      <c r="F99" s="218">
        <v>83.22</v>
      </c>
      <c r="G99" s="219">
        <f>AVERAGEIF(West_Texas_Oil_Price[Q&amp;Y],E99,West_Texas_Oil_Price[WTISPLC])</f>
        <v>94.45333333</v>
      </c>
      <c r="H99" s="220">
        <f>AVERAGEIF(West_Texas_Oil_Price[Year],B99,West_Texas_Oil_Price[WTISPLC])</f>
        <v>94.78666667</v>
      </c>
    </row>
    <row r="100">
      <c r="A100" s="221">
        <v>44593.0</v>
      </c>
      <c r="B100" s="222">
        <f t="shared" si="1"/>
        <v>2022</v>
      </c>
      <c r="C100" s="222">
        <f t="shared" si="4"/>
        <v>2</v>
      </c>
      <c r="D100" s="222">
        <f t="shared" si="2"/>
        <v>1</v>
      </c>
      <c r="E100" s="223" t="str">
        <f t="shared" si="3"/>
        <v>1Q 2022</v>
      </c>
      <c r="F100" s="223">
        <v>91.64</v>
      </c>
      <c r="G100" s="224">
        <f>AVERAGEIF(West_Texas_Oil_Price[Q&amp;Y],E100,West_Texas_Oil_Price[WTISPLC])</f>
        <v>94.45333333</v>
      </c>
      <c r="H100" s="225">
        <f>AVERAGEIF(West_Texas_Oil_Price[Year],B100,West_Texas_Oil_Price[WTISPLC])</f>
        <v>94.78666667</v>
      </c>
    </row>
    <row r="101">
      <c r="A101" s="216">
        <v>44621.0</v>
      </c>
      <c r="B101" s="217">
        <f t="shared" si="1"/>
        <v>2022</v>
      </c>
      <c r="C101" s="217">
        <f t="shared" si="4"/>
        <v>3</v>
      </c>
      <c r="D101" s="217">
        <f t="shared" si="2"/>
        <v>1</v>
      </c>
      <c r="E101" s="218" t="str">
        <f t="shared" si="3"/>
        <v>1Q 2022</v>
      </c>
      <c r="F101" s="218">
        <v>108.5</v>
      </c>
      <c r="G101" s="219">
        <f>AVERAGEIF(West_Texas_Oil_Price[Q&amp;Y],E101,West_Texas_Oil_Price[WTISPLC])</f>
        <v>94.45333333</v>
      </c>
      <c r="H101" s="220">
        <f>AVERAGEIF(West_Texas_Oil_Price[Year],B101,West_Texas_Oil_Price[WTISPLC])</f>
        <v>94.78666667</v>
      </c>
    </row>
    <row r="102">
      <c r="A102" s="221">
        <v>44652.0</v>
      </c>
      <c r="B102" s="222">
        <f t="shared" si="1"/>
        <v>2022</v>
      </c>
      <c r="C102" s="222">
        <f t="shared" si="4"/>
        <v>4</v>
      </c>
      <c r="D102" s="222">
        <f t="shared" si="2"/>
        <v>2</v>
      </c>
      <c r="E102" s="223" t="str">
        <f t="shared" si="3"/>
        <v>2Q 2022</v>
      </c>
      <c r="F102" s="223">
        <v>101.78</v>
      </c>
      <c r="G102" s="224">
        <f>AVERAGEIF(West_Texas_Oil_Price[Q&amp;Y],E102,West_Texas_Oil_Price[WTISPLC])</f>
        <v>108.7233333</v>
      </c>
      <c r="H102" s="225">
        <f>AVERAGEIF(West_Texas_Oil_Price[Year],B102,West_Texas_Oil_Price[WTISPLC])</f>
        <v>94.78666667</v>
      </c>
    </row>
    <row r="103">
      <c r="A103" s="216">
        <v>44682.0</v>
      </c>
      <c r="B103" s="217">
        <f t="shared" si="1"/>
        <v>2022</v>
      </c>
      <c r="C103" s="217">
        <f t="shared" si="4"/>
        <v>5</v>
      </c>
      <c r="D103" s="217">
        <f t="shared" si="2"/>
        <v>2</v>
      </c>
      <c r="E103" s="218" t="str">
        <f t="shared" si="3"/>
        <v>2Q 2022</v>
      </c>
      <c r="F103" s="218">
        <v>109.55</v>
      </c>
      <c r="G103" s="219">
        <f>AVERAGEIF(West_Texas_Oil_Price[Q&amp;Y],E103,West_Texas_Oil_Price[WTISPLC])</f>
        <v>108.7233333</v>
      </c>
      <c r="H103" s="220">
        <f>AVERAGEIF(West_Texas_Oil_Price[Year],B103,West_Texas_Oil_Price[WTISPLC])</f>
        <v>94.78666667</v>
      </c>
    </row>
    <row r="104">
      <c r="A104" s="221">
        <v>44713.0</v>
      </c>
      <c r="B104" s="222">
        <f t="shared" si="1"/>
        <v>2022</v>
      </c>
      <c r="C104" s="222">
        <f t="shared" si="4"/>
        <v>6</v>
      </c>
      <c r="D104" s="222">
        <f t="shared" si="2"/>
        <v>2</v>
      </c>
      <c r="E104" s="223" t="str">
        <f t="shared" si="3"/>
        <v>2Q 2022</v>
      </c>
      <c r="F104" s="223">
        <v>114.84</v>
      </c>
      <c r="G104" s="224">
        <f>AVERAGEIF(West_Texas_Oil_Price[Q&amp;Y],E104,West_Texas_Oil_Price[WTISPLC])</f>
        <v>108.7233333</v>
      </c>
      <c r="H104" s="225">
        <f>AVERAGEIF(West_Texas_Oil_Price[Year],B104,West_Texas_Oil_Price[WTISPLC])</f>
        <v>94.78666667</v>
      </c>
    </row>
    <row r="105">
      <c r="A105" s="216">
        <v>44743.0</v>
      </c>
      <c r="B105" s="217">
        <f t="shared" si="1"/>
        <v>2022</v>
      </c>
      <c r="C105" s="217">
        <f t="shared" si="4"/>
        <v>7</v>
      </c>
      <c r="D105" s="217">
        <f t="shared" si="2"/>
        <v>3</v>
      </c>
      <c r="E105" s="218" t="str">
        <f t="shared" si="3"/>
        <v>3Q 2022</v>
      </c>
      <c r="F105" s="218">
        <v>101.62</v>
      </c>
      <c r="G105" s="219">
        <f>AVERAGEIF(West_Texas_Oil_Price[Q&amp;Y],E105,West_Texas_Oil_Price[WTISPLC])</f>
        <v>93.18333333</v>
      </c>
      <c r="H105" s="220">
        <f>AVERAGEIF(West_Texas_Oil_Price[Year],B105,West_Texas_Oil_Price[WTISPLC])</f>
        <v>94.78666667</v>
      </c>
    </row>
    <row r="106">
      <c r="A106" s="221">
        <v>44774.0</v>
      </c>
      <c r="B106" s="222">
        <f t="shared" si="1"/>
        <v>2022</v>
      </c>
      <c r="C106" s="222">
        <f t="shared" si="4"/>
        <v>8</v>
      </c>
      <c r="D106" s="222">
        <f t="shared" si="2"/>
        <v>3</v>
      </c>
      <c r="E106" s="223" t="str">
        <f t="shared" si="3"/>
        <v>3Q 2022</v>
      </c>
      <c r="F106" s="223">
        <v>93.67</v>
      </c>
      <c r="G106" s="224">
        <f>AVERAGEIF(West_Texas_Oil_Price[Q&amp;Y],E106,West_Texas_Oil_Price[WTISPLC])</f>
        <v>93.18333333</v>
      </c>
      <c r="H106" s="225">
        <f>AVERAGEIF(West_Texas_Oil_Price[Year],B106,West_Texas_Oil_Price[WTISPLC])</f>
        <v>94.78666667</v>
      </c>
    </row>
    <row r="107">
      <c r="A107" s="216">
        <v>44805.0</v>
      </c>
      <c r="B107" s="217">
        <f t="shared" si="1"/>
        <v>2022</v>
      </c>
      <c r="C107" s="217">
        <f t="shared" si="4"/>
        <v>9</v>
      </c>
      <c r="D107" s="217">
        <f t="shared" si="2"/>
        <v>3</v>
      </c>
      <c r="E107" s="218" t="str">
        <f t="shared" si="3"/>
        <v>3Q 2022</v>
      </c>
      <c r="F107" s="218">
        <v>84.26</v>
      </c>
      <c r="G107" s="219">
        <f>AVERAGEIF(West_Texas_Oil_Price[Q&amp;Y],E107,West_Texas_Oil_Price[WTISPLC])</f>
        <v>93.18333333</v>
      </c>
      <c r="H107" s="220">
        <f>AVERAGEIF(West_Texas_Oil_Price[Year],B107,West_Texas_Oil_Price[WTISPLC])</f>
        <v>94.78666667</v>
      </c>
    </row>
    <row r="108">
      <c r="A108" s="221">
        <v>44835.0</v>
      </c>
      <c r="B108" s="222">
        <f t="shared" si="1"/>
        <v>2022</v>
      </c>
      <c r="C108" s="222">
        <f t="shared" si="4"/>
        <v>10</v>
      </c>
      <c r="D108" s="222">
        <f t="shared" si="2"/>
        <v>4</v>
      </c>
      <c r="E108" s="223" t="str">
        <f t="shared" si="3"/>
        <v>4Q 2022</v>
      </c>
      <c r="F108" s="223">
        <v>87.55</v>
      </c>
      <c r="G108" s="224">
        <f>AVERAGEIF(West_Texas_Oil_Price[Q&amp;Y],E108,West_Texas_Oil_Price[WTISPLC])</f>
        <v>82.78666667</v>
      </c>
      <c r="H108" s="225">
        <f>AVERAGEIF(West_Texas_Oil_Price[Year],B108,West_Texas_Oil_Price[WTISPLC])</f>
        <v>94.78666667</v>
      </c>
    </row>
    <row r="109">
      <c r="A109" s="216">
        <v>44866.0</v>
      </c>
      <c r="B109" s="217">
        <f t="shared" si="1"/>
        <v>2022</v>
      </c>
      <c r="C109" s="217">
        <f t="shared" si="4"/>
        <v>11</v>
      </c>
      <c r="D109" s="217">
        <f t="shared" si="2"/>
        <v>4</v>
      </c>
      <c r="E109" s="218" t="str">
        <f t="shared" si="3"/>
        <v>4Q 2022</v>
      </c>
      <c r="F109" s="218">
        <v>84.37</v>
      </c>
      <c r="G109" s="219">
        <f>AVERAGEIF(West_Texas_Oil_Price[Q&amp;Y],E109,West_Texas_Oil_Price[WTISPLC])</f>
        <v>82.78666667</v>
      </c>
      <c r="H109" s="220">
        <f>AVERAGEIF(West_Texas_Oil_Price[Year],B109,West_Texas_Oil_Price[WTISPLC])</f>
        <v>94.78666667</v>
      </c>
    </row>
    <row r="110">
      <c r="A110" s="221">
        <v>44896.0</v>
      </c>
      <c r="B110" s="222">
        <f t="shared" si="1"/>
        <v>2022</v>
      </c>
      <c r="C110" s="222">
        <f t="shared" si="4"/>
        <v>12</v>
      </c>
      <c r="D110" s="222">
        <f t="shared" si="2"/>
        <v>4</v>
      </c>
      <c r="E110" s="223" t="str">
        <f t="shared" si="3"/>
        <v>4Q 2022</v>
      </c>
      <c r="F110" s="223">
        <v>76.44</v>
      </c>
      <c r="G110" s="224">
        <f>AVERAGEIF(West_Texas_Oil_Price[Q&amp;Y],E110,West_Texas_Oil_Price[WTISPLC])</f>
        <v>82.78666667</v>
      </c>
      <c r="H110" s="225">
        <f>AVERAGEIF(West_Texas_Oil_Price[Year],B110,West_Texas_Oil_Price[WTISPLC])</f>
        <v>94.78666667</v>
      </c>
    </row>
    <row r="111">
      <c r="A111" s="216">
        <v>44927.0</v>
      </c>
      <c r="B111" s="217">
        <f t="shared" si="1"/>
        <v>2023</v>
      </c>
      <c r="C111" s="217">
        <f t="shared" si="4"/>
        <v>1</v>
      </c>
      <c r="D111" s="217">
        <f t="shared" si="2"/>
        <v>1</v>
      </c>
      <c r="E111" s="218" t="str">
        <f t="shared" si="3"/>
        <v>1Q 2023</v>
      </c>
      <c r="F111" s="218">
        <v>78.12</v>
      </c>
      <c r="G111" s="219">
        <f>AVERAGEIF(West_Texas_Oil_Price[Q&amp;Y],E111,West_Texas_Oil_Price[WTISPLC])</f>
        <v>76.07666667</v>
      </c>
      <c r="H111" s="220">
        <f>AVERAGEIF(West_Texas_Oil_Price[Year],B111,West_Texas_Oil_Price[WTISPLC])</f>
        <v>77.63583333</v>
      </c>
    </row>
    <row r="112">
      <c r="A112" s="221">
        <v>44958.0</v>
      </c>
      <c r="B112" s="222">
        <f t="shared" si="1"/>
        <v>2023</v>
      </c>
      <c r="C112" s="222">
        <f t="shared" si="4"/>
        <v>2</v>
      </c>
      <c r="D112" s="222">
        <f t="shared" si="2"/>
        <v>1</v>
      </c>
      <c r="E112" s="223" t="str">
        <f t="shared" si="3"/>
        <v>1Q 2023</v>
      </c>
      <c r="F112" s="223">
        <v>76.83</v>
      </c>
      <c r="G112" s="224">
        <f>AVERAGEIF(West_Texas_Oil_Price[Q&amp;Y],E112,West_Texas_Oil_Price[WTISPLC])</f>
        <v>76.07666667</v>
      </c>
      <c r="H112" s="225">
        <f>AVERAGEIF(West_Texas_Oil_Price[Year],B112,West_Texas_Oil_Price[WTISPLC])</f>
        <v>77.63583333</v>
      </c>
    </row>
    <row r="113">
      <c r="A113" s="216">
        <v>44986.0</v>
      </c>
      <c r="B113" s="217">
        <f t="shared" si="1"/>
        <v>2023</v>
      </c>
      <c r="C113" s="217">
        <f t="shared" si="4"/>
        <v>3</v>
      </c>
      <c r="D113" s="217">
        <f t="shared" si="2"/>
        <v>1</v>
      </c>
      <c r="E113" s="218" t="str">
        <f t="shared" si="3"/>
        <v>1Q 2023</v>
      </c>
      <c r="F113" s="218">
        <v>73.28</v>
      </c>
      <c r="G113" s="219">
        <f>AVERAGEIF(West_Texas_Oil_Price[Q&amp;Y],E113,West_Texas_Oil_Price[WTISPLC])</f>
        <v>76.07666667</v>
      </c>
      <c r="H113" s="220">
        <f>AVERAGEIF(West_Texas_Oil_Price[Year],B113,West_Texas_Oil_Price[WTISPLC])</f>
        <v>77.63583333</v>
      </c>
    </row>
    <row r="114">
      <c r="A114" s="221">
        <v>45017.0</v>
      </c>
      <c r="B114" s="222">
        <f t="shared" si="1"/>
        <v>2023</v>
      </c>
      <c r="C114" s="222">
        <f t="shared" si="4"/>
        <v>4</v>
      </c>
      <c r="D114" s="222">
        <f t="shared" si="2"/>
        <v>2</v>
      </c>
      <c r="E114" s="223" t="str">
        <f t="shared" si="3"/>
        <v>2Q 2023</v>
      </c>
      <c r="F114" s="223">
        <v>79.45</v>
      </c>
      <c r="G114" s="224">
        <f>AVERAGEIF(West_Texas_Oil_Price[Q&amp;Y],E114,West_Texas_Oil_Price[WTISPLC])</f>
        <v>73.76</v>
      </c>
      <c r="H114" s="225">
        <f>AVERAGEIF(West_Texas_Oil_Price[Year],B114,West_Texas_Oil_Price[WTISPLC])</f>
        <v>77.63583333</v>
      </c>
    </row>
    <row r="115">
      <c r="A115" s="216">
        <v>45047.0</v>
      </c>
      <c r="B115" s="217">
        <f t="shared" si="1"/>
        <v>2023</v>
      </c>
      <c r="C115" s="217">
        <f t="shared" si="4"/>
        <v>5</v>
      </c>
      <c r="D115" s="217">
        <f t="shared" si="2"/>
        <v>2</v>
      </c>
      <c r="E115" s="218" t="str">
        <f t="shared" si="3"/>
        <v>2Q 2023</v>
      </c>
      <c r="F115" s="218">
        <v>71.58</v>
      </c>
      <c r="G115" s="219">
        <f>AVERAGEIF(West_Texas_Oil_Price[Q&amp;Y],E115,West_Texas_Oil_Price[WTISPLC])</f>
        <v>73.76</v>
      </c>
      <c r="H115" s="220">
        <f>AVERAGEIF(West_Texas_Oil_Price[Year],B115,West_Texas_Oil_Price[WTISPLC])</f>
        <v>77.63583333</v>
      </c>
    </row>
    <row r="116">
      <c r="A116" s="221">
        <v>45078.0</v>
      </c>
      <c r="B116" s="222">
        <f t="shared" si="1"/>
        <v>2023</v>
      </c>
      <c r="C116" s="222">
        <f t="shared" si="4"/>
        <v>6</v>
      </c>
      <c r="D116" s="222">
        <f t="shared" si="2"/>
        <v>2</v>
      </c>
      <c r="E116" s="223" t="str">
        <f t="shared" si="3"/>
        <v>2Q 2023</v>
      </c>
      <c r="F116" s="223">
        <v>70.25</v>
      </c>
      <c r="G116" s="224">
        <f>AVERAGEIF(West_Texas_Oil_Price[Q&amp;Y],E116,West_Texas_Oil_Price[WTISPLC])</f>
        <v>73.76</v>
      </c>
      <c r="H116" s="225">
        <f>AVERAGEIF(West_Texas_Oil_Price[Year],B116,West_Texas_Oil_Price[WTISPLC])</f>
        <v>77.63583333</v>
      </c>
    </row>
    <row r="117">
      <c r="A117" s="216">
        <v>45108.0</v>
      </c>
      <c r="B117" s="217">
        <f t="shared" si="1"/>
        <v>2023</v>
      </c>
      <c r="C117" s="217">
        <f t="shared" si="4"/>
        <v>7</v>
      </c>
      <c r="D117" s="217">
        <f t="shared" si="2"/>
        <v>3</v>
      </c>
      <c r="E117" s="218" t="str">
        <f t="shared" si="3"/>
        <v>3Q 2023</v>
      </c>
      <c r="F117" s="218">
        <v>76.07</v>
      </c>
      <c r="G117" s="219">
        <f>AVERAGEIF(West_Texas_Oil_Price[Q&amp;Y],E117,West_Texas_Oil_Price[WTISPLC])</f>
        <v>82.29666667</v>
      </c>
      <c r="H117" s="220">
        <f>AVERAGEIF(West_Texas_Oil_Price[Year],B117,West_Texas_Oil_Price[WTISPLC])</f>
        <v>77.63583333</v>
      </c>
    </row>
    <row r="118">
      <c r="A118" s="221">
        <v>45139.0</v>
      </c>
      <c r="B118" s="222">
        <f t="shared" si="1"/>
        <v>2023</v>
      </c>
      <c r="C118" s="222">
        <f t="shared" si="4"/>
        <v>8</v>
      </c>
      <c r="D118" s="222">
        <f t="shared" si="2"/>
        <v>3</v>
      </c>
      <c r="E118" s="223" t="str">
        <f t="shared" si="3"/>
        <v>3Q 2023</v>
      </c>
      <c r="F118" s="223">
        <v>81.39</v>
      </c>
      <c r="G118" s="224">
        <f>AVERAGEIF(West_Texas_Oil_Price[Q&amp;Y],E118,West_Texas_Oil_Price[WTISPLC])</f>
        <v>82.29666667</v>
      </c>
      <c r="H118" s="225">
        <f>AVERAGEIF(West_Texas_Oil_Price[Year],B118,West_Texas_Oil_Price[WTISPLC])</f>
        <v>77.63583333</v>
      </c>
    </row>
    <row r="119">
      <c r="A119" s="216">
        <v>45170.0</v>
      </c>
      <c r="B119" s="217">
        <f t="shared" si="1"/>
        <v>2023</v>
      </c>
      <c r="C119" s="217">
        <f t="shared" si="4"/>
        <v>9</v>
      </c>
      <c r="D119" s="217">
        <f t="shared" si="2"/>
        <v>3</v>
      </c>
      <c r="E119" s="218" t="str">
        <f t="shared" si="3"/>
        <v>3Q 2023</v>
      </c>
      <c r="F119" s="218">
        <v>89.43</v>
      </c>
      <c r="G119" s="219">
        <f>AVERAGEIF(West_Texas_Oil_Price[Q&amp;Y],E119,West_Texas_Oil_Price[WTISPLC])</f>
        <v>82.29666667</v>
      </c>
      <c r="H119" s="220">
        <f>AVERAGEIF(West_Texas_Oil_Price[Year],B119,West_Texas_Oil_Price[WTISPLC])</f>
        <v>77.63583333</v>
      </c>
    </row>
    <row r="120">
      <c r="A120" s="221">
        <v>45200.0</v>
      </c>
      <c r="B120" s="222">
        <f t="shared" si="1"/>
        <v>2023</v>
      </c>
      <c r="C120" s="222">
        <f t="shared" si="4"/>
        <v>10</v>
      </c>
      <c r="D120" s="222">
        <f t="shared" si="2"/>
        <v>4</v>
      </c>
      <c r="E120" s="223" t="str">
        <f t="shared" si="3"/>
        <v>4Q 2023</v>
      </c>
      <c r="F120" s="223">
        <v>85.64</v>
      </c>
      <c r="G120" s="224">
        <f>AVERAGEIF(West_Texas_Oil_Price[Q&amp;Y],E120,West_Texas_Oil_Price[WTISPLC])</f>
        <v>78.41</v>
      </c>
      <c r="H120" s="225">
        <f>AVERAGEIF(West_Texas_Oil_Price[Year],B120,West_Texas_Oil_Price[WTISPLC])</f>
        <v>77.63583333</v>
      </c>
    </row>
    <row r="121">
      <c r="A121" s="216">
        <v>45231.0</v>
      </c>
      <c r="B121" s="217">
        <f t="shared" si="1"/>
        <v>2023</v>
      </c>
      <c r="C121" s="217">
        <f t="shared" si="4"/>
        <v>11</v>
      </c>
      <c r="D121" s="217">
        <f t="shared" si="2"/>
        <v>4</v>
      </c>
      <c r="E121" s="218" t="str">
        <f t="shared" si="3"/>
        <v>4Q 2023</v>
      </c>
      <c r="F121" s="218">
        <v>77.69</v>
      </c>
      <c r="G121" s="219">
        <f>AVERAGEIF(West_Texas_Oil_Price[Q&amp;Y],E121,West_Texas_Oil_Price[WTISPLC])</f>
        <v>78.41</v>
      </c>
      <c r="H121" s="220">
        <f>AVERAGEIF(West_Texas_Oil_Price[Year],B121,West_Texas_Oil_Price[WTISPLC])</f>
        <v>77.63583333</v>
      </c>
    </row>
    <row r="122">
      <c r="A122" s="221">
        <v>45261.0</v>
      </c>
      <c r="B122" s="222">
        <f t="shared" si="1"/>
        <v>2023</v>
      </c>
      <c r="C122" s="222">
        <f t="shared" si="4"/>
        <v>12</v>
      </c>
      <c r="D122" s="222">
        <f t="shared" si="2"/>
        <v>4</v>
      </c>
      <c r="E122" s="223" t="str">
        <f t="shared" si="3"/>
        <v>4Q 2023</v>
      </c>
      <c r="F122" s="223">
        <v>71.9</v>
      </c>
      <c r="G122" s="224">
        <f>AVERAGEIF(West_Texas_Oil_Price[Q&amp;Y],E122,West_Texas_Oil_Price[WTISPLC])</f>
        <v>78.41</v>
      </c>
      <c r="H122" s="225">
        <f>AVERAGEIF(West_Texas_Oil_Price[Year],B122,West_Texas_Oil_Price[WTISPLC])</f>
        <v>77.63583333</v>
      </c>
    </row>
    <row r="123">
      <c r="A123" s="216">
        <v>45292.0</v>
      </c>
      <c r="B123" s="217">
        <f t="shared" si="1"/>
        <v>2024</v>
      </c>
      <c r="C123" s="217">
        <f t="shared" si="4"/>
        <v>1</v>
      </c>
      <c r="D123" s="217">
        <f t="shared" si="2"/>
        <v>1</v>
      </c>
      <c r="E123" s="218" t="str">
        <f t="shared" si="3"/>
        <v>1Q 2024</v>
      </c>
      <c r="F123" s="218">
        <v>74.15</v>
      </c>
      <c r="G123" s="219">
        <f>AVERAGEIF(West_Texas_Oil_Price[Q&amp;Y],E123,West_Texas_Oil_Price[WTISPLC])</f>
        <v>77.56</v>
      </c>
      <c r="H123" s="220">
        <f>AVERAGEIF(West_Texas_Oil_Price[Year],B123,West_Texas_Oil_Price[WTISPLC])</f>
        <v>76.55</v>
      </c>
    </row>
    <row r="124">
      <c r="A124" s="221">
        <v>45323.0</v>
      </c>
      <c r="B124" s="222">
        <f t="shared" si="1"/>
        <v>2024</v>
      </c>
      <c r="C124" s="222">
        <f t="shared" si="4"/>
        <v>2</v>
      </c>
      <c r="D124" s="222">
        <f t="shared" si="2"/>
        <v>1</v>
      </c>
      <c r="E124" s="223" t="str">
        <f t="shared" si="3"/>
        <v>1Q 2024</v>
      </c>
      <c r="F124" s="223">
        <v>77.25</v>
      </c>
      <c r="G124" s="224">
        <f>AVERAGEIF(West_Texas_Oil_Price[Q&amp;Y],E124,West_Texas_Oil_Price[WTISPLC])</f>
        <v>77.56</v>
      </c>
      <c r="H124" s="225">
        <f>AVERAGEIF(West_Texas_Oil_Price[Year],B124,West_Texas_Oil_Price[WTISPLC])</f>
        <v>76.55</v>
      </c>
    </row>
    <row r="125">
      <c r="A125" s="216">
        <v>45352.0</v>
      </c>
      <c r="B125" s="217">
        <f t="shared" si="1"/>
        <v>2024</v>
      </c>
      <c r="C125" s="217">
        <f t="shared" si="4"/>
        <v>3</v>
      </c>
      <c r="D125" s="217">
        <f t="shared" si="2"/>
        <v>1</v>
      </c>
      <c r="E125" s="218" t="str">
        <f t="shared" si="3"/>
        <v>1Q 2024</v>
      </c>
      <c r="F125" s="218">
        <v>81.28</v>
      </c>
      <c r="G125" s="219">
        <f>AVERAGEIF(West_Texas_Oil_Price[Q&amp;Y],E125,West_Texas_Oil_Price[WTISPLC])</f>
        <v>77.56</v>
      </c>
      <c r="H125" s="220">
        <f>AVERAGEIF(West_Texas_Oil_Price[Year],B125,West_Texas_Oil_Price[WTISPLC])</f>
        <v>76.55</v>
      </c>
    </row>
    <row r="126">
      <c r="A126" s="221">
        <v>45383.0</v>
      </c>
      <c r="B126" s="222">
        <f t="shared" si="1"/>
        <v>2024</v>
      </c>
      <c r="C126" s="222">
        <f t="shared" si="4"/>
        <v>4</v>
      </c>
      <c r="D126" s="222">
        <f t="shared" si="2"/>
        <v>2</v>
      </c>
      <c r="E126" s="223" t="str">
        <f t="shared" si="3"/>
        <v>2Q 2024</v>
      </c>
      <c r="F126" s="223">
        <v>85.35</v>
      </c>
      <c r="G126" s="224">
        <f>AVERAGEIF(West_Texas_Oil_Price[Q&amp;Y],E126,West_Texas_Oil_Price[WTISPLC])</f>
        <v>81.71333333</v>
      </c>
      <c r="H126" s="225">
        <f>AVERAGEIF(West_Texas_Oil_Price[Year],B126,West_Texas_Oil_Price[WTISPLC])</f>
        <v>76.55</v>
      </c>
    </row>
    <row r="127">
      <c r="A127" s="216">
        <v>45413.0</v>
      </c>
      <c r="B127" s="217">
        <f t="shared" si="1"/>
        <v>2024</v>
      </c>
      <c r="C127" s="217">
        <f t="shared" si="4"/>
        <v>5</v>
      </c>
      <c r="D127" s="217">
        <f t="shared" si="2"/>
        <v>2</v>
      </c>
      <c r="E127" s="218" t="str">
        <f t="shared" si="3"/>
        <v>2Q 2024</v>
      </c>
      <c r="F127" s="218">
        <v>80.02</v>
      </c>
      <c r="G127" s="219">
        <f>AVERAGEIF(West_Texas_Oil_Price[Q&amp;Y],E127,West_Texas_Oil_Price[WTISPLC])</f>
        <v>81.71333333</v>
      </c>
      <c r="H127" s="220">
        <f>AVERAGEIF(West_Texas_Oil_Price[Year],B127,West_Texas_Oil_Price[WTISPLC])</f>
        <v>76.55</v>
      </c>
    </row>
    <row r="128">
      <c r="A128" s="221">
        <v>45444.0</v>
      </c>
      <c r="B128" s="222">
        <f t="shared" si="1"/>
        <v>2024</v>
      </c>
      <c r="C128" s="222">
        <f t="shared" si="4"/>
        <v>6</v>
      </c>
      <c r="D128" s="222">
        <f t="shared" si="2"/>
        <v>2</v>
      </c>
      <c r="E128" s="223" t="str">
        <f t="shared" si="3"/>
        <v>2Q 2024</v>
      </c>
      <c r="F128" s="223">
        <v>79.77</v>
      </c>
      <c r="G128" s="224">
        <f>AVERAGEIF(West_Texas_Oil_Price[Q&amp;Y],E128,West_Texas_Oil_Price[WTISPLC])</f>
        <v>81.71333333</v>
      </c>
      <c r="H128" s="225">
        <f>AVERAGEIF(West_Texas_Oil_Price[Year],B128,West_Texas_Oil_Price[WTISPLC])</f>
        <v>76.55</v>
      </c>
    </row>
    <row r="129">
      <c r="A129" s="216">
        <v>45474.0</v>
      </c>
      <c r="B129" s="217">
        <f t="shared" si="1"/>
        <v>2024</v>
      </c>
      <c r="C129" s="217">
        <f t="shared" si="4"/>
        <v>7</v>
      </c>
      <c r="D129" s="217">
        <f t="shared" si="2"/>
        <v>3</v>
      </c>
      <c r="E129" s="218" t="str">
        <f t="shared" si="3"/>
        <v>3Q 2024</v>
      </c>
      <c r="F129" s="218">
        <v>81.8</v>
      </c>
      <c r="G129" s="219">
        <f>AVERAGEIF(West_Texas_Oil_Price[Q&amp;Y],E129,West_Texas_Oil_Price[WTISPLC])</f>
        <v>76.24</v>
      </c>
      <c r="H129" s="220">
        <f>AVERAGEIF(West_Texas_Oil_Price[Year],B129,West_Texas_Oil_Price[WTISPLC])</f>
        <v>76.55</v>
      </c>
    </row>
    <row r="130">
      <c r="A130" s="221">
        <v>45505.0</v>
      </c>
      <c r="B130" s="222">
        <f t="shared" si="1"/>
        <v>2024</v>
      </c>
      <c r="C130" s="222">
        <f t="shared" si="4"/>
        <v>8</v>
      </c>
      <c r="D130" s="222">
        <f t="shared" si="2"/>
        <v>3</v>
      </c>
      <c r="E130" s="223" t="str">
        <f t="shared" si="3"/>
        <v>3Q 2024</v>
      </c>
      <c r="F130" s="223">
        <v>76.68</v>
      </c>
      <c r="G130" s="224">
        <f>AVERAGEIF(West_Texas_Oil_Price[Q&amp;Y],E130,West_Texas_Oil_Price[WTISPLC])</f>
        <v>76.24</v>
      </c>
      <c r="H130" s="225">
        <f>AVERAGEIF(West_Texas_Oil_Price[Year],B130,West_Texas_Oil_Price[WTISPLC])</f>
        <v>76.55</v>
      </c>
    </row>
    <row r="131">
      <c r="A131" s="216">
        <v>45536.0</v>
      </c>
      <c r="B131" s="217">
        <f t="shared" si="1"/>
        <v>2024</v>
      </c>
      <c r="C131" s="217">
        <f t="shared" si="4"/>
        <v>9</v>
      </c>
      <c r="D131" s="217">
        <f t="shared" si="2"/>
        <v>3</v>
      </c>
      <c r="E131" s="218" t="str">
        <f t="shared" si="3"/>
        <v>3Q 2024</v>
      </c>
      <c r="F131" s="218">
        <v>70.24</v>
      </c>
      <c r="G131" s="219">
        <f>AVERAGEIF(West_Texas_Oil_Price[Q&amp;Y],E131,West_Texas_Oil_Price[WTISPLC])</f>
        <v>76.24</v>
      </c>
      <c r="H131" s="220">
        <f>AVERAGEIF(West_Texas_Oil_Price[Year],B131,West_Texas_Oil_Price[WTISPLC])</f>
        <v>76.55</v>
      </c>
    </row>
    <row r="132">
      <c r="A132" s="221">
        <v>45566.0</v>
      </c>
      <c r="B132" s="222">
        <f t="shared" si="1"/>
        <v>2024</v>
      </c>
      <c r="C132" s="222">
        <f t="shared" si="4"/>
        <v>10</v>
      </c>
      <c r="D132" s="222">
        <f t="shared" si="2"/>
        <v>4</v>
      </c>
      <c r="E132" s="223" t="str">
        <f t="shared" si="3"/>
        <v>4Q 2024</v>
      </c>
      <c r="F132" s="223">
        <v>71.99</v>
      </c>
      <c r="G132" s="224">
        <f>AVERAGEIF(West_Texas_Oil_Price[Q&amp;Y],E132,West_Texas_Oil_Price[WTISPLC])</f>
        <v>70.68666667</v>
      </c>
      <c r="H132" s="225">
        <f>AVERAGEIF(West_Texas_Oil_Price[Year],B132,West_Texas_Oil_Price[WTISPLC])</f>
        <v>76.55</v>
      </c>
    </row>
    <row r="133">
      <c r="A133" s="216">
        <v>45597.0</v>
      </c>
      <c r="B133" s="217">
        <f t="shared" si="1"/>
        <v>2024</v>
      </c>
      <c r="C133" s="217">
        <f t="shared" si="4"/>
        <v>11</v>
      </c>
      <c r="D133" s="217">
        <f t="shared" si="2"/>
        <v>4</v>
      </c>
      <c r="E133" s="218" t="str">
        <f t="shared" si="3"/>
        <v>4Q 2024</v>
      </c>
      <c r="F133" s="218">
        <v>69.95</v>
      </c>
      <c r="G133" s="219">
        <f>AVERAGEIF(West_Texas_Oil_Price[Q&amp;Y],E133,West_Texas_Oil_Price[WTISPLC])</f>
        <v>70.68666667</v>
      </c>
      <c r="H133" s="220">
        <f>AVERAGEIF(West_Texas_Oil_Price[Year],B133,West_Texas_Oil_Price[WTISPLC])</f>
        <v>76.55</v>
      </c>
    </row>
    <row r="134">
      <c r="A134" s="221">
        <v>45627.0</v>
      </c>
      <c r="B134" s="222">
        <f t="shared" si="1"/>
        <v>2024</v>
      </c>
      <c r="C134" s="222">
        <f t="shared" si="4"/>
        <v>12</v>
      </c>
      <c r="D134" s="222">
        <f t="shared" si="2"/>
        <v>4</v>
      </c>
      <c r="E134" s="223" t="str">
        <f t="shared" si="3"/>
        <v>4Q 2024</v>
      </c>
      <c r="F134" s="223">
        <v>70.12</v>
      </c>
      <c r="G134" s="224">
        <f>AVERAGEIF(West_Texas_Oil_Price[Q&amp;Y],E134,West_Texas_Oil_Price[WTISPLC])</f>
        <v>70.68666667</v>
      </c>
      <c r="H134" s="225">
        <f>AVERAGEIF(West_Texas_Oil_Price[Year],B134,West_Texas_Oil_Price[WTISPLC])</f>
        <v>76.55</v>
      </c>
    </row>
    <row r="135">
      <c r="A135" s="216">
        <v>45658.0</v>
      </c>
      <c r="B135" s="217">
        <f t="shared" si="1"/>
        <v>2025</v>
      </c>
      <c r="C135" s="217">
        <f t="shared" si="4"/>
        <v>1</v>
      </c>
      <c r="D135" s="217">
        <f t="shared" si="2"/>
        <v>1</v>
      </c>
      <c r="E135" s="218" t="str">
        <f t="shared" si="3"/>
        <v>1Q 2025</v>
      </c>
      <c r="F135" s="218">
        <v>75.74</v>
      </c>
      <c r="G135" s="219">
        <f>AVERAGEIF(West_Texas_Oil_Price[Q&amp;Y],E135,West_Texas_Oil_Price[WTISPLC])</f>
        <v>71.83666667</v>
      </c>
      <c r="H135" s="220">
        <f>AVERAGEIF(West_Texas_Oil_Price[Year],B135,West_Texas_Oil_Price[WTISPLC])</f>
        <v>67.83</v>
      </c>
    </row>
    <row r="136">
      <c r="A136" s="221">
        <v>45689.0</v>
      </c>
      <c r="B136" s="222">
        <f t="shared" si="1"/>
        <v>2025</v>
      </c>
      <c r="C136" s="222">
        <f t="shared" si="4"/>
        <v>2</v>
      </c>
      <c r="D136" s="222">
        <f t="shared" si="2"/>
        <v>1</v>
      </c>
      <c r="E136" s="223" t="str">
        <f t="shared" si="3"/>
        <v>1Q 2025</v>
      </c>
      <c r="F136" s="223">
        <v>71.53</v>
      </c>
      <c r="G136" s="224">
        <f>AVERAGEIF(West_Texas_Oil_Price[Q&amp;Y],E136,West_Texas_Oil_Price[WTISPLC])</f>
        <v>71.83666667</v>
      </c>
      <c r="H136" s="225">
        <f>AVERAGEIF(West_Texas_Oil_Price[Year],B136,West_Texas_Oil_Price[WTISPLC])</f>
        <v>67.83</v>
      </c>
    </row>
    <row r="137">
      <c r="A137" s="216">
        <v>45717.0</v>
      </c>
      <c r="B137" s="217">
        <f t="shared" si="1"/>
        <v>2025</v>
      </c>
      <c r="C137" s="217">
        <f t="shared" si="4"/>
        <v>3</v>
      </c>
      <c r="D137" s="217">
        <f t="shared" si="2"/>
        <v>1</v>
      </c>
      <c r="E137" s="218" t="str">
        <f t="shared" si="3"/>
        <v>1Q 2025</v>
      </c>
      <c r="F137" s="218">
        <v>68.24</v>
      </c>
      <c r="G137" s="219">
        <f>AVERAGEIF(West_Texas_Oil_Price[Q&amp;Y],E137,West_Texas_Oil_Price[WTISPLC])</f>
        <v>71.83666667</v>
      </c>
      <c r="H137" s="220">
        <f>AVERAGEIF(West_Texas_Oil_Price[Year],B137,West_Texas_Oil_Price[WTISPLC])</f>
        <v>67.83</v>
      </c>
    </row>
    <row r="138">
      <c r="A138" s="221">
        <v>45748.0</v>
      </c>
      <c r="B138" s="222">
        <f t="shared" si="1"/>
        <v>2025</v>
      </c>
      <c r="C138" s="222">
        <f t="shared" si="4"/>
        <v>4</v>
      </c>
      <c r="D138" s="222">
        <f t="shared" si="2"/>
        <v>2</v>
      </c>
      <c r="E138" s="223" t="str">
        <f t="shared" si="3"/>
        <v>2Q 2025</v>
      </c>
      <c r="F138" s="223">
        <v>63.54</v>
      </c>
      <c r="G138" s="224">
        <f>AVERAGEIF(West_Texas_Oil_Price[Q&amp;Y],E138,West_Texas_Oil_Price[WTISPLC])</f>
        <v>64.62666667</v>
      </c>
      <c r="H138" s="225">
        <f>AVERAGEIF(West_Texas_Oil_Price[Year],B138,West_Texas_Oil_Price[WTISPLC])</f>
        <v>67.83</v>
      </c>
    </row>
    <row r="139">
      <c r="A139" s="216">
        <v>45778.0</v>
      </c>
      <c r="B139" s="217">
        <f t="shared" si="1"/>
        <v>2025</v>
      </c>
      <c r="C139" s="217">
        <f t="shared" si="4"/>
        <v>5</v>
      </c>
      <c r="D139" s="217">
        <f t="shared" si="2"/>
        <v>2</v>
      </c>
      <c r="E139" s="218" t="str">
        <f t="shared" si="3"/>
        <v>2Q 2025</v>
      </c>
      <c r="F139" s="218">
        <v>62.17</v>
      </c>
      <c r="G139" s="219">
        <f>AVERAGEIF(West_Texas_Oil_Price[Q&amp;Y],E139,West_Texas_Oil_Price[WTISPLC])</f>
        <v>64.62666667</v>
      </c>
      <c r="H139" s="220">
        <f>AVERAGEIF(West_Texas_Oil_Price[Year],B139,West_Texas_Oil_Price[WTISPLC])</f>
        <v>67.83</v>
      </c>
    </row>
    <row r="140">
      <c r="A140" s="221">
        <v>45809.0</v>
      </c>
      <c r="B140" s="222">
        <f t="shared" si="1"/>
        <v>2025</v>
      </c>
      <c r="C140" s="222">
        <f t="shared" si="4"/>
        <v>6</v>
      </c>
      <c r="D140" s="222">
        <f t="shared" si="2"/>
        <v>2</v>
      </c>
      <c r="E140" s="223" t="str">
        <f t="shared" si="3"/>
        <v>2Q 2025</v>
      </c>
      <c r="F140" s="223">
        <v>68.17</v>
      </c>
      <c r="G140" s="224">
        <f>AVERAGEIF(West_Texas_Oil_Price[Q&amp;Y],E140,West_Texas_Oil_Price[WTISPLC])</f>
        <v>64.62666667</v>
      </c>
      <c r="H140" s="225">
        <f>AVERAGEIF(West_Texas_Oil_Price[Year],B140,West_Texas_Oil_Price[WTISPLC])</f>
        <v>67.83</v>
      </c>
    </row>
    <row r="141">
      <c r="A141" s="216">
        <v>45839.0</v>
      </c>
      <c r="B141" s="217">
        <f t="shared" si="1"/>
        <v>2025</v>
      </c>
      <c r="C141" s="217">
        <f t="shared" si="4"/>
        <v>7</v>
      </c>
      <c r="D141" s="217">
        <f t="shared" si="2"/>
        <v>3</v>
      </c>
      <c r="E141" s="218" t="str">
        <f t="shared" si="3"/>
        <v>3Q 2025</v>
      </c>
      <c r="F141" s="218">
        <v>68.39</v>
      </c>
      <c r="G141" s="219">
        <f>AVERAGEIF(West_Texas_Oil_Price[Q&amp;Y],E141,West_Texas_Oil_Price[WTISPLC])</f>
        <v>66.625</v>
      </c>
      <c r="H141" s="220">
        <f>AVERAGEIF(West_Texas_Oil_Price[Year],B141,West_Texas_Oil_Price[WTISPLC])</f>
        <v>67.83</v>
      </c>
    </row>
    <row r="142">
      <c r="A142" s="226">
        <v>45870.0</v>
      </c>
      <c r="B142" s="227">
        <f t="shared" si="1"/>
        <v>2025</v>
      </c>
      <c r="C142" s="227">
        <f t="shared" si="4"/>
        <v>8</v>
      </c>
      <c r="D142" s="227">
        <f t="shared" si="2"/>
        <v>3</v>
      </c>
      <c r="E142" s="228" t="str">
        <f t="shared" si="3"/>
        <v>3Q 2025</v>
      </c>
      <c r="F142" s="228">
        <v>64.86</v>
      </c>
      <c r="G142" s="229">
        <f>AVERAGEIF(West_Texas_Oil_Price[Q&amp;Y],E142,West_Texas_Oil_Price[WTISPLC])</f>
        <v>66.625</v>
      </c>
      <c r="H142" s="230">
        <f>AVERAGEIF(West_Texas_Oil_Price[Year],B142,West_Texas_Oil_Price[WTISPLC])</f>
        <v>67.83</v>
      </c>
    </row>
    <row r="143">
      <c r="B143" s="76"/>
      <c r="C143" s="76"/>
      <c r="D143" s="76"/>
      <c r="E143" s="76"/>
      <c r="F143" s="76"/>
    </row>
    <row r="144">
      <c r="B144" s="76"/>
      <c r="C144" s="76"/>
      <c r="D144" s="76"/>
      <c r="E144" s="76"/>
      <c r="F144" s="76"/>
    </row>
    <row r="145">
      <c r="B145" s="76"/>
      <c r="C145" s="76"/>
      <c r="D145" s="76"/>
      <c r="E145" s="76"/>
      <c r="F145" s="76"/>
    </row>
    <row r="146">
      <c r="B146" s="76"/>
      <c r="C146" s="76"/>
      <c r="D146" s="76"/>
      <c r="E146" s="76"/>
      <c r="F146" s="76"/>
    </row>
    <row r="147">
      <c r="B147" s="76"/>
      <c r="C147" s="76"/>
      <c r="D147" s="76"/>
      <c r="E147" s="76"/>
      <c r="F147" s="76"/>
    </row>
    <row r="148">
      <c r="B148" s="76"/>
      <c r="C148" s="76"/>
      <c r="D148" s="76"/>
      <c r="E148" s="76"/>
      <c r="F148" s="76"/>
    </row>
    <row r="149">
      <c r="B149" s="76"/>
      <c r="C149" s="76"/>
      <c r="D149" s="76"/>
      <c r="E149" s="76"/>
      <c r="F149" s="76"/>
    </row>
    <row r="150">
      <c r="B150" s="76"/>
      <c r="C150" s="76"/>
      <c r="D150" s="76"/>
      <c r="E150" s="76"/>
      <c r="F150" s="76"/>
    </row>
    <row r="151">
      <c r="B151" s="76"/>
      <c r="C151" s="76"/>
      <c r="D151" s="76"/>
      <c r="E151" s="76"/>
      <c r="F151" s="76"/>
    </row>
    <row r="152">
      <c r="B152" s="76"/>
      <c r="C152" s="76"/>
      <c r="D152" s="76"/>
      <c r="E152" s="76"/>
      <c r="F152" s="76"/>
    </row>
    <row r="153">
      <c r="B153" s="76"/>
      <c r="C153" s="76"/>
      <c r="D153" s="76"/>
      <c r="E153" s="76"/>
      <c r="F153" s="76"/>
    </row>
    <row r="154">
      <c r="B154" s="76"/>
      <c r="C154" s="76"/>
      <c r="D154" s="76"/>
      <c r="E154" s="76"/>
      <c r="F154" s="76"/>
    </row>
    <row r="155">
      <c r="B155" s="76"/>
      <c r="C155" s="76"/>
      <c r="D155" s="76"/>
      <c r="E155" s="76"/>
      <c r="F155" s="76"/>
    </row>
    <row r="156">
      <c r="B156" s="76"/>
      <c r="C156" s="76"/>
      <c r="D156" s="76"/>
      <c r="E156" s="76"/>
      <c r="F156" s="76"/>
    </row>
    <row r="157">
      <c r="B157" s="76"/>
      <c r="C157" s="76"/>
      <c r="D157" s="76"/>
      <c r="E157" s="76"/>
      <c r="F157" s="76"/>
    </row>
    <row r="158">
      <c r="B158" s="76"/>
      <c r="C158" s="76"/>
      <c r="D158" s="76"/>
      <c r="E158" s="76"/>
      <c r="F158" s="76"/>
    </row>
    <row r="159">
      <c r="B159" s="76"/>
      <c r="C159" s="76"/>
      <c r="D159" s="76"/>
      <c r="E159" s="76"/>
      <c r="F159" s="76"/>
    </row>
    <row r="160">
      <c r="B160" s="76"/>
      <c r="C160" s="76"/>
      <c r="D160" s="76"/>
      <c r="E160" s="76"/>
      <c r="F160" s="76"/>
    </row>
    <row r="161">
      <c r="B161" s="76"/>
      <c r="C161" s="76"/>
      <c r="D161" s="76"/>
      <c r="E161" s="76"/>
      <c r="F161" s="76"/>
    </row>
    <row r="162">
      <c r="B162" s="76"/>
      <c r="C162" s="76"/>
      <c r="D162" s="76"/>
      <c r="E162" s="76"/>
      <c r="F162" s="76"/>
    </row>
    <row r="163">
      <c r="B163" s="76"/>
      <c r="C163" s="76"/>
      <c r="D163" s="76"/>
      <c r="E163" s="76"/>
      <c r="F163" s="76"/>
    </row>
    <row r="164">
      <c r="B164" s="76"/>
      <c r="C164" s="76"/>
      <c r="D164" s="76"/>
      <c r="E164" s="76"/>
      <c r="F164" s="76"/>
    </row>
    <row r="165">
      <c r="B165" s="76"/>
      <c r="C165" s="76"/>
      <c r="D165" s="76"/>
      <c r="E165" s="76"/>
      <c r="F165" s="76"/>
    </row>
    <row r="166">
      <c r="B166" s="76"/>
      <c r="C166" s="76"/>
      <c r="D166" s="76"/>
      <c r="E166" s="76"/>
      <c r="F166" s="76"/>
    </row>
    <row r="167">
      <c r="B167" s="76"/>
      <c r="C167" s="76"/>
      <c r="D167" s="76"/>
      <c r="E167" s="76"/>
      <c r="F167" s="76"/>
    </row>
    <row r="168">
      <c r="B168" s="76"/>
      <c r="C168" s="76"/>
      <c r="D168" s="76"/>
      <c r="E168" s="76"/>
      <c r="F168" s="76"/>
    </row>
    <row r="169">
      <c r="B169" s="76"/>
      <c r="C169" s="76"/>
      <c r="D169" s="76"/>
      <c r="E169" s="76"/>
      <c r="F169" s="76"/>
    </row>
    <row r="170">
      <c r="B170" s="76"/>
      <c r="C170" s="76"/>
      <c r="D170" s="76"/>
      <c r="E170" s="76"/>
      <c r="F170" s="76"/>
    </row>
    <row r="171">
      <c r="B171" s="76"/>
      <c r="C171" s="76"/>
      <c r="D171" s="76"/>
      <c r="E171" s="76"/>
      <c r="F171" s="76"/>
    </row>
    <row r="172">
      <c r="B172" s="76"/>
      <c r="C172" s="76"/>
      <c r="D172" s="76"/>
      <c r="E172" s="76"/>
      <c r="F172" s="76"/>
    </row>
    <row r="173">
      <c r="B173" s="76"/>
      <c r="C173" s="76"/>
      <c r="D173" s="76"/>
      <c r="E173" s="76"/>
      <c r="F173" s="76"/>
    </row>
    <row r="174">
      <c r="B174" s="76"/>
      <c r="C174" s="76"/>
      <c r="D174" s="76"/>
      <c r="E174" s="76"/>
      <c r="F174" s="76"/>
    </row>
    <row r="175">
      <c r="B175" s="76"/>
      <c r="C175" s="76"/>
      <c r="D175" s="76"/>
      <c r="E175" s="76"/>
      <c r="F175" s="76"/>
    </row>
    <row r="176">
      <c r="B176" s="76"/>
      <c r="C176" s="76"/>
      <c r="D176" s="76"/>
      <c r="E176" s="76"/>
      <c r="F176" s="76"/>
    </row>
    <row r="177">
      <c r="B177" s="76"/>
      <c r="C177" s="76"/>
      <c r="D177" s="76"/>
      <c r="E177" s="76"/>
      <c r="F177" s="76"/>
    </row>
    <row r="178">
      <c r="B178" s="76"/>
      <c r="C178" s="76"/>
      <c r="D178" s="76"/>
      <c r="E178" s="76"/>
      <c r="F178" s="76"/>
    </row>
    <row r="179">
      <c r="B179" s="76"/>
      <c r="C179" s="76"/>
      <c r="D179" s="76"/>
      <c r="E179" s="76"/>
      <c r="F179" s="76"/>
    </row>
    <row r="180">
      <c r="B180" s="76"/>
      <c r="C180" s="76"/>
      <c r="D180" s="76"/>
      <c r="E180" s="76"/>
      <c r="F180" s="76"/>
    </row>
    <row r="181">
      <c r="B181" s="76"/>
      <c r="C181" s="76"/>
      <c r="D181" s="76"/>
      <c r="E181" s="76"/>
      <c r="F181" s="76"/>
    </row>
    <row r="182">
      <c r="B182" s="76"/>
      <c r="C182" s="76"/>
      <c r="D182" s="76"/>
      <c r="E182" s="76"/>
      <c r="F182" s="76"/>
    </row>
    <row r="183">
      <c r="B183" s="76"/>
      <c r="C183" s="76"/>
      <c r="D183" s="76"/>
      <c r="E183" s="76"/>
      <c r="F183" s="76"/>
    </row>
    <row r="184">
      <c r="B184" s="76"/>
      <c r="C184" s="76"/>
      <c r="D184" s="76"/>
      <c r="E184" s="76"/>
      <c r="F184" s="76"/>
    </row>
    <row r="185">
      <c r="B185" s="76"/>
      <c r="C185" s="76"/>
      <c r="D185" s="76"/>
      <c r="E185" s="76"/>
      <c r="F185" s="76"/>
    </row>
    <row r="186">
      <c r="B186" s="76"/>
      <c r="C186" s="76"/>
      <c r="D186" s="76"/>
      <c r="E186" s="76"/>
      <c r="F186" s="76"/>
    </row>
    <row r="187">
      <c r="B187" s="76"/>
      <c r="C187" s="76"/>
      <c r="D187" s="76"/>
      <c r="E187" s="76"/>
      <c r="F187" s="76"/>
    </row>
    <row r="188">
      <c r="B188" s="76"/>
      <c r="C188" s="76"/>
      <c r="D188" s="76"/>
      <c r="E188" s="76"/>
      <c r="F188" s="76"/>
    </row>
    <row r="189">
      <c r="B189" s="76"/>
      <c r="C189" s="76"/>
      <c r="D189" s="76"/>
      <c r="E189" s="76"/>
      <c r="F189" s="76"/>
    </row>
    <row r="190">
      <c r="B190" s="76"/>
      <c r="C190" s="76"/>
      <c r="D190" s="76"/>
      <c r="E190" s="76"/>
      <c r="F190" s="76"/>
    </row>
    <row r="191">
      <c r="B191" s="76"/>
      <c r="C191" s="76"/>
      <c r="D191" s="76"/>
      <c r="E191" s="76"/>
      <c r="F191" s="76"/>
    </row>
    <row r="192">
      <c r="B192" s="76"/>
      <c r="C192" s="76"/>
      <c r="D192" s="76"/>
      <c r="E192" s="76"/>
      <c r="F192" s="76"/>
    </row>
    <row r="193">
      <c r="B193" s="76"/>
      <c r="C193" s="76"/>
      <c r="D193" s="76"/>
      <c r="E193" s="76"/>
      <c r="F193" s="76"/>
    </row>
    <row r="194">
      <c r="B194" s="76"/>
      <c r="C194" s="76"/>
      <c r="D194" s="76"/>
      <c r="E194" s="76"/>
      <c r="F194" s="76"/>
    </row>
    <row r="195">
      <c r="B195" s="76"/>
      <c r="C195" s="76"/>
      <c r="D195" s="76"/>
      <c r="E195" s="76"/>
      <c r="F195" s="76"/>
    </row>
    <row r="196">
      <c r="B196" s="76"/>
      <c r="C196" s="76"/>
      <c r="D196" s="76"/>
      <c r="E196" s="76"/>
      <c r="F196" s="76"/>
    </row>
    <row r="197">
      <c r="B197" s="76"/>
      <c r="C197" s="76"/>
      <c r="D197" s="76"/>
      <c r="E197" s="76"/>
      <c r="F197" s="76"/>
    </row>
    <row r="198">
      <c r="B198" s="76"/>
      <c r="C198" s="76"/>
      <c r="D198" s="76"/>
      <c r="E198" s="76"/>
      <c r="F198" s="76"/>
    </row>
    <row r="199">
      <c r="B199" s="76"/>
      <c r="C199" s="76"/>
      <c r="D199" s="76"/>
      <c r="E199" s="76"/>
      <c r="F199" s="76"/>
    </row>
    <row r="200">
      <c r="B200" s="76"/>
      <c r="C200" s="76"/>
      <c r="D200" s="76"/>
      <c r="E200" s="76"/>
      <c r="F200" s="76"/>
    </row>
    <row r="201">
      <c r="B201" s="76"/>
      <c r="C201" s="76"/>
      <c r="D201" s="76"/>
      <c r="E201" s="76"/>
      <c r="F201" s="76"/>
    </row>
    <row r="202">
      <c r="B202" s="76"/>
      <c r="C202" s="76"/>
      <c r="D202" s="76"/>
      <c r="E202" s="76"/>
      <c r="F202" s="76"/>
    </row>
    <row r="203">
      <c r="B203" s="76"/>
      <c r="C203" s="76"/>
      <c r="D203" s="76"/>
      <c r="E203" s="76"/>
      <c r="F203" s="76"/>
    </row>
    <row r="204">
      <c r="B204" s="76"/>
      <c r="C204" s="76"/>
      <c r="D204" s="76"/>
      <c r="E204" s="76"/>
      <c r="F204" s="76"/>
    </row>
    <row r="205">
      <c r="B205" s="76"/>
      <c r="C205" s="76"/>
      <c r="D205" s="76"/>
      <c r="E205" s="76"/>
      <c r="F205" s="76"/>
    </row>
    <row r="206">
      <c r="B206" s="76"/>
      <c r="C206" s="76"/>
      <c r="D206" s="76"/>
      <c r="E206" s="76"/>
      <c r="F206" s="76"/>
    </row>
    <row r="207">
      <c r="B207" s="76"/>
      <c r="C207" s="76"/>
      <c r="D207" s="76"/>
      <c r="E207" s="76"/>
      <c r="F207" s="76"/>
    </row>
    <row r="208">
      <c r="B208" s="76"/>
      <c r="C208" s="76"/>
      <c r="D208" s="76"/>
      <c r="E208" s="76"/>
      <c r="F208" s="76"/>
    </row>
    <row r="209">
      <c r="B209" s="76"/>
      <c r="C209" s="76"/>
      <c r="D209" s="76"/>
      <c r="E209" s="76"/>
      <c r="F209" s="76"/>
    </row>
    <row r="210">
      <c r="B210" s="76"/>
      <c r="C210" s="76"/>
      <c r="D210" s="76"/>
      <c r="E210" s="76"/>
      <c r="F210" s="76"/>
    </row>
    <row r="211">
      <c r="B211" s="76"/>
      <c r="C211" s="76"/>
      <c r="D211" s="76"/>
      <c r="E211" s="76"/>
      <c r="F211" s="76"/>
    </row>
    <row r="212">
      <c r="B212" s="76"/>
      <c r="C212" s="76"/>
      <c r="D212" s="76"/>
      <c r="E212" s="76"/>
      <c r="F212" s="76"/>
    </row>
    <row r="213">
      <c r="B213" s="76"/>
      <c r="C213" s="76"/>
      <c r="D213" s="76"/>
      <c r="E213" s="76"/>
      <c r="F213" s="76"/>
    </row>
    <row r="214">
      <c r="B214" s="76"/>
      <c r="C214" s="76"/>
      <c r="D214" s="76"/>
      <c r="E214" s="76"/>
      <c r="F214" s="76"/>
    </row>
    <row r="215">
      <c r="B215" s="76"/>
      <c r="C215" s="76"/>
      <c r="D215" s="76"/>
      <c r="E215" s="76"/>
      <c r="F215" s="76"/>
    </row>
    <row r="216">
      <c r="B216" s="76"/>
      <c r="C216" s="76"/>
      <c r="D216" s="76"/>
      <c r="E216" s="76"/>
      <c r="F216" s="76"/>
    </row>
    <row r="217">
      <c r="B217" s="76"/>
      <c r="C217" s="76"/>
      <c r="D217" s="76"/>
      <c r="E217" s="76"/>
      <c r="F217" s="76"/>
    </row>
    <row r="218">
      <c r="B218" s="76"/>
      <c r="C218" s="76"/>
      <c r="D218" s="76"/>
      <c r="E218" s="76"/>
      <c r="F218" s="76"/>
    </row>
    <row r="219">
      <c r="B219" s="76"/>
      <c r="C219" s="76"/>
      <c r="D219" s="76"/>
      <c r="E219" s="76"/>
      <c r="F219" s="76"/>
    </row>
    <row r="220">
      <c r="B220" s="76"/>
      <c r="C220" s="76"/>
      <c r="D220" s="76"/>
      <c r="E220" s="76"/>
      <c r="F220" s="76"/>
    </row>
    <row r="221">
      <c r="B221" s="76"/>
      <c r="C221" s="76"/>
      <c r="D221" s="76"/>
      <c r="E221" s="76"/>
      <c r="F221" s="76"/>
    </row>
    <row r="222">
      <c r="B222" s="76"/>
      <c r="C222" s="76"/>
      <c r="D222" s="76"/>
      <c r="E222" s="76"/>
      <c r="F222" s="76"/>
    </row>
    <row r="223">
      <c r="B223" s="76"/>
      <c r="C223" s="76"/>
      <c r="D223" s="76"/>
      <c r="E223" s="76"/>
      <c r="F223" s="76"/>
    </row>
    <row r="224">
      <c r="B224" s="76"/>
      <c r="C224" s="76"/>
      <c r="D224" s="76"/>
      <c r="E224" s="76"/>
      <c r="F224" s="76"/>
    </row>
    <row r="225">
      <c r="B225" s="76"/>
      <c r="C225" s="76"/>
      <c r="D225" s="76"/>
      <c r="E225" s="76"/>
      <c r="F225" s="76"/>
    </row>
    <row r="226">
      <c r="B226" s="76"/>
      <c r="C226" s="76"/>
      <c r="D226" s="76"/>
      <c r="E226" s="76"/>
      <c r="F226" s="76"/>
    </row>
    <row r="227">
      <c r="B227" s="76"/>
      <c r="C227" s="76"/>
      <c r="D227" s="76"/>
      <c r="E227" s="76"/>
      <c r="F227" s="76"/>
    </row>
    <row r="228">
      <c r="B228" s="76"/>
      <c r="C228" s="76"/>
      <c r="D228" s="76"/>
      <c r="E228" s="76"/>
      <c r="F228" s="76"/>
    </row>
    <row r="229">
      <c r="B229" s="76"/>
      <c r="C229" s="76"/>
      <c r="D229" s="76"/>
      <c r="E229" s="76"/>
      <c r="F229" s="76"/>
    </row>
    <row r="230">
      <c r="B230" s="76"/>
      <c r="C230" s="76"/>
      <c r="D230" s="76"/>
      <c r="E230" s="76"/>
      <c r="F230" s="76"/>
    </row>
    <row r="231">
      <c r="B231" s="76"/>
      <c r="C231" s="76"/>
      <c r="D231" s="76"/>
      <c r="E231" s="76"/>
      <c r="F231" s="76"/>
    </row>
    <row r="232">
      <c r="B232" s="76"/>
      <c r="C232" s="76"/>
      <c r="D232" s="76"/>
      <c r="E232" s="76"/>
      <c r="F232" s="76"/>
    </row>
    <row r="233">
      <c r="B233" s="76"/>
      <c r="C233" s="76"/>
      <c r="D233" s="76"/>
      <c r="E233" s="76"/>
      <c r="F233" s="76"/>
    </row>
    <row r="234">
      <c r="B234" s="76"/>
      <c r="C234" s="76"/>
      <c r="D234" s="76"/>
      <c r="E234" s="76"/>
      <c r="F234" s="76"/>
    </row>
    <row r="235">
      <c r="B235" s="76"/>
      <c r="C235" s="76"/>
      <c r="D235" s="76"/>
      <c r="E235" s="76"/>
      <c r="F235" s="76"/>
    </row>
    <row r="236">
      <c r="B236" s="76"/>
      <c r="C236" s="76"/>
      <c r="D236" s="76"/>
      <c r="E236" s="76"/>
      <c r="F236" s="76"/>
    </row>
    <row r="237">
      <c r="B237" s="76"/>
      <c r="C237" s="76"/>
      <c r="D237" s="76"/>
      <c r="E237" s="76"/>
      <c r="F237" s="76"/>
    </row>
    <row r="238">
      <c r="B238" s="76"/>
      <c r="C238" s="76"/>
      <c r="D238" s="76"/>
      <c r="E238" s="76"/>
      <c r="F238" s="76"/>
    </row>
    <row r="239">
      <c r="B239" s="76"/>
      <c r="C239" s="76"/>
      <c r="D239" s="76"/>
      <c r="E239" s="76"/>
      <c r="F239" s="76"/>
    </row>
    <row r="240">
      <c r="B240" s="76"/>
      <c r="C240" s="76"/>
      <c r="D240" s="76"/>
      <c r="E240" s="76"/>
      <c r="F240" s="76"/>
    </row>
    <row r="241">
      <c r="B241" s="76"/>
      <c r="C241" s="76"/>
      <c r="D241" s="76"/>
      <c r="E241" s="76"/>
      <c r="F241" s="76"/>
    </row>
    <row r="242">
      <c r="B242" s="76"/>
      <c r="C242" s="76"/>
      <c r="D242" s="76"/>
      <c r="E242" s="76"/>
      <c r="F242" s="76"/>
    </row>
    <row r="243">
      <c r="B243" s="76"/>
      <c r="C243" s="76"/>
      <c r="D243" s="76"/>
      <c r="E243" s="76"/>
      <c r="F243" s="76"/>
    </row>
    <row r="244">
      <c r="B244" s="76"/>
      <c r="C244" s="76"/>
      <c r="D244" s="76"/>
      <c r="E244" s="76"/>
      <c r="F244" s="76"/>
    </row>
    <row r="245">
      <c r="B245" s="76"/>
      <c r="C245" s="76"/>
      <c r="D245" s="76"/>
      <c r="E245" s="76"/>
      <c r="F245" s="76"/>
    </row>
    <row r="246">
      <c r="B246" s="76"/>
      <c r="C246" s="76"/>
      <c r="D246" s="76"/>
      <c r="E246" s="76"/>
      <c r="F246" s="76"/>
    </row>
    <row r="247">
      <c r="B247" s="76"/>
      <c r="C247" s="76"/>
      <c r="D247" s="76"/>
      <c r="E247" s="76"/>
      <c r="F247" s="76"/>
    </row>
    <row r="248">
      <c r="B248" s="76"/>
      <c r="C248" s="76"/>
      <c r="D248" s="76"/>
      <c r="E248" s="76"/>
      <c r="F248" s="76"/>
    </row>
    <row r="249">
      <c r="B249" s="76"/>
      <c r="C249" s="76"/>
      <c r="D249" s="76"/>
      <c r="E249" s="76"/>
      <c r="F249" s="76"/>
    </row>
    <row r="250">
      <c r="B250" s="76"/>
      <c r="C250" s="76"/>
      <c r="D250" s="76"/>
      <c r="E250" s="76"/>
      <c r="F250" s="76"/>
    </row>
    <row r="251">
      <c r="B251" s="76"/>
      <c r="C251" s="76"/>
      <c r="D251" s="76"/>
      <c r="E251" s="76"/>
      <c r="F251" s="76"/>
    </row>
    <row r="252">
      <c r="B252" s="76"/>
      <c r="C252" s="76"/>
      <c r="D252" s="76"/>
      <c r="E252" s="76"/>
      <c r="F252" s="76"/>
    </row>
    <row r="253">
      <c r="B253" s="76"/>
      <c r="C253" s="76"/>
      <c r="D253" s="76"/>
      <c r="E253" s="76"/>
      <c r="F253" s="76"/>
    </row>
    <row r="254">
      <c r="B254" s="76"/>
      <c r="C254" s="76"/>
      <c r="D254" s="76"/>
      <c r="E254" s="76"/>
      <c r="F254" s="76"/>
    </row>
    <row r="255">
      <c r="B255" s="76"/>
      <c r="C255" s="76"/>
      <c r="D255" s="76"/>
      <c r="E255" s="76"/>
      <c r="F255" s="76"/>
    </row>
    <row r="256">
      <c r="B256" s="76"/>
      <c r="C256" s="76"/>
      <c r="D256" s="76"/>
      <c r="E256" s="76"/>
      <c r="F256" s="76"/>
    </row>
    <row r="257">
      <c r="B257" s="76"/>
      <c r="C257" s="76"/>
      <c r="D257" s="76"/>
      <c r="E257" s="76"/>
      <c r="F257" s="76"/>
    </row>
    <row r="258">
      <c r="B258" s="76"/>
      <c r="C258" s="76"/>
      <c r="D258" s="76"/>
      <c r="E258" s="76"/>
      <c r="F258" s="76"/>
    </row>
    <row r="259">
      <c r="B259" s="76"/>
      <c r="C259" s="76"/>
      <c r="D259" s="76"/>
      <c r="E259" s="76"/>
      <c r="F259" s="76"/>
    </row>
    <row r="260">
      <c r="B260" s="76"/>
      <c r="C260" s="76"/>
      <c r="D260" s="76"/>
      <c r="E260" s="76"/>
      <c r="F260" s="76"/>
    </row>
    <row r="261">
      <c r="B261" s="76"/>
      <c r="C261" s="76"/>
      <c r="D261" s="76"/>
      <c r="E261" s="76"/>
      <c r="F261" s="76"/>
    </row>
    <row r="262">
      <c r="B262" s="76"/>
      <c r="C262" s="76"/>
      <c r="D262" s="76"/>
      <c r="E262" s="76"/>
      <c r="F262" s="76"/>
    </row>
    <row r="263">
      <c r="B263" s="76"/>
      <c r="C263" s="76"/>
      <c r="D263" s="76"/>
      <c r="E263" s="76"/>
      <c r="F263" s="76"/>
    </row>
    <row r="264">
      <c r="B264" s="76"/>
      <c r="C264" s="76"/>
      <c r="D264" s="76"/>
      <c r="E264" s="76"/>
      <c r="F264" s="76"/>
    </row>
    <row r="265">
      <c r="B265" s="76"/>
      <c r="C265" s="76"/>
      <c r="D265" s="76"/>
      <c r="E265" s="76"/>
      <c r="F265" s="76"/>
    </row>
    <row r="266">
      <c r="B266" s="76"/>
      <c r="C266" s="76"/>
      <c r="D266" s="76"/>
      <c r="E266" s="76"/>
      <c r="F266" s="76"/>
    </row>
    <row r="267">
      <c r="B267" s="76"/>
      <c r="C267" s="76"/>
      <c r="D267" s="76"/>
      <c r="E267" s="76"/>
      <c r="F267" s="76"/>
    </row>
    <row r="268">
      <c r="B268" s="76"/>
      <c r="C268" s="76"/>
      <c r="D268" s="76"/>
      <c r="E268" s="76"/>
      <c r="F268" s="76"/>
    </row>
    <row r="269">
      <c r="B269" s="76"/>
      <c r="C269" s="76"/>
      <c r="D269" s="76"/>
      <c r="E269" s="76"/>
      <c r="F269" s="76"/>
    </row>
    <row r="270">
      <c r="B270" s="76"/>
      <c r="C270" s="76"/>
      <c r="D270" s="76"/>
      <c r="E270" s="76"/>
      <c r="F270" s="76"/>
    </row>
    <row r="271">
      <c r="B271" s="76"/>
      <c r="C271" s="76"/>
      <c r="D271" s="76"/>
      <c r="E271" s="76"/>
      <c r="F271" s="76"/>
    </row>
    <row r="272">
      <c r="B272" s="76"/>
      <c r="C272" s="76"/>
      <c r="D272" s="76"/>
      <c r="E272" s="76"/>
      <c r="F272" s="76"/>
    </row>
    <row r="273">
      <c r="B273" s="76"/>
      <c r="C273" s="76"/>
      <c r="D273" s="76"/>
      <c r="E273" s="76"/>
      <c r="F273" s="76"/>
    </row>
    <row r="274">
      <c r="B274" s="76"/>
      <c r="C274" s="76"/>
      <c r="D274" s="76"/>
      <c r="E274" s="76"/>
      <c r="F274" s="76"/>
    </row>
    <row r="275">
      <c r="B275" s="76"/>
      <c r="C275" s="76"/>
      <c r="D275" s="76"/>
      <c r="E275" s="76"/>
      <c r="F275" s="76"/>
    </row>
    <row r="276">
      <c r="B276" s="76"/>
      <c r="C276" s="76"/>
      <c r="D276" s="76"/>
      <c r="E276" s="76"/>
      <c r="F276" s="76"/>
    </row>
    <row r="277">
      <c r="B277" s="76"/>
      <c r="C277" s="76"/>
      <c r="D277" s="76"/>
      <c r="E277" s="76"/>
      <c r="F277" s="76"/>
    </row>
    <row r="278">
      <c r="B278" s="76"/>
      <c r="C278" s="76"/>
      <c r="D278" s="76"/>
      <c r="E278" s="76"/>
      <c r="F278" s="76"/>
    </row>
    <row r="279">
      <c r="B279" s="76"/>
      <c r="C279" s="76"/>
      <c r="D279" s="76"/>
      <c r="E279" s="76"/>
      <c r="F279" s="76"/>
    </row>
    <row r="280">
      <c r="B280" s="76"/>
      <c r="C280" s="76"/>
      <c r="D280" s="76"/>
      <c r="E280" s="76"/>
      <c r="F280" s="76"/>
    </row>
    <row r="281">
      <c r="B281" s="76"/>
      <c r="C281" s="76"/>
      <c r="D281" s="76"/>
      <c r="E281" s="76"/>
      <c r="F281" s="76"/>
    </row>
    <row r="282">
      <c r="B282" s="76"/>
      <c r="C282" s="76"/>
      <c r="D282" s="76"/>
      <c r="E282" s="76"/>
      <c r="F282" s="76"/>
    </row>
    <row r="283">
      <c r="B283" s="76"/>
      <c r="C283" s="76"/>
      <c r="D283" s="76"/>
      <c r="E283" s="76"/>
      <c r="F283" s="76"/>
    </row>
    <row r="284">
      <c r="B284" s="76"/>
      <c r="C284" s="76"/>
      <c r="D284" s="76"/>
      <c r="E284" s="76"/>
      <c r="F284" s="76"/>
    </row>
    <row r="285">
      <c r="B285" s="76"/>
      <c r="C285" s="76"/>
      <c r="D285" s="76"/>
      <c r="E285" s="76"/>
      <c r="F285" s="76"/>
    </row>
    <row r="286">
      <c r="B286" s="76"/>
      <c r="C286" s="76"/>
      <c r="D286" s="76"/>
      <c r="E286" s="76"/>
      <c r="F286" s="76"/>
    </row>
    <row r="287">
      <c r="B287" s="76"/>
      <c r="C287" s="76"/>
      <c r="D287" s="76"/>
      <c r="E287" s="76"/>
      <c r="F287" s="76"/>
    </row>
    <row r="288">
      <c r="B288" s="76"/>
      <c r="C288" s="76"/>
      <c r="D288" s="76"/>
      <c r="E288" s="76"/>
      <c r="F288" s="76"/>
    </row>
    <row r="289">
      <c r="B289" s="76"/>
      <c r="C289" s="76"/>
      <c r="D289" s="76"/>
      <c r="E289" s="76"/>
      <c r="F289" s="76"/>
    </row>
    <row r="290">
      <c r="B290" s="76"/>
      <c r="C290" s="76"/>
      <c r="D290" s="76"/>
      <c r="E290" s="76"/>
      <c r="F290" s="76"/>
    </row>
    <row r="291">
      <c r="B291" s="76"/>
      <c r="C291" s="76"/>
      <c r="D291" s="76"/>
      <c r="E291" s="76"/>
      <c r="F291" s="76"/>
    </row>
    <row r="292">
      <c r="B292" s="76"/>
      <c r="C292" s="76"/>
      <c r="D292" s="76"/>
      <c r="E292" s="76"/>
      <c r="F292" s="76"/>
    </row>
    <row r="293">
      <c r="B293" s="76"/>
      <c r="C293" s="76"/>
      <c r="D293" s="76"/>
      <c r="E293" s="76"/>
      <c r="F293" s="76"/>
    </row>
    <row r="294">
      <c r="B294" s="76"/>
      <c r="C294" s="76"/>
      <c r="D294" s="76"/>
      <c r="E294" s="76"/>
      <c r="F294" s="76"/>
    </row>
    <row r="295">
      <c r="B295" s="76"/>
      <c r="C295" s="76"/>
      <c r="D295" s="76"/>
      <c r="E295" s="76"/>
      <c r="F295" s="76"/>
    </row>
    <row r="296">
      <c r="B296" s="76"/>
      <c r="C296" s="76"/>
      <c r="D296" s="76"/>
      <c r="E296" s="76"/>
      <c r="F296" s="76"/>
    </row>
    <row r="297">
      <c r="B297" s="76"/>
      <c r="C297" s="76"/>
      <c r="D297" s="76"/>
      <c r="E297" s="76"/>
      <c r="F297" s="76"/>
    </row>
    <row r="298">
      <c r="B298" s="76"/>
      <c r="C298" s="76"/>
      <c r="D298" s="76"/>
      <c r="E298" s="76"/>
      <c r="F298" s="76"/>
    </row>
    <row r="299">
      <c r="B299" s="76"/>
      <c r="C299" s="76"/>
      <c r="D299" s="76"/>
      <c r="E299" s="76"/>
      <c r="F299" s="76"/>
    </row>
    <row r="300">
      <c r="B300" s="76"/>
      <c r="C300" s="76"/>
      <c r="D300" s="76"/>
      <c r="E300" s="76"/>
      <c r="F300" s="76"/>
    </row>
    <row r="301">
      <c r="B301" s="76"/>
      <c r="C301" s="76"/>
      <c r="D301" s="76"/>
      <c r="E301" s="76"/>
      <c r="F301" s="76"/>
    </row>
    <row r="302">
      <c r="B302" s="76"/>
      <c r="C302" s="76"/>
      <c r="D302" s="76"/>
      <c r="E302" s="76"/>
      <c r="F302" s="76"/>
    </row>
    <row r="303">
      <c r="B303" s="76"/>
      <c r="C303" s="76"/>
      <c r="D303" s="76"/>
      <c r="E303" s="76"/>
      <c r="F303" s="76"/>
    </row>
    <row r="304">
      <c r="B304" s="76"/>
      <c r="C304" s="76"/>
      <c r="D304" s="76"/>
      <c r="E304" s="76"/>
      <c r="F304" s="76"/>
    </row>
    <row r="305">
      <c r="B305" s="76"/>
      <c r="C305" s="76"/>
      <c r="D305" s="76"/>
      <c r="E305" s="76"/>
      <c r="F305" s="76"/>
    </row>
    <row r="306">
      <c r="B306" s="76"/>
      <c r="C306" s="76"/>
      <c r="D306" s="76"/>
      <c r="E306" s="76"/>
      <c r="F306" s="76"/>
    </row>
    <row r="307">
      <c r="B307" s="76"/>
      <c r="C307" s="76"/>
      <c r="D307" s="76"/>
      <c r="E307" s="76"/>
      <c r="F307" s="76"/>
    </row>
    <row r="308">
      <c r="B308" s="76"/>
      <c r="C308" s="76"/>
      <c r="D308" s="76"/>
      <c r="E308" s="76"/>
      <c r="F308" s="76"/>
    </row>
    <row r="309">
      <c r="B309" s="76"/>
      <c r="C309" s="76"/>
      <c r="D309" s="76"/>
      <c r="E309" s="76"/>
      <c r="F309" s="76"/>
    </row>
    <row r="310">
      <c r="B310" s="76"/>
      <c r="C310" s="76"/>
      <c r="D310" s="76"/>
      <c r="E310" s="76"/>
      <c r="F310" s="76"/>
    </row>
    <row r="311">
      <c r="B311" s="76"/>
      <c r="C311" s="76"/>
      <c r="D311" s="76"/>
      <c r="E311" s="76"/>
      <c r="F311" s="76"/>
    </row>
    <row r="312">
      <c r="B312" s="76"/>
      <c r="C312" s="76"/>
      <c r="D312" s="76"/>
      <c r="E312" s="76"/>
      <c r="F312" s="76"/>
    </row>
    <row r="313">
      <c r="B313" s="76"/>
      <c r="C313" s="76"/>
      <c r="D313" s="76"/>
      <c r="E313" s="76"/>
      <c r="F313" s="76"/>
    </row>
    <row r="314">
      <c r="B314" s="76"/>
      <c r="C314" s="76"/>
      <c r="D314" s="76"/>
      <c r="E314" s="76"/>
      <c r="F314" s="76"/>
    </row>
    <row r="315">
      <c r="B315" s="76"/>
      <c r="C315" s="76"/>
      <c r="D315" s="76"/>
      <c r="E315" s="76"/>
      <c r="F315" s="76"/>
    </row>
    <row r="316">
      <c r="B316" s="76"/>
      <c r="C316" s="76"/>
      <c r="D316" s="76"/>
      <c r="E316" s="76"/>
      <c r="F316" s="76"/>
    </row>
    <row r="317">
      <c r="B317" s="76"/>
      <c r="C317" s="76"/>
      <c r="D317" s="76"/>
      <c r="E317" s="76"/>
      <c r="F317" s="76"/>
    </row>
    <row r="318">
      <c r="B318" s="76"/>
      <c r="C318" s="76"/>
      <c r="D318" s="76"/>
      <c r="E318" s="76"/>
      <c r="F318" s="76"/>
    </row>
    <row r="319">
      <c r="B319" s="76"/>
      <c r="C319" s="76"/>
      <c r="D319" s="76"/>
      <c r="E319" s="76"/>
      <c r="F319" s="76"/>
    </row>
    <row r="320">
      <c r="B320" s="76"/>
      <c r="C320" s="76"/>
      <c r="D320" s="76"/>
      <c r="E320" s="76"/>
      <c r="F320" s="76"/>
    </row>
    <row r="321">
      <c r="B321" s="76"/>
      <c r="C321" s="76"/>
      <c r="D321" s="76"/>
      <c r="E321" s="76"/>
      <c r="F321" s="76"/>
    </row>
    <row r="322">
      <c r="B322" s="76"/>
      <c r="C322" s="76"/>
      <c r="D322" s="76"/>
      <c r="E322" s="76"/>
      <c r="F322" s="76"/>
    </row>
    <row r="323">
      <c r="B323" s="76"/>
      <c r="C323" s="76"/>
      <c r="D323" s="76"/>
      <c r="E323" s="76"/>
      <c r="F323" s="76"/>
    </row>
    <row r="324">
      <c r="B324" s="76"/>
      <c r="C324" s="76"/>
      <c r="D324" s="76"/>
      <c r="E324" s="76"/>
      <c r="F324" s="76"/>
    </row>
    <row r="325">
      <c r="B325" s="76"/>
      <c r="C325" s="76"/>
      <c r="D325" s="76"/>
      <c r="E325" s="76"/>
      <c r="F325" s="76"/>
    </row>
    <row r="326">
      <c r="B326" s="76"/>
      <c r="C326" s="76"/>
      <c r="D326" s="76"/>
      <c r="E326" s="76"/>
      <c r="F326" s="76"/>
    </row>
    <row r="327">
      <c r="B327" s="76"/>
      <c r="C327" s="76"/>
      <c r="D327" s="76"/>
      <c r="E327" s="76"/>
      <c r="F327" s="76"/>
    </row>
    <row r="328">
      <c r="B328" s="76"/>
      <c r="C328" s="76"/>
      <c r="D328" s="76"/>
      <c r="E328" s="76"/>
      <c r="F328" s="76"/>
    </row>
    <row r="329">
      <c r="B329" s="76"/>
      <c r="C329" s="76"/>
      <c r="D329" s="76"/>
      <c r="E329" s="76"/>
      <c r="F329" s="76"/>
    </row>
    <row r="330">
      <c r="B330" s="76"/>
      <c r="C330" s="76"/>
      <c r="D330" s="76"/>
      <c r="E330" s="76"/>
      <c r="F330" s="76"/>
    </row>
    <row r="331">
      <c r="B331" s="76"/>
      <c r="C331" s="76"/>
      <c r="D331" s="76"/>
      <c r="E331" s="76"/>
      <c r="F331" s="76"/>
    </row>
    <row r="332">
      <c r="B332" s="76"/>
      <c r="C332" s="76"/>
      <c r="D332" s="76"/>
      <c r="E332" s="76"/>
      <c r="F332" s="76"/>
    </row>
    <row r="333">
      <c r="B333" s="76"/>
      <c r="C333" s="76"/>
      <c r="D333" s="76"/>
      <c r="E333" s="76"/>
      <c r="F333" s="76"/>
    </row>
    <row r="334">
      <c r="B334" s="76"/>
      <c r="C334" s="76"/>
      <c r="D334" s="76"/>
      <c r="E334" s="76"/>
      <c r="F334" s="76"/>
    </row>
    <row r="335">
      <c r="B335" s="76"/>
      <c r="C335" s="76"/>
      <c r="D335" s="76"/>
      <c r="E335" s="76"/>
      <c r="F335" s="76"/>
    </row>
    <row r="336">
      <c r="B336" s="76"/>
      <c r="C336" s="76"/>
      <c r="D336" s="76"/>
      <c r="E336" s="76"/>
      <c r="F336" s="76"/>
    </row>
    <row r="337">
      <c r="B337" s="76"/>
      <c r="C337" s="76"/>
      <c r="D337" s="76"/>
      <c r="E337" s="76"/>
      <c r="F337" s="76"/>
    </row>
    <row r="338">
      <c r="B338" s="76"/>
      <c r="C338" s="76"/>
      <c r="D338" s="76"/>
      <c r="E338" s="76"/>
      <c r="F338" s="76"/>
    </row>
    <row r="339">
      <c r="B339" s="76"/>
      <c r="C339" s="76"/>
      <c r="D339" s="76"/>
      <c r="E339" s="76"/>
      <c r="F339" s="76"/>
    </row>
    <row r="340">
      <c r="B340" s="76"/>
      <c r="C340" s="76"/>
      <c r="D340" s="76"/>
      <c r="E340" s="76"/>
      <c r="F340" s="76"/>
    </row>
    <row r="341">
      <c r="B341" s="76"/>
      <c r="C341" s="76"/>
      <c r="D341" s="76"/>
      <c r="E341" s="76"/>
      <c r="F341" s="76"/>
    </row>
    <row r="342">
      <c r="B342" s="76"/>
      <c r="C342" s="76"/>
      <c r="D342" s="76"/>
      <c r="E342" s="76"/>
      <c r="F342" s="76"/>
    </row>
    <row r="343">
      <c r="B343" s="76"/>
      <c r="C343" s="76"/>
      <c r="D343" s="76"/>
      <c r="E343" s="76"/>
      <c r="F343" s="76"/>
    </row>
    <row r="344">
      <c r="B344" s="76"/>
      <c r="C344" s="76"/>
      <c r="D344" s="76"/>
      <c r="E344" s="76"/>
      <c r="F344" s="76"/>
    </row>
    <row r="345">
      <c r="B345" s="76"/>
      <c r="C345" s="76"/>
      <c r="D345" s="76"/>
      <c r="E345" s="76"/>
      <c r="F345" s="76"/>
    </row>
    <row r="346">
      <c r="B346" s="76"/>
      <c r="C346" s="76"/>
      <c r="D346" s="76"/>
      <c r="E346" s="76"/>
      <c r="F346" s="76"/>
    </row>
    <row r="347">
      <c r="B347" s="76"/>
      <c r="C347" s="76"/>
      <c r="D347" s="76"/>
      <c r="E347" s="76"/>
      <c r="F347" s="76"/>
    </row>
    <row r="348">
      <c r="B348" s="76"/>
      <c r="C348" s="76"/>
      <c r="D348" s="76"/>
      <c r="E348" s="76"/>
      <c r="F348" s="76"/>
    </row>
    <row r="349">
      <c r="B349" s="76"/>
      <c r="C349" s="76"/>
      <c r="D349" s="76"/>
      <c r="E349" s="76"/>
      <c r="F349" s="76"/>
    </row>
    <row r="350">
      <c r="B350" s="76"/>
      <c r="C350" s="76"/>
      <c r="D350" s="76"/>
      <c r="E350" s="76"/>
      <c r="F350" s="76"/>
    </row>
    <row r="351">
      <c r="B351" s="76"/>
      <c r="C351" s="76"/>
      <c r="D351" s="76"/>
      <c r="E351" s="76"/>
      <c r="F351" s="76"/>
    </row>
    <row r="352">
      <c r="B352" s="76"/>
      <c r="C352" s="76"/>
      <c r="D352" s="76"/>
      <c r="E352" s="76"/>
      <c r="F352" s="76"/>
    </row>
    <row r="353">
      <c r="B353" s="76"/>
      <c r="C353" s="76"/>
      <c r="D353" s="76"/>
      <c r="E353" s="76"/>
      <c r="F353" s="76"/>
    </row>
    <row r="354">
      <c r="B354" s="76"/>
      <c r="C354" s="76"/>
      <c r="D354" s="76"/>
      <c r="E354" s="76"/>
      <c r="F354" s="76"/>
    </row>
    <row r="355">
      <c r="B355" s="76"/>
      <c r="C355" s="76"/>
      <c r="D355" s="76"/>
      <c r="E355" s="76"/>
      <c r="F355" s="76"/>
    </row>
    <row r="356">
      <c r="B356" s="76"/>
      <c r="C356" s="76"/>
      <c r="D356" s="76"/>
      <c r="E356" s="76"/>
      <c r="F356" s="76"/>
    </row>
    <row r="357">
      <c r="B357" s="76"/>
      <c r="C357" s="76"/>
      <c r="D357" s="76"/>
      <c r="E357" s="76"/>
      <c r="F357" s="76"/>
    </row>
    <row r="358">
      <c r="B358" s="76"/>
      <c r="C358" s="76"/>
      <c r="D358" s="76"/>
      <c r="E358" s="76"/>
      <c r="F358" s="76"/>
    </row>
    <row r="359">
      <c r="B359" s="76"/>
      <c r="C359" s="76"/>
      <c r="D359" s="76"/>
      <c r="E359" s="76"/>
      <c r="F359" s="76"/>
    </row>
    <row r="360">
      <c r="B360" s="76"/>
      <c r="C360" s="76"/>
      <c r="D360" s="76"/>
      <c r="E360" s="76"/>
      <c r="F360" s="76"/>
    </row>
    <row r="361">
      <c r="B361" s="76"/>
      <c r="C361" s="76"/>
      <c r="D361" s="76"/>
      <c r="E361" s="76"/>
      <c r="F361" s="76"/>
    </row>
    <row r="362">
      <c r="B362" s="76"/>
      <c r="C362" s="76"/>
      <c r="D362" s="76"/>
      <c r="E362" s="76"/>
      <c r="F362" s="76"/>
    </row>
    <row r="363">
      <c r="B363" s="76"/>
      <c r="C363" s="76"/>
      <c r="D363" s="76"/>
      <c r="E363" s="76"/>
      <c r="F363" s="76"/>
    </row>
    <row r="364">
      <c r="B364" s="76"/>
      <c r="C364" s="76"/>
      <c r="D364" s="76"/>
      <c r="E364" s="76"/>
      <c r="F364" s="76"/>
    </row>
    <row r="365">
      <c r="B365" s="76"/>
      <c r="C365" s="76"/>
      <c r="D365" s="76"/>
      <c r="E365" s="76"/>
      <c r="F365" s="76"/>
    </row>
    <row r="366">
      <c r="B366" s="76"/>
      <c r="C366" s="76"/>
      <c r="D366" s="76"/>
      <c r="E366" s="76"/>
      <c r="F366" s="76"/>
    </row>
    <row r="367">
      <c r="B367" s="76"/>
      <c r="C367" s="76"/>
      <c r="D367" s="76"/>
      <c r="E367" s="76"/>
      <c r="F367" s="76"/>
    </row>
    <row r="368">
      <c r="B368" s="76"/>
      <c r="C368" s="76"/>
      <c r="D368" s="76"/>
      <c r="E368" s="76"/>
      <c r="F368" s="76"/>
    </row>
    <row r="369">
      <c r="B369" s="76"/>
      <c r="C369" s="76"/>
      <c r="D369" s="76"/>
      <c r="E369" s="76"/>
      <c r="F369" s="76"/>
    </row>
    <row r="370">
      <c r="B370" s="76"/>
      <c r="C370" s="76"/>
      <c r="D370" s="76"/>
      <c r="E370" s="76"/>
      <c r="F370" s="76"/>
    </row>
    <row r="371">
      <c r="B371" s="76"/>
      <c r="C371" s="76"/>
      <c r="D371" s="76"/>
      <c r="E371" s="76"/>
      <c r="F371" s="76"/>
    </row>
    <row r="372">
      <c r="B372" s="76"/>
      <c r="C372" s="76"/>
      <c r="D372" s="76"/>
      <c r="E372" s="76"/>
      <c r="F372" s="76"/>
    </row>
    <row r="373">
      <c r="B373" s="76"/>
      <c r="C373" s="76"/>
      <c r="D373" s="76"/>
      <c r="E373" s="76"/>
      <c r="F373" s="76"/>
    </row>
    <row r="374">
      <c r="B374" s="76"/>
      <c r="C374" s="76"/>
      <c r="D374" s="76"/>
      <c r="E374" s="76"/>
      <c r="F374" s="76"/>
    </row>
    <row r="375">
      <c r="B375" s="76"/>
      <c r="C375" s="76"/>
      <c r="D375" s="76"/>
      <c r="E375" s="76"/>
      <c r="F375" s="76"/>
    </row>
    <row r="376">
      <c r="B376" s="76"/>
      <c r="C376" s="76"/>
      <c r="D376" s="76"/>
      <c r="E376" s="76"/>
      <c r="F376" s="76"/>
    </row>
    <row r="377">
      <c r="B377" s="76"/>
      <c r="C377" s="76"/>
      <c r="D377" s="76"/>
      <c r="E377" s="76"/>
      <c r="F377" s="76"/>
    </row>
    <row r="378">
      <c r="B378" s="76"/>
      <c r="C378" s="76"/>
      <c r="D378" s="76"/>
      <c r="E378" s="76"/>
      <c r="F378" s="76"/>
    </row>
    <row r="379">
      <c r="B379" s="76"/>
      <c r="C379" s="76"/>
      <c r="D379" s="76"/>
      <c r="E379" s="76"/>
      <c r="F379" s="76"/>
    </row>
    <row r="380">
      <c r="B380" s="76"/>
      <c r="C380" s="76"/>
      <c r="D380" s="76"/>
      <c r="E380" s="76"/>
      <c r="F380" s="76"/>
    </row>
    <row r="381">
      <c r="B381" s="76"/>
      <c r="C381" s="76"/>
      <c r="D381" s="76"/>
      <c r="E381" s="76"/>
      <c r="F381" s="76"/>
    </row>
    <row r="382">
      <c r="B382" s="76"/>
      <c r="C382" s="76"/>
      <c r="D382" s="76"/>
      <c r="E382" s="76"/>
      <c r="F382" s="76"/>
    </row>
    <row r="383">
      <c r="B383" s="76"/>
      <c r="C383" s="76"/>
      <c r="D383" s="76"/>
      <c r="E383" s="76"/>
      <c r="F383" s="76"/>
    </row>
    <row r="384">
      <c r="B384" s="76"/>
      <c r="C384" s="76"/>
      <c r="D384" s="76"/>
      <c r="E384" s="76"/>
      <c r="F384" s="76"/>
    </row>
    <row r="385">
      <c r="B385" s="76"/>
      <c r="C385" s="76"/>
      <c r="D385" s="76"/>
      <c r="E385" s="76"/>
      <c r="F385" s="76"/>
    </row>
    <row r="386">
      <c r="B386" s="76"/>
      <c r="C386" s="76"/>
      <c r="D386" s="76"/>
      <c r="E386" s="76"/>
      <c r="F386" s="76"/>
    </row>
    <row r="387">
      <c r="B387" s="76"/>
      <c r="C387" s="76"/>
      <c r="D387" s="76"/>
      <c r="E387" s="76"/>
      <c r="F387" s="76"/>
    </row>
    <row r="388">
      <c r="B388" s="76"/>
      <c r="C388" s="76"/>
      <c r="D388" s="76"/>
      <c r="E388" s="76"/>
      <c r="F388" s="76"/>
    </row>
    <row r="389">
      <c r="B389" s="76"/>
      <c r="C389" s="76"/>
      <c r="D389" s="76"/>
      <c r="E389" s="76"/>
      <c r="F389" s="76"/>
    </row>
    <row r="390">
      <c r="B390" s="76"/>
      <c r="C390" s="76"/>
      <c r="D390" s="76"/>
      <c r="E390" s="76"/>
      <c r="F390" s="76"/>
    </row>
    <row r="391">
      <c r="B391" s="76"/>
      <c r="C391" s="76"/>
      <c r="D391" s="76"/>
      <c r="E391" s="76"/>
      <c r="F391" s="76"/>
    </row>
    <row r="392">
      <c r="B392" s="76"/>
      <c r="C392" s="76"/>
      <c r="D392" s="76"/>
      <c r="E392" s="76"/>
      <c r="F392" s="76"/>
    </row>
    <row r="393">
      <c r="B393" s="76"/>
      <c r="C393" s="76"/>
      <c r="D393" s="76"/>
      <c r="E393" s="76"/>
      <c r="F393" s="76"/>
    </row>
    <row r="394">
      <c r="B394" s="76"/>
      <c r="C394" s="76"/>
      <c r="D394" s="76"/>
      <c r="E394" s="76"/>
      <c r="F394" s="76"/>
    </row>
    <row r="395">
      <c r="B395" s="76"/>
      <c r="C395" s="76"/>
      <c r="D395" s="76"/>
      <c r="E395" s="76"/>
      <c r="F395" s="76"/>
    </row>
    <row r="396">
      <c r="B396" s="76"/>
      <c r="C396" s="76"/>
      <c r="D396" s="76"/>
      <c r="E396" s="76"/>
      <c r="F396" s="76"/>
    </row>
    <row r="397">
      <c r="B397" s="76"/>
      <c r="C397" s="76"/>
      <c r="D397" s="76"/>
      <c r="E397" s="76"/>
      <c r="F397" s="76"/>
    </row>
    <row r="398">
      <c r="B398" s="76"/>
      <c r="C398" s="76"/>
      <c r="D398" s="76"/>
      <c r="E398" s="76"/>
      <c r="F398" s="76"/>
    </row>
    <row r="399">
      <c r="B399" s="76"/>
      <c r="C399" s="76"/>
      <c r="D399" s="76"/>
      <c r="E399" s="76"/>
      <c r="F399" s="76"/>
    </row>
    <row r="400">
      <c r="B400" s="76"/>
      <c r="C400" s="76"/>
      <c r="D400" s="76"/>
      <c r="E400" s="76"/>
      <c r="F400" s="76"/>
    </row>
    <row r="401">
      <c r="B401" s="76"/>
      <c r="C401" s="76"/>
      <c r="D401" s="76"/>
      <c r="E401" s="76"/>
      <c r="F401" s="76"/>
    </row>
    <row r="402">
      <c r="B402" s="76"/>
      <c r="C402" s="76"/>
      <c r="D402" s="76"/>
      <c r="E402" s="76"/>
      <c r="F402" s="76"/>
    </row>
    <row r="403">
      <c r="B403" s="76"/>
      <c r="C403" s="76"/>
      <c r="D403" s="76"/>
      <c r="E403" s="76"/>
      <c r="F403" s="76"/>
    </row>
    <row r="404">
      <c r="B404" s="76"/>
      <c r="C404" s="76"/>
      <c r="D404" s="76"/>
      <c r="E404" s="76"/>
      <c r="F404" s="76"/>
    </row>
    <row r="405">
      <c r="B405" s="76"/>
      <c r="C405" s="76"/>
      <c r="D405" s="76"/>
      <c r="E405" s="76"/>
      <c r="F405" s="76"/>
    </row>
    <row r="406">
      <c r="B406" s="76"/>
      <c r="C406" s="76"/>
      <c r="D406" s="76"/>
      <c r="E406" s="76"/>
      <c r="F406" s="76"/>
    </row>
    <row r="407">
      <c r="B407" s="76"/>
      <c r="C407" s="76"/>
      <c r="D407" s="76"/>
      <c r="E407" s="76"/>
      <c r="F407" s="76"/>
    </row>
    <row r="408">
      <c r="B408" s="76"/>
      <c r="C408" s="76"/>
      <c r="D408" s="76"/>
      <c r="E408" s="76"/>
      <c r="F408" s="76"/>
    </row>
    <row r="409">
      <c r="B409" s="76"/>
      <c r="C409" s="76"/>
      <c r="D409" s="76"/>
      <c r="E409" s="76"/>
      <c r="F409" s="76"/>
    </row>
    <row r="410">
      <c r="B410" s="76"/>
      <c r="C410" s="76"/>
      <c r="D410" s="76"/>
      <c r="E410" s="76"/>
      <c r="F410" s="76"/>
    </row>
    <row r="411">
      <c r="B411" s="76"/>
      <c r="C411" s="76"/>
      <c r="D411" s="76"/>
      <c r="E411" s="76"/>
      <c r="F411" s="76"/>
    </row>
    <row r="412">
      <c r="B412" s="76"/>
      <c r="C412" s="76"/>
      <c r="D412" s="76"/>
      <c r="E412" s="76"/>
      <c r="F412" s="76"/>
    </row>
    <row r="413">
      <c r="B413" s="76"/>
      <c r="C413" s="76"/>
      <c r="D413" s="76"/>
      <c r="E413" s="76"/>
      <c r="F413" s="76"/>
    </row>
    <row r="414">
      <c r="B414" s="76"/>
      <c r="C414" s="76"/>
      <c r="D414" s="76"/>
      <c r="E414" s="76"/>
      <c r="F414" s="76"/>
    </row>
    <row r="415">
      <c r="B415" s="76"/>
      <c r="C415" s="76"/>
      <c r="D415" s="76"/>
      <c r="E415" s="76"/>
      <c r="F415" s="76"/>
    </row>
    <row r="416">
      <c r="B416" s="76"/>
      <c r="C416" s="76"/>
      <c r="D416" s="76"/>
      <c r="E416" s="76"/>
      <c r="F416" s="76"/>
    </row>
    <row r="417">
      <c r="B417" s="76"/>
      <c r="C417" s="76"/>
      <c r="D417" s="76"/>
      <c r="E417" s="76"/>
      <c r="F417" s="76"/>
    </row>
    <row r="418">
      <c r="B418" s="76"/>
      <c r="C418" s="76"/>
      <c r="D418" s="76"/>
      <c r="E418" s="76"/>
      <c r="F418" s="76"/>
    </row>
    <row r="419">
      <c r="B419" s="76"/>
      <c r="C419" s="76"/>
      <c r="D419" s="76"/>
      <c r="E419" s="76"/>
      <c r="F419" s="76"/>
    </row>
    <row r="420">
      <c r="B420" s="76"/>
      <c r="C420" s="76"/>
      <c r="D420" s="76"/>
      <c r="E420" s="76"/>
      <c r="F420" s="76"/>
    </row>
    <row r="421">
      <c r="B421" s="76"/>
      <c r="C421" s="76"/>
      <c r="D421" s="76"/>
      <c r="E421" s="76"/>
      <c r="F421" s="76"/>
    </row>
    <row r="422">
      <c r="B422" s="76"/>
      <c r="C422" s="76"/>
      <c r="D422" s="76"/>
      <c r="E422" s="76"/>
      <c r="F422" s="76"/>
    </row>
    <row r="423">
      <c r="B423" s="76"/>
      <c r="C423" s="76"/>
      <c r="D423" s="76"/>
      <c r="E423" s="76"/>
      <c r="F423" s="76"/>
    </row>
    <row r="424">
      <c r="B424" s="76"/>
      <c r="C424" s="76"/>
      <c r="D424" s="76"/>
      <c r="E424" s="76"/>
      <c r="F424" s="76"/>
    </row>
    <row r="425">
      <c r="B425" s="76"/>
      <c r="C425" s="76"/>
      <c r="D425" s="76"/>
      <c r="E425" s="76"/>
      <c r="F425" s="76"/>
    </row>
    <row r="426">
      <c r="B426" s="76"/>
      <c r="C426" s="76"/>
      <c r="D426" s="76"/>
      <c r="E426" s="76"/>
      <c r="F426" s="76"/>
    </row>
    <row r="427">
      <c r="B427" s="76"/>
      <c r="C427" s="76"/>
      <c r="D427" s="76"/>
      <c r="E427" s="76"/>
      <c r="F427" s="76"/>
    </row>
    <row r="428">
      <c r="B428" s="76"/>
      <c r="C428" s="76"/>
      <c r="D428" s="76"/>
      <c r="E428" s="76"/>
      <c r="F428" s="76"/>
    </row>
    <row r="429">
      <c r="B429" s="76"/>
      <c r="C429" s="76"/>
      <c r="D429" s="76"/>
      <c r="E429" s="76"/>
      <c r="F429" s="76"/>
    </row>
    <row r="430">
      <c r="B430" s="76"/>
      <c r="C430" s="76"/>
      <c r="D430" s="76"/>
      <c r="E430" s="76"/>
      <c r="F430" s="76"/>
    </row>
    <row r="431">
      <c r="B431" s="76"/>
      <c r="C431" s="76"/>
      <c r="D431" s="76"/>
      <c r="E431" s="76"/>
      <c r="F431" s="76"/>
    </row>
    <row r="432">
      <c r="B432" s="76"/>
      <c r="C432" s="76"/>
      <c r="D432" s="76"/>
      <c r="E432" s="76"/>
      <c r="F432" s="76"/>
    </row>
    <row r="433">
      <c r="B433" s="76"/>
      <c r="C433" s="76"/>
      <c r="D433" s="76"/>
      <c r="E433" s="76"/>
      <c r="F433" s="76"/>
    </row>
    <row r="434">
      <c r="B434" s="76"/>
      <c r="C434" s="76"/>
      <c r="D434" s="76"/>
      <c r="E434" s="76"/>
      <c r="F434" s="76"/>
    </row>
    <row r="435">
      <c r="B435" s="76"/>
      <c r="C435" s="76"/>
      <c r="D435" s="76"/>
      <c r="E435" s="76"/>
      <c r="F435" s="76"/>
    </row>
    <row r="436">
      <c r="B436" s="76"/>
      <c r="C436" s="76"/>
      <c r="D436" s="76"/>
      <c r="E436" s="76"/>
      <c r="F436" s="76"/>
    </row>
    <row r="437">
      <c r="B437" s="76"/>
      <c r="C437" s="76"/>
      <c r="D437" s="76"/>
      <c r="E437" s="76"/>
      <c r="F437" s="76"/>
    </row>
    <row r="438">
      <c r="B438" s="76"/>
      <c r="C438" s="76"/>
      <c r="D438" s="76"/>
      <c r="E438" s="76"/>
      <c r="F438" s="76"/>
    </row>
    <row r="439">
      <c r="B439" s="76"/>
      <c r="C439" s="76"/>
      <c r="D439" s="76"/>
      <c r="E439" s="76"/>
      <c r="F439" s="76"/>
    </row>
    <row r="440">
      <c r="B440" s="76"/>
      <c r="C440" s="76"/>
      <c r="D440" s="76"/>
      <c r="E440" s="76"/>
      <c r="F440" s="76"/>
    </row>
    <row r="441">
      <c r="B441" s="76"/>
      <c r="C441" s="76"/>
      <c r="D441" s="76"/>
      <c r="E441" s="76"/>
      <c r="F441" s="76"/>
    </row>
    <row r="442">
      <c r="B442" s="76"/>
      <c r="C442" s="76"/>
      <c r="D442" s="76"/>
      <c r="E442" s="76"/>
      <c r="F442" s="76"/>
    </row>
    <row r="443">
      <c r="B443" s="76"/>
      <c r="C443" s="76"/>
      <c r="D443" s="76"/>
      <c r="E443" s="76"/>
      <c r="F443" s="76"/>
    </row>
    <row r="444">
      <c r="B444" s="76"/>
      <c r="C444" s="76"/>
      <c r="D444" s="76"/>
      <c r="E444" s="76"/>
      <c r="F444" s="76"/>
    </row>
    <row r="445">
      <c r="B445" s="76"/>
      <c r="C445" s="76"/>
      <c r="D445" s="76"/>
      <c r="E445" s="76"/>
      <c r="F445" s="76"/>
    </row>
    <row r="446">
      <c r="B446" s="76"/>
      <c r="C446" s="76"/>
      <c r="D446" s="76"/>
      <c r="E446" s="76"/>
      <c r="F446" s="76"/>
    </row>
    <row r="447">
      <c r="B447" s="76"/>
      <c r="C447" s="76"/>
      <c r="D447" s="76"/>
      <c r="E447" s="76"/>
      <c r="F447" s="76"/>
    </row>
    <row r="448">
      <c r="B448" s="76"/>
      <c r="C448" s="76"/>
      <c r="D448" s="76"/>
      <c r="E448" s="76"/>
      <c r="F448" s="76"/>
    </row>
    <row r="449">
      <c r="B449" s="76"/>
      <c r="C449" s="76"/>
      <c r="D449" s="76"/>
      <c r="E449" s="76"/>
      <c r="F449" s="76"/>
    </row>
    <row r="450">
      <c r="B450" s="76"/>
      <c r="C450" s="76"/>
      <c r="D450" s="76"/>
      <c r="E450" s="76"/>
      <c r="F450" s="76"/>
    </row>
    <row r="451">
      <c r="B451" s="76"/>
      <c r="C451" s="76"/>
      <c r="D451" s="76"/>
      <c r="E451" s="76"/>
      <c r="F451" s="76"/>
    </row>
    <row r="452">
      <c r="B452" s="76"/>
      <c r="C452" s="76"/>
      <c r="D452" s="76"/>
      <c r="E452" s="76"/>
      <c r="F452" s="76"/>
    </row>
    <row r="453">
      <c r="B453" s="76"/>
      <c r="C453" s="76"/>
      <c r="D453" s="76"/>
      <c r="E453" s="76"/>
      <c r="F453" s="76"/>
    </row>
    <row r="454">
      <c r="B454" s="76"/>
      <c r="C454" s="76"/>
      <c r="D454" s="76"/>
      <c r="E454" s="76"/>
      <c r="F454" s="76"/>
    </row>
    <row r="455">
      <c r="B455" s="76"/>
      <c r="C455" s="76"/>
      <c r="D455" s="76"/>
      <c r="E455" s="76"/>
      <c r="F455" s="76"/>
    </row>
    <row r="456">
      <c r="B456" s="76"/>
      <c r="C456" s="76"/>
      <c r="D456" s="76"/>
      <c r="E456" s="76"/>
      <c r="F456" s="76"/>
    </row>
    <row r="457">
      <c r="B457" s="76"/>
      <c r="C457" s="76"/>
      <c r="D457" s="76"/>
      <c r="E457" s="76"/>
      <c r="F457" s="76"/>
    </row>
    <row r="458">
      <c r="B458" s="76"/>
      <c r="C458" s="76"/>
      <c r="D458" s="76"/>
      <c r="E458" s="76"/>
      <c r="F458" s="76"/>
    </row>
    <row r="459">
      <c r="B459" s="76"/>
      <c r="C459" s="76"/>
      <c r="D459" s="76"/>
      <c r="E459" s="76"/>
      <c r="F459" s="76"/>
    </row>
    <row r="460">
      <c r="B460" s="76"/>
      <c r="C460" s="76"/>
      <c r="D460" s="76"/>
      <c r="E460" s="76"/>
      <c r="F460" s="76"/>
    </row>
    <row r="461">
      <c r="B461" s="76"/>
      <c r="C461" s="76"/>
      <c r="D461" s="76"/>
      <c r="E461" s="76"/>
      <c r="F461" s="76"/>
    </row>
    <row r="462">
      <c r="B462" s="76"/>
      <c r="C462" s="76"/>
      <c r="D462" s="76"/>
      <c r="E462" s="76"/>
      <c r="F462" s="76"/>
    </row>
    <row r="463">
      <c r="B463" s="76"/>
      <c r="C463" s="76"/>
      <c r="D463" s="76"/>
      <c r="E463" s="76"/>
      <c r="F463" s="76"/>
    </row>
    <row r="464">
      <c r="B464" s="76"/>
      <c r="C464" s="76"/>
      <c r="D464" s="76"/>
      <c r="E464" s="76"/>
      <c r="F464" s="76"/>
    </row>
    <row r="465">
      <c r="B465" s="76"/>
      <c r="C465" s="76"/>
      <c r="D465" s="76"/>
      <c r="E465" s="76"/>
      <c r="F465" s="76"/>
    </row>
    <row r="466">
      <c r="B466" s="76"/>
      <c r="C466" s="76"/>
      <c r="D466" s="76"/>
      <c r="E466" s="76"/>
      <c r="F466" s="76"/>
    </row>
    <row r="467">
      <c r="B467" s="76"/>
      <c r="C467" s="76"/>
      <c r="D467" s="76"/>
      <c r="E467" s="76"/>
      <c r="F467" s="76"/>
    </row>
    <row r="468">
      <c r="B468" s="76"/>
      <c r="C468" s="76"/>
      <c r="D468" s="76"/>
      <c r="E468" s="76"/>
      <c r="F468" s="76"/>
    </row>
    <row r="469">
      <c r="B469" s="76"/>
      <c r="C469" s="76"/>
      <c r="D469" s="76"/>
      <c r="E469" s="76"/>
      <c r="F469" s="76"/>
    </row>
    <row r="470">
      <c r="B470" s="76"/>
      <c r="C470" s="76"/>
      <c r="D470" s="76"/>
      <c r="E470" s="76"/>
      <c r="F470" s="76"/>
    </row>
    <row r="471">
      <c r="B471" s="76"/>
      <c r="C471" s="76"/>
      <c r="D471" s="76"/>
      <c r="E471" s="76"/>
      <c r="F471" s="76"/>
    </row>
    <row r="472">
      <c r="B472" s="76"/>
      <c r="C472" s="76"/>
      <c r="D472" s="76"/>
      <c r="E472" s="76"/>
      <c r="F472" s="76"/>
    </row>
    <row r="473">
      <c r="B473" s="76"/>
      <c r="C473" s="76"/>
      <c r="D473" s="76"/>
      <c r="E473" s="76"/>
      <c r="F473" s="76"/>
    </row>
    <row r="474">
      <c r="B474" s="76"/>
      <c r="C474" s="76"/>
      <c r="D474" s="76"/>
      <c r="E474" s="76"/>
      <c r="F474" s="76"/>
    </row>
    <row r="475">
      <c r="B475" s="76"/>
      <c r="C475" s="76"/>
      <c r="D475" s="76"/>
      <c r="E475" s="76"/>
      <c r="F475" s="76"/>
    </row>
    <row r="476">
      <c r="B476" s="76"/>
      <c r="C476" s="76"/>
      <c r="D476" s="76"/>
      <c r="E476" s="76"/>
      <c r="F476" s="76"/>
    </row>
    <row r="477">
      <c r="B477" s="76"/>
      <c r="C477" s="76"/>
      <c r="D477" s="76"/>
      <c r="E477" s="76"/>
      <c r="F477" s="76"/>
    </row>
    <row r="478">
      <c r="B478" s="76"/>
      <c r="C478" s="76"/>
      <c r="D478" s="76"/>
      <c r="E478" s="76"/>
      <c r="F478" s="76"/>
    </row>
    <row r="479">
      <c r="B479" s="76"/>
      <c r="C479" s="76"/>
      <c r="D479" s="76"/>
      <c r="E479" s="76"/>
      <c r="F479" s="76"/>
    </row>
    <row r="480">
      <c r="B480" s="76"/>
      <c r="C480" s="76"/>
      <c r="D480" s="76"/>
      <c r="E480" s="76"/>
      <c r="F480" s="76"/>
    </row>
    <row r="481">
      <c r="B481" s="76"/>
      <c r="C481" s="76"/>
      <c r="D481" s="76"/>
      <c r="E481" s="76"/>
      <c r="F481" s="76"/>
    </row>
    <row r="482">
      <c r="B482" s="76"/>
      <c r="C482" s="76"/>
      <c r="D482" s="76"/>
      <c r="E482" s="76"/>
      <c r="F482" s="76"/>
    </row>
    <row r="483">
      <c r="B483" s="76"/>
      <c r="C483" s="76"/>
      <c r="D483" s="76"/>
      <c r="E483" s="76"/>
      <c r="F483" s="76"/>
    </row>
    <row r="484">
      <c r="B484" s="76"/>
      <c r="C484" s="76"/>
      <c r="D484" s="76"/>
      <c r="E484" s="76"/>
      <c r="F484" s="76"/>
    </row>
    <row r="485">
      <c r="B485" s="76"/>
      <c r="C485" s="76"/>
      <c r="D485" s="76"/>
      <c r="E485" s="76"/>
      <c r="F485" s="76"/>
    </row>
    <row r="486">
      <c r="B486" s="76"/>
      <c r="C486" s="76"/>
      <c r="D486" s="76"/>
      <c r="E486" s="76"/>
      <c r="F486" s="76"/>
    </row>
    <row r="487">
      <c r="B487" s="76"/>
      <c r="C487" s="76"/>
      <c r="D487" s="76"/>
      <c r="E487" s="76"/>
      <c r="F487" s="76"/>
    </row>
    <row r="488">
      <c r="B488" s="76"/>
      <c r="C488" s="76"/>
      <c r="D488" s="76"/>
      <c r="E488" s="76"/>
      <c r="F488" s="76"/>
    </row>
    <row r="489">
      <c r="B489" s="76"/>
      <c r="C489" s="76"/>
      <c r="D489" s="76"/>
      <c r="E489" s="76"/>
      <c r="F489" s="76"/>
    </row>
    <row r="490">
      <c r="B490" s="76"/>
      <c r="C490" s="76"/>
      <c r="D490" s="76"/>
      <c r="E490" s="76"/>
      <c r="F490" s="76"/>
    </row>
    <row r="491">
      <c r="B491" s="76"/>
      <c r="C491" s="76"/>
      <c r="D491" s="76"/>
      <c r="E491" s="76"/>
      <c r="F491" s="76"/>
    </row>
    <row r="492">
      <c r="B492" s="76"/>
      <c r="C492" s="76"/>
      <c r="D492" s="76"/>
      <c r="E492" s="76"/>
      <c r="F492" s="76"/>
    </row>
    <row r="493">
      <c r="B493" s="76"/>
      <c r="C493" s="76"/>
      <c r="D493" s="76"/>
      <c r="E493" s="76"/>
      <c r="F493" s="76"/>
    </row>
    <row r="494">
      <c r="B494" s="76"/>
      <c r="C494" s="76"/>
      <c r="D494" s="76"/>
      <c r="E494" s="76"/>
      <c r="F494" s="76"/>
    </row>
    <row r="495">
      <c r="B495" s="76"/>
      <c r="C495" s="76"/>
      <c r="D495" s="76"/>
      <c r="E495" s="76"/>
      <c r="F495" s="76"/>
    </row>
    <row r="496">
      <c r="B496" s="76"/>
      <c r="C496" s="76"/>
      <c r="D496" s="76"/>
      <c r="E496" s="76"/>
      <c r="F496" s="76"/>
    </row>
    <row r="497">
      <c r="B497" s="76"/>
      <c r="C497" s="76"/>
      <c r="D497" s="76"/>
      <c r="E497" s="76"/>
      <c r="F497" s="76"/>
    </row>
    <row r="498">
      <c r="B498" s="76"/>
      <c r="C498" s="76"/>
      <c r="D498" s="76"/>
      <c r="E498" s="76"/>
      <c r="F498" s="76"/>
    </row>
    <row r="499">
      <c r="B499" s="76"/>
      <c r="C499" s="76"/>
      <c r="D499" s="76"/>
      <c r="E499" s="76"/>
      <c r="F499" s="76"/>
    </row>
    <row r="500">
      <c r="B500" s="76"/>
      <c r="C500" s="76"/>
      <c r="D500" s="76"/>
      <c r="E500" s="76"/>
      <c r="F500" s="76"/>
    </row>
    <row r="501">
      <c r="B501" s="76"/>
      <c r="C501" s="76"/>
      <c r="D501" s="76"/>
      <c r="E501" s="76"/>
      <c r="F501" s="76"/>
    </row>
    <row r="502">
      <c r="B502" s="76"/>
      <c r="C502" s="76"/>
      <c r="D502" s="76"/>
      <c r="E502" s="76"/>
      <c r="F502" s="76"/>
    </row>
    <row r="503">
      <c r="B503" s="76"/>
      <c r="C503" s="76"/>
      <c r="D503" s="76"/>
      <c r="E503" s="76"/>
      <c r="F503" s="76"/>
    </row>
    <row r="504">
      <c r="B504" s="76"/>
      <c r="C504" s="76"/>
      <c r="D504" s="76"/>
      <c r="E504" s="76"/>
      <c r="F504" s="76"/>
    </row>
    <row r="505">
      <c r="B505" s="76"/>
      <c r="C505" s="76"/>
      <c r="D505" s="76"/>
      <c r="E505" s="76"/>
      <c r="F505" s="76"/>
    </row>
    <row r="506">
      <c r="B506" s="76"/>
      <c r="C506" s="76"/>
      <c r="D506" s="76"/>
      <c r="E506" s="76"/>
      <c r="F506" s="76"/>
    </row>
    <row r="507">
      <c r="B507" s="76"/>
      <c r="C507" s="76"/>
      <c r="D507" s="76"/>
      <c r="E507" s="76"/>
      <c r="F507" s="76"/>
    </row>
    <row r="508">
      <c r="B508" s="76"/>
      <c r="C508" s="76"/>
      <c r="D508" s="76"/>
      <c r="E508" s="76"/>
      <c r="F508" s="76"/>
    </row>
    <row r="509">
      <c r="B509" s="76"/>
      <c r="C509" s="76"/>
      <c r="D509" s="76"/>
      <c r="E509" s="76"/>
      <c r="F509" s="76"/>
    </row>
    <row r="510">
      <c r="B510" s="76"/>
      <c r="C510" s="76"/>
      <c r="D510" s="76"/>
      <c r="E510" s="76"/>
      <c r="F510" s="76"/>
    </row>
    <row r="511">
      <c r="B511" s="76"/>
      <c r="C511" s="76"/>
      <c r="D511" s="76"/>
      <c r="E511" s="76"/>
      <c r="F511" s="76"/>
    </row>
    <row r="512">
      <c r="B512" s="76"/>
      <c r="C512" s="76"/>
      <c r="D512" s="76"/>
      <c r="E512" s="76"/>
      <c r="F512" s="76"/>
    </row>
    <row r="513">
      <c r="B513" s="76"/>
      <c r="C513" s="76"/>
      <c r="D513" s="76"/>
      <c r="E513" s="76"/>
      <c r="F513" s="76"/>
    </row>
    <row r="514">
      <c r="B514" s="76"/>
      <c r="C514" s="76"/>
      <c r="D514" s="76"/>
      <c r="E514" s="76"/>
      <c r="F514" s="76"/>
    </row>
    <row r="515">
      <c r="B515" s="76"/>
      <c r="C515" s="76"/>
      <c r="D515" s="76"/>
      <c r="E515" s="76"/>
      <c r="F515" s="76"/>
    </row>
    <row r="516">
      <c r="B516" s="76"/>
      <c r="C516" s="76"/>
      <c r="D516" s="76"/>
      <c r="E516" s="76"/>
      <c r="F516" s="76"/>
    </row>
    <row r="517">
      <c r="B517" s="76"/>
      <c r="C517" s="76"/>
      <c r="D517" s="76"/>
      <c r="E517" s="76"/>
      <c r="F517" s="76"/>
    </row>
    <row r="518">
      <c r="B518" s="76"/>
      <c r="C518" s="76"/>
      <c r="D518" s="76"/>
      <c r="E518" s="76"/>
      <c r="F518" s="76"/>
    </row>
    <row r="519">
      <c r="B519" s="76"/>
      <c r="C519" s="76"/>
      <c r="D519" s="76"/>
      <c r="E519" s="76"/>
      <c r="F519" s="76"/>
    </row>
    <row r="520">
      <c r="B520" s="76"/>
      <c r="C520" s="76"/>
      <c r="D520" s="76"/>
      <c r="E520" s="76"/>
      <c r="F520" s="76"/>
    </row>
    <row r="521">
      <c r="B521" s="76"/>
      <c r="C521" s="76"/>
      <c r="D521" s="76"/>
      <c r="E521" s="76"/>
      <c r="F521" s="76"/>
    </row>
    <row r="522">
      <c r="B522" s="76"/>
      <c r="C522" s="76"/>
      <c r="D522" s="76"/>
      <c r="E522" s="76"/>
      <c r="F522" s="76"/>
    </row>
    <row r="523">
      <c r="B523" s="76"/>
      <c r="C523" s="76"/>
      <c r="D523" s="76"/>
      <c r="E523" s="76"/>
      <c r="F523" s="76"/>
    </row>
    <row r="524">
      <c r="B524" s="76"/>
      <c r="C524" s="76"/>
      <c r="D524" s="76"/>
      <c r="E524" s="76"/>
      <c r="F524" s="76"/>
    </row>
    <row r="525">
      <c r="B525" s="76"/>
      <c r="C525" s="76"/>
      <c r="D525" s="76"/>
      <c r="E525" s="76"/>
      <c r="F525" s="76"/>
    </row>
    <row r="526">
      <c r="B526" s="76"/>
      <c r="C526" s="76"/>
      <c r="D526" s="76"/>
      <c r="E526" s="76"/>
      <c r="F526" s="76"/>
    </row>
    <row r="527">
      <c r="B527" s="76"/>
      <c r="C527" s="76"/>
      <c r="D527" s="76"/>
      <c r="E527" s="76"/>
      <c r="F527" s="76"/>
    </row>
    <row r="528">
      <c r="B528" s="76"/>
      <c r="C528" s="76"/>
      <c r="D528" s="76"/>
      <c r="E528" s="76"/>
      <c r="F528" s="76"/>
    </row>
    <row r="529">
      <c r="B529" s="76"/>
      <c r="C529" s="76"/>
      <c r="D529" s="76"/>
      <c r="E529" s="76"/>
      <c r="F529" s="76"/>
    </row>
    <row r="530">
      <c r="B530" s="76"/>
      <c r="C530" s="76"/>
      <c r="D530" s="76"/>
      <c r="E530" s="76"/>
      <c r="F530" s="76"/>
    </row>
    <row r="531">
      <c r="B531" s="76"/>
      <c r="C531" s="76"/>
      <c r="D531" s="76"/>
      <c r="E531" s="76"/>
      <c r="F531" s="76"/>
    </row>
    <row r="532">
      <c r="B532" s="76"/>
      <c r="C532" s="76"/>
      <c r="D532" s="76"/>
      <c r="E532" s="76"/>
      <c r="F532" s="76"/>
    </row>
    <row r="533">
      <c r="B533" s="76"/>
      <c r="C533" s="76"/>
      <c r="D533" s="76"/>
      <c r="E533" s="76"/>
      <c r="F533" s="76"/>
    </row>
    <row r="534">
      <c r="B534" s="76"/>
      <c r="C534" s="76"/>
      <c r="D534" s="76"/>
      <c r="E534" s="76"/>
      <c r="F534" s="76"/>
    </row>
    <row r="535">
      <c r="B535" s="76"/>
      <c r="C535" s="76"/>
      <c r="D535" s="76"/>
      <c r="E535" s="76"/>
      <c r="F535" s="76"/>
    </row>
    <row r="536">
      <c r="B536" s="76"/>
      <c r="C536" s="76"/>
      <c r="D536" s="76"/>
      <c r="E536" s="76"/>
      <c r="F536" s="76"/>
    </row>
    <row r="537">
      <c r="B537" s="76"/>
      <c r="C537" s="76"/>
      <c r="D537" s="76"/>
      <c r="E537" s="76"/>
      <c r="F537" s="76"/>
    </row>
    <row r="538">
      <c r="B538" s="76"/>
      <c r="C538" s="76"/>
      <c r="D538" s="76"/>
      <c r="E538" s="76"/>
      <c r="F538" s="76"/>
    </row>
    <row r="539">
      <c r="B539" s="76"/>
      <c r="C539" s="76"/>
      <c r="D539" s="76"/>
      <c r="E539" s="76"/>
      <c r="F539" s="76"/>
    </row>
    <row r="540">
      <c r="B540" s="76"/>
      <c r="C540" s="76"/>
      <c r="D540" s="76"/>
      <c r="E540" s="76"/>
      <c r="F540" s="76"/>
    </row>
    <row r="541">
      <c r="B541" s="76"/>
      <c r="C541" s="76"/>
      <c r="D541" s="76"/>
      <c r="E541" s="76"/>
      <c r="F541" s="76"/>
    </row>
    <row r="542">
      <c r="B542" s="76"/>
      <c r="C542" s="76"/>
      <c r="D542" s="76"/>
      <c r="E542" s="76"/>
      <c r="F542" s="76"/>
    </row>
    <row r="543">
      <c r="B543" s="76"/>
      <c r="C543" s="76"/>
      <c r="D543" s="76"/>
      <c r="E543" s="76"/>
      <c r="F543" s="76"/>
    </row>
    <row r="544">
      <c r="B544" s="76"/>
      <c r="C544" s="76"/>
      <c r="D544" s="76"/>
      <c r="E544" s="76"/>
      <c r="F544" s="76"/>
    </row>
    <row r="545">
      <c r="B545" s="76"/>
      <c r="C545" s="76"/>
      <c r="D545" s="76"/>
      <c r="E545" s="76"/>
      <c r="F545" s="76"/>
    </row>
    <row r="546">
      <c r="B546" s="76"/>
      <c r="C546" s="76"/>
      <c r="D546" s="76"/>
      <c r="E546" s="76"/>
      <c r="F546" s="76"/>
    </row>
    <row r="547">
      <c r="B547" s="76"/>
      <c r="C547" s="76"/>
      <c r="D547" s="76"/>
      <c r="E547" s="76"/>
      <c r="F547" s="76"/>
    </row>
    <row r="548">
      <c r="B548" s="76"/>
      <c r="C548" s="76"/>
      <c r="D548" s="76"/>
      <c r="E548" s="76"/>
      <c r="F548" s="76"/>
    </row>
    <row r="549">
      <c r="B549" s="76"/>
      <c r="C549" s="76"/>
      <c r="D549" s="76"/>
      <c r="E549" s="76"/>
      <c r="F549" s="76"/>
    </row>
    <row r="550">
      <c r="B550" s="76"/>
      <c r="C550" s="76"/>
      <c r="D550" s="76"/>
      <c r="E550" s="76"/>
      <c r="F550" s="76"/>
    </row>
    <row r="551">
      <c r="B551" s="76"/>
      <c r="C551" s="76"/>
      <c r="D551" s="76"/>
      <c r="E551" s="76"/>
      <c r="F551" s="76"/>
    </row>
    <row r="552">
      <c r="B552" s="76"/>
      <c r="C552" s="76"/>
      <c r="D552" s="76"/>
      <c r="E552" s="76"/>
      <c r="F552" s="76"/>
    </row>
    <row r="553">
      <c r="B553" s="76"/>
      <c r="C553" s="76"/>
      <c r="D553" s="76"/>
      <c r="E553" s="76"/>
      <c r="F553" s="76"/>
    </row>
    <row r="554">
      <c r="B554" s="76"/>
      <c r="C554" s="76"/>
      <c r="D554" s="76"/>
      <c r="E554" s="76"/>
      <c r="F554" s="76"/>
    </row>
    <row r="555">
      <c r="B555" s="76"/>
      <c r="C555" s="76"/>
      <c r="D555" s="76"/>
      <c r="E555" s="76"/>
      <c r="F555" s="76"/>
    </row>
    <row r="556">
      <c r="B556" s="76"/>
      <c r="C556" s="76"/>
      <c r="D556" s="76"/>
      <c r="E556" s="76"/>
      <c r="F556" s="76"/>
    </row>
    <row r="557">
      <c r="B557" s="76"/>
      <c r="C557" s="76"/>
      <c r="D557" s="76"/>
      <c r="E557" s="76"/>
      <c r="F557" s="76"/>
    </row>
    <row r="558">
      <c r="B558" s="76"/>
      <c r="C558" s="76"/>
      <c r="D558" s="76"/>
      <c r="E558" s="76"/>
      <c r="F558" s="76"/>
    </row>
    <row r="559">
      <c r="B559" s="76"/>
      <c r="C559" s="76"/>
      <c r="D559" s="76"/>
      <c r="E559" s="76"/>
      <c r="F559" s="76"/>
    </row>
    <row r="560">
      <c r="B560" s="76"/>
      <c r="C560" s="76"/>
      <c r="D560" s="76"/>
      <c r="E560" s="76"/>
      <c r="F560" s="76"/>
    </row>
    <row r="561">
      <c r="B561" s="76"/>
      <c r="C561" s="76"/>
      <c r="D561" s="76"/>
      <c r="E561" s="76"/>
      <c r="F561" s="76"/>
    </row>
    <row r="562">
      <c r="B562" s="76"/>
      <c r="C562" s="76"/>
      <c r="D562" s="76"/>
      <c r="E562" s="76"/>
      <c r="F562" s="76"/>
    </row>
    <row r="563">
      <c r="B563" s="76"/>
      <c r="C563" s="76"/>
      <c r="D563" s="76"/>
      <c r="E563" s="76"/>
      <c r="F563" s="76"/>
    </row>
    <row r="564">
      <c r="B564" s="76"/>
      <c r="C564" s="76"/>
      <c r="D564" s="76"/>
      <c r="E564" s="76"/>
      <c r="F564" s="76"/>
    </row>
    <row r="565">
      <c r="B565" s="76"/>
      <c r="C565" s="76"/>
      <c r="D565" s="76"/>
      <c r="E565" s="76"/>
      <c r="F565" s="76"/>
    </row>
    <row r="566">
      <c r="B566" s="76"/>
      <c r="C566" s="76"/>
      <c r="D566" s="76"/>
      <c r="E566" s="76"/>
      <c r="F566" s="76"/>
    </row>
    <row r="567">
      <c r="B567" s="76"/>
      <c r="C567" s="76"/>
      <c r="D567" s="76"/>
      <c r="E567" s="76"/>
      <c r="F567" s="76"/>
    </row>
    <row r="568">
      <c r="B568" s="76"/>
      <c r="C568" s="76"/>
      <c r="D568" s="76"/>
      <c r="E568" s="76"/>
      <c r="F568" s="76"/>
    </row>
    <row r="569">
      <c r="B569" s="76"/>
      <c r="C569" s="76"/>
      <c r="D569" s="76"/>
      <c r="E569" s="76"/>
      <c r="F569" s="76"/>
    </row>
    <row r="570">
      <c r="B570" s="76"/>
      <c r="C570" s="76"/>
      <c r="D570" s="76"/>
      <c r="E570" s="76"/>
      <c r="F570" s="76"/>
    </row>
    <row r="571">
      <c r="B571" s="76"/>
      <c r="C571" s="76"/>
      <c r="D571" s="76"/>
      <c r="E571" s="76"/>
      <c r="F571" s="76"/>
    </row>
    <row r="572">
      <c r="B572" s="76"/>
      <c r="C572" s="76"/>
      <c r="D572" s="76"/>
      <c r="E572" s="76"/>
      <c r="F572" s="76"/>
    </row>
    <row r="573">
      <c r="B573" s="76"/>
      <c r="C573" s="76"/>
      <c r="D573" s="76"/>
      <c r="E573" s="76"/>
      <c r="F573" s="76"/>
    </row>
    <row r="574">
      <c r="B574" s="76"/>
      <c r="C574" s="76"/>
      <c r="D574" s="76"/>
      <c r="E574" s="76"/>
      <c r="F574" s="76"/>
    </row>
    <row r="575">
      <c r="B575" s="76"/>
      <c r="C575" s="76"/>
      <c r="D575" s="76"/>
      <c r="E575" s="76"/>
      <c r="F575" s="76"/>
    </row>
    <row r="576">
      <c r="B576" s="76"/>
      <c r="C576" s="76"/>
      <c r="D576" s="76"/>
      <c r="E576" s="76"/>
      <c r="F576" s="76"/>
    </row>
    <row r="577">
      <c r="B577" s="76"/>
      <c r="C577" s="76"/>
      <c r="D577" s="76"/>
      <c r="E577" s="76"/>
      <c r="F577" s="76"/>
    </row>
    <row r="578">
      <c r="B578" s="76"/>
      <c r="C578" s="76"/>
      <c r="D578" s="76"/>
      <c r="E578" s="76"/>
      <c r="F578" s="76"/>
    </row>
    <row r="579">
      <c r="B579" s="76"/>
      <c r="C579" s="76"/>
      <c r="D579" s="76"/>
      <c r="E579" s="76"/>
      <c r="F579" s="76"/>
    </row>
    <row r="580">
      <c r="B580" s="76"/>
      <c r="C580" s="76"/>
      <c r="D580" s="76"/>
      <c r="E580" s="76"/>
      <c r="F580" s="76"/>
    </row>
    <row r="581">
      <c r="B581" s="76"/>
      <c r="C581" s="76"/>
      <c r="D581" s="76"/>
      <c r="E581" s="76"/>
      <c r="F581" s="76"/>
    </row>
    <row r="582">
      <c r="B582" s="76"/>
      <c r="C582" s="76"/>
      <c r="D582" s="76"/>
      <c r="E582" s="76"/>
      <c r="F582" s="76"/>
    </row>
    <row r="583">
      <c r="B583" s="76"/>
      <c r="C583" s="76"/>
      <c r="D583" s="76"/>
      <c r="E583" s="76"/>
      <c r="F583" s="76"/>
    </row>
    <row r="584">
      <c r="B584" s="76"/>
      <c r="C584" s="76"/>
      <c r="D584" s="76"/>
      <c r="E584" s="76"/>
      <c r="F584" s="76"/>
    </row>
    <row r="585">
      <c r="B585" s="76"/>
      <c r="C585" s="76"/>
      <c r="D585" s="76"/>
      <c r="E585" s="76"/>
      <c r="F585" s="76"/>
    </row>
    <row r="586">
      <c r="B586" s="76"/>
      <c r="C586" s="76"/>
      <c r="D586" s="76"/>
      <c r="E586" s="76"/>
      <c r="F586" s="76"/>
    </row>
    <row r="587">
      <c r="B587" s="76"/>
      <c r="C587" s="76"/>
      <c r="D587" s="76"/>
      <c r="E587" s="76"/>
      <c r="F587" s="76"/>
    </row>
    <row r="588">
      <c r="B588" s="76"/>
      <c r="C588" s="76"/>
      <c r="D588" s="76"/>
      <c r="E588" s="76"/>
      <c r="F588" s="76"/>
    </row>
    <row r="589">
      <c r="B589" s="76"/>
      <c r="C589" s="76"/>
      <c r="D589" s="76"/>
      <c r="E589" s="76"/>
      <c r="F589" s="76"/>
    </row>
    <row r="590">
      <c r="B590" s="76"/>
      <c r="C590" s="76"/>
      <c r="D590" s="76"/>
      <c r="E590" s="76"/>
      <c r="F590" s="76"/>
    </row>
    <row r="591">
      <c r="B591" s="76"/>
      <c r="C591" s="76"/>
      <c r="D591" s="76"/>
      <c r="E591" s="76"/>
      <c r="F591" s="76"/>
    </row>
    <row r="592">
      <c r="B592" s="76"/>
      <c r="C592" s="76"/>
      <c r="D592" s="76"/>
      <c r="E592" s="76"/>
      <c r="F592" s="76"/>
    </row>
    <row r="593">
      <c r="B593" s="76"/>
      <c r="C593" s="76"/>
      <c r="D593" s="76"/>
      <c r="E593" s="76"/>
      <c r="F593" s="76"/>
    </row>
    <row r="594">
      <c r="B594" s="76"/>
      <c r="C594" s="76"/>
      <c r="D594" s="76"/>
      <c r="E594" s="76"/>
      <c r="F594" s="76"/>
    </row>
    <row r="595">
      <c r="B595" s="76"/>
      <c r="C595" s="76"/>
      <c r="D595" s="76"/>
      <c r="E595" s="76"/>
      <c r="F595" s="76"/>
    </row>
    <row r="596">
      <c r="B596" s="76"/>
      <c r="C596" s="76"/>
      <c r="D596" s="76"/>
      <c r="E596" s="76"/>
      <c r="F596" s="76"/>
    </row>
    <row r="597">
      <c r="B597" s="76"/>
      <c r="C597" s="76"/>
      <c r="D597" s="76"/>
      <c r="E597" s="76"/>
      <c r="F597" s="76"/>
    </row>
    <row r="598">
      <c r="B598" s="76"/>
      <c r="C598" s="76"/>
      <c r="D598" s="76"/>
      <c r="E598" s="76"/>
      <c r="F598" s="76"/>
    </row>
    <row r="599">
      <c r="B599" s="76"/>
      <c r="C599" s="76"/>
      <c r="D599" s="76"/>
      <c r="E599" s="76"/>
      <c r="F599" s="76"/>
    </row>
    <row r="600">
      <c r="B600" s="76"/>
      <c r="C600" s="76"/>
      <c r="D600" s="76"/>
      <c r="E600" s="76"/>
      <c r="F600" s="76"/>
    </row>
    <row r="601">
      <c r="B601" s="76"/>
      <c r="C601" s="76"/>
      <c r="D601" s="76"/>
      <c r="E601" s="76"/>
      <c r="F601" s="76"/>
    </row>
    <row r="602">
      <c r="B602" s="76"/>
      <c r="C602" s="76"/>
      <c r="D602" s="76"/>
      <c r="E602" s="76"/>
      <c r="F602" s="76"/>
    </row>
    <row r="603">
      <c r="B603" s="76"/>
      <c r="C603" s="76"/>
      <c r="D603" s="76"/>
      <c r="E603" s="76"/>
      <c r="F603" s="76"/>
    </row>
    <row r="604">
      <c r="B604" s="76"/>
      <c r="C604" s="76"/>
      <c r="D604" s="76"/>
      <c r="E604" s="76"/>
      <c r="F604" s="76"/>
    </row>
    <row r="605">
      <c r="B605" s="76"/>
      <c r="C605" s="76"/>
      <c r="D605" s="76"/>
      <c r="E605" s="76"/>
      <c r="F605" s="76"/>
    </row>
    <row r="606">
      <c r="B606" s="76"/>
      <c r="C606" s="76"/>
      <c r="D606" s="76"/>
      <c r="E606" s="76"/>
      <c r="F606" s="76"/>
    </row>
    <row r="607">
      <c r="B607" s="76"/>
      <c r="C607" s="76"/>
      <c r="D607" s="76"/>
      <c r="E607" s="76"/>
      <c r="F607" s="76"/>
    </row>
    <row r="608">
      <c r="B608" s="76"/>
      <c r="C608" s="76"/>
      <c r="D608" s="76"/>
      <c r="E608" s="76"/>
      <c r="F608" s="76"/>
    </row>
    <row r="609">
      <c r="B609" s="76"/>
      <c r="C609" s="76"/>
      <c r="D609" s="76"/>
      <c r="E609" s="76"/>
      <c r="F609" s="76"/>
    </row>
    <row r="610">
      <c r="B610" s="76"/>
      <c r="C610" s="76"/>
      <c r="D610" s="76"/>
      <c r="E610" s="76"/>
      <c r="F610" s="76"/>
    </row>
    <row r="611">
      <c r="B611" s="76"/>
      <c r="C611" s="76"/>
      <c r="D611" s="76"/>
      <c r="E611" s="76"/>
      <c r="F611" s="76"/>
    </row>
    <row r="612">
      <c r="B612" s="76"/>
      <c r="C612" s="76"/>
      <c r="D612" s="76"/>
      <c r="E612" s="76"/>
      <c r="F612" s="76"/>
    </row>
    <row r="613">
      <c r="B613" s="76"/>
      <c r="C613" s="76"/>
      <c r="D613" s="76"/>
      <c r="E613" s="76"/>
      <c r="F613" s="76"/>
    </row>
    <row r="614">
      <c r="B614" s="76"/>
      <c r="C614" s="76"/>
      <c r="D614" s="76"/>
      <c r="E614" s="76"/>
      <c r="F614" s="76"/>
    </row>
    <row r="615">
      <c r="B615" s="76"/>
      <c r="C615" s="76"/>
      <c r="D615" s="76"/>
      <c r="E615" s="76"/>
      <c r="F615" s="76"/>
    </row>
    <row r="616">
      <c r="B616" s="76"/>
      <c r="C616" s="76"/>
      <c r="D616" s="76"/>
      <c r="E616" s="76"/>
      <c r="F616" s="76"/>
    </row>
    <row r="617">
      <c r="B617" s="76"/>
      <c r="C617" s="76"/>
      <c r="D617" s="76"/>
      <c r="E617" s="76"/>
      <c r="F617" s="76"/>
    </row>
    <row r="618">
      <c r="B618" s="76"/>
      <c r="C618" s="76"/>
      <c r="D618" s="76"/>
      <c r="E618" s="76"/>
      <c r="F618" s="76"/>
    </row>
    <row r="619">
      <c r="B619" s="76"/>
      <c r="C619" s="76"/>
      <c r="D619" s="76"/>
      <c r="E619" s="76"/>
      <c r="F619" s="76"/>
    </row>
    <row r="620">
      <c r="B620" s="76"/>
      <c r="C620" s="76"/>
      <c r="D620" s="76"/>
      <c r="E620" s="76"/>
      <c r="F620" s="76"/>
    </row>
    <row r="621">
      <c r="B621" s="76"/>
      <c r="C621" s="76"/>
      <c r="D621" s="76"/>
      <c r="E621" s="76"/>
      <c r="F621" s="76"/>
    </row>
    <row r="622">
      <c r="B622" s="76"/>
      <c r="C622" s="76"/>
      <c r="D622" s="76"/>
      <c r="E622" s="76"/>
      <c r="F622" s="76"/>
    </row>
    <row r="623">
      <c r="B623" s="76"/>
      <c r="C623" s="76"/>
      <c r="D623" s="76"/>
      <c r="E623" s="76"/>
      <c r="F623" s="76"/>
    </row>
    <row r="624">
      <c r="B624" s="76"/>
      <c r="C624" s="76"/>
      <c r="D624" s="76"/>
      <c r="E624" s="76"/>
      <c r="F624" s="76"/>
    </row>
    <row r="625">
      <c r="B625" s="76"/>
      <c r="C625" s="76"/>
      <c r="D625" s="76"/>
      <c r="E625" s="76"/>
      <c r="F625" s="76"/>
    </row>
    <row r="626">
      <c r="B626" s="76"/>
      <c r="C626" s="76"/>
      <c r="D626" s="76"/>
      <c r="E626" s="76"/>
      <c r="F626" s="76"/>
    </row>
    <row r="627">
      <c r="B627" s="76"/>
      <c r="C627" s="76"/>
      <c r="D627" s="76"/>
      <c r="E627" s="76"/>
      <c r="F627" s="76"/>
    </row>
    <row r="628">
      <c r="B628" s="76"/>
      <c r="C628" s="76"/>
      <c r="D628" s="76"/>
      <c r="E628" s="76"/>
      <c r="F628" s="76"/>
    </row>
    <row r="629">
      <c r="B629" s="76"/>
      <c r="C629" s="76"/>
      <c r="D629" s="76"/>
      <c r="E629" s="76"/>
      <c r="F629" s="76"/>
    </row>
    <row r="630">
      <c r="B630" s="76"/>
      <c r="C630" s="76"/>
      <c r="D630" s="76"/>
      <c r="E630" s="76"/>
      <c r="F630" s="76"/>
    </row>
    <row r="631">
      <c r="B631" s="76"/>
      <c r="C631" s="76"/>
      <c r="D631" s="76"/>
      <c r="E631" s="76"/>
      <c r="F631" s="76"/>
    </row>
    <row r="632">
      <c r="B632" s="76"/>
      <c r="C632" s="76"/>
      <c r="D632" s="76"/>
      <c r="E632" s="76"/>
      <c r="F632" s="76"/>
    </row>
    <row r="633">
      <c r="B633" s="76"/>
      <c r="C633" s="76"/>
      <c r="D633" s="76"/>
      <c r="E633" s="76"/>
      <c r="F633" s="76"/>
    </row>
    <row r="634">
      <c r="B634" s="76"/>
      <c r="C634" s="76"/>
      <c r="D634" s="76"/>
      <c r="E634" s="76"/>
      <c r="F634" s="76"/>
    </row>
    <row r="635">
      <c r="B635" s="76"/>
      <c r="C635" s="76"/>
      <c r="D635" s="76"/>
      <c r="E635" s="76"/>
      <c r="F635" s="76"/>
    </row>
    <row r="636">
      <c r="B636" s="76"/>
      <c r="C636" s="76"/>
      <c r="D636" s="76"/>
      <c r="E636" s="76"/>
      <c r="F636" s="76"/>
    </row>
    <row r="637">
      <c r="B637" s="76"/>
      <c r="C637" s="76"/>
      <c r="D637" s="76"/>
      <c r="E637" s="76"/>
      <c r="F637" s="76"/>
    </row>
    <row r="638">
      <c r="B638" s="76"/>
      <c r="C638" s="76"/>
      <c r="D638" s="76"/>
      <c r="E638" s="76"/>
      <c r="F638" s="76"/>
    </row>
    <row r="639">
      <c r="B639" s="76"/>
      <c r="C639" s="76"/>
      <c r="D639" s="76"/>
      <c r="E639" s="76"/>
      <c r="F639" s="76"/>
    </row>
    <row r="640">
      <c r="B640" s="76"/>
      <c r="C640" s="76"/>
      <c r="D640" s="76"/>
      <c r="E640" s="76"/>
      <c r="F640" s="76"/>
    </row>
    <row r="641">
      <c r="B641" s="76"/>
      <c r="C641" s="76"/>
      <c r="D641" s="76"/>
      <c r="E641" s="76"/>
      <c r="F641" s="76"/>
    </row>
    <row r="642">
      <c r="B642" s="76"/>
      <c r="C642" s="76"/>
      <c r="D642" s="76"/>
      <c r="E642" s="76"/>
      <c r="F642" s="76"/>
    </row>
    <row r="643">
      <c r="B643" s="76"/>
      <c r="C643" s="76"/>
      <c r="D643" s="76"/>
      <c r="E643" s="76"/>
      <c r="F643" s="76"/>
    </row>
    <row r="644">
      <c r="B644" s="76"/>
      <c r="C644" s="76"/>
      <c r="D644" s="76"/>
      <c r="E644" s="76"/>
      <c r="F644" s="76"/>
    </row>
    <row r="645">
      <c r="B645" s="76"/>
      <c r="C645" s="76"/>
      <c r="D645" s="76"/>
      <c r="E645" s="76"/>
      <c r="F645" s="76"/>
    </row>
    <row r="646">
      <c r="B646" s="76"/>
      <c r="C646" s="76"/>
      <c r="D646" s="76"/>
      <c r="E646" s="76"/>
      <c r="F646" s="76"/>
    </row>
    <row r="647">
      <c r="B647" s="76"/>
      <c r="C647" s="76"/>
      <c r="D647" s="76"/>
      <c r="E647" s="76"/>
      <c r="F647" s="76"/>
    </row>
    <row r="648">
      <c r="B648" s="76"/>
      <c r="C648" s="76"/>
      <c r="D648" s="76"/>
      <c r="E648" s="76"/>
      <c r="F648" s="76"/>
    </row>
    <row r="649">
      <c r="B649" s="76"/>
      <c r="C649" s="76"/>
      <c r="D649" s="76"/>
      <c r="E649" s="76"/>
      <c r="F649" s="76"/>
    </row>
    <row r="650">
      <c r="B650" s="76"/>
      <c r="C650" s="76"/>
      <c r="D650" s="76"/>
      <c r="E650" s="76"/>
      <c r="F650" s="76"/>
    </row>
    <row r="651">
      <c r="B651" s="76"/>
      <c r="C651" s="76"/>
      <c r="D651" s="76"/>
      <c r="E651" s="76"/>
      <c r="F651" s="76"/>
    </row>
    <row r="652">
      <c r="B652" s="76"/>
      <c r="C652" s="76"/>
      <c r="D652" s="76"/>
      <c r="E652" s="76"/>
      <c r="F652" s="76"/>
    </row>
    <row r="653">
      <c r="B653" s="76"/>
      <c r="C653" s="76"/>
      <c r="D653" s="76"/>
      <c r="E653" s="76"/>
      <c r="F653" s="76"/>
    </row>
    <row r="654">
      <c r="B654" s="76"/>
      <c r="C654" s="76"/>
      <c r="D654" s="76"/>
      <c r="E654" s="76"/>
      <c r="F654" s="76"/>
    </row>
    <row r="655">
      <c r="B655" s="76"/>
      <c r="C655" s="76"/>
      <c r="D655" s="76"/>
      <c r="E655" s="76"/>
      <c r="F655" s="76"/>
    </row>
    <row r="656">
      <c r="B656" s="76"/>
      <c r="C656" s="76"/>
      <c r="D656" s="76"/>
      <c r="E656" s="76"/>
      <c r="F656" s="76"/>
    </row>
    <row r="657">
      <c r="B657" s="76"/>
      <c r="C657" s="76"/>
      <c r="D657" s="76"/>
      <c r="E657" s="76"/>
      <c r="F657" s="76"/>
    </row>
    <row r="658">
      <c r="B658" s="76"/>
      <c r="C658" s="76"/>
      <c r="D658" s="76"/>
      <c r="E658" s="76"/>
      <c r="F658" s="76"/>
    </row>
    <row r="659">
      <c r="B659" s="76"/>
      <c r="C659" s="76"/>
      <c r="D659" s="76"/>
      <c r="E659" s="76"/>
      <c r="F659" s="76"/>
    </row>
    <row r="660">
      <c r="B660" s="76"/>
      <c r="C660" s="76"/>
      <c r="D660" s="76"/>
      <c r="E660" s="76"/>
      <c r="F660" s="76"/>
    </row>
    <row r="661">
      <c r="B661" s="76"/>
      <c r="C661" s="76"/>
      <c r="D661" s="76"/>
      <c r="E661" s="76"/>
      <c r="F661" s="76"/>
    </row>
    <row r="662">
      <c r="B662" s="76"/>
      <c r="C662" s="76"/>
      <c r="D662" s="76"/>
      <c r="E662" s="76"/>
      <c r="F662" s="76"/>
    </row>
    <row r="663">
      <c r="B663" s="76"/>
      <c r="C663" s="76"/>
      <c r="D663" s="76"/>
      <c r="E663" s="76"/>
      <c r="F663" s="76"/>
    </row>
    <row r="664">
      <c r="B664" s="76"/>
      <c r="C664" s="76"/>
      <c r="D664" s="76"/>
      <c r="E664" s="76"/>
      <c r="F664" s="76"/>
    </row>
    <row r="665">
      <c r="B665" s="76"/>
      <c r="C665" s="76"/>
      <c r="D665" s="76"/>
      <c r="E665" s="76"/>
      <c r="F665" s="76"/>
    </row>
    <row r="666">
      <c r="B666" s="76"/>
      <c r="C666" s="76"/>
      <c r="D666" s="76"/>
      <c r="E666" s="76"/>
      <c r="F666" s="76"/>
    </row>
    <row r="667">
      <c r="B667" s="76"/>
      <c r="C667" s="76"/>
      <c r="D667" s="76"/>
      <c r="E667" s="76"/>
      <c r="F667" s="76"/>
    </row>
    <row r="668">
      <c r="B668" s="76"/>
      <c r="C668" s="76"/>
      <c r="D668" s="76"/>
      <c r="E668" s="76"/>
      <c r="F668" s="76"/>
    </row>
    <row r="669">
      <c r="B669" s="76"/>
      <c r="C669" s="76"/>
      <c r="D669" s="76"/>
      <c r="E669" s="76"/>
      <c r="F669" s="76"/>
    </row>
    <row r="670">
      <c r="B670" s="76"/>
      <c r="C670" s="76"/>
      <c r="D670" s="76"/>
      <c r="E670" s="76"/>
      <c r="F670" s="76"/>
    </row>
    <row r="671">
      <c r="B671" s="76"/>
      <c r="C671" s="76"/>
      <c r="D671" s="76"/>
      <c r="E671" s="76"/>
      <c r="F671" s="76"/>
    </row>
    <row r="672">
      <c r="B672" s="76"/>
      <c r="C672" s="76"/>
      <c r="D672" s="76"/>
      <c r="E672" s="76"/>
      <c r="F672" s="76"/>
    </row>
    <row r="673">
      <c r="B673" s="76"/>
      <c r="C673" s="76"/>
      <c r="D673" s="76"/>
      <c r="E673" s="76"/>
      <c r="F673" s="76"/>
    </row>
    <row r="674">
      <c r="B674" s="76"/>
      <c r="C674" s="76"/>
      <c r="D674" s="76"/>
      <c r="E674" s="76"/>
      <c r="F674" s="76"/>
    </row>
    <row r="675">
      <c r="B675" s="76"/>
      <c r="C675" s="76"/>
      <c r="D675" s="76"/>
      <c r="E675" s="76"/>
      <c r="F675" s="76"/>
    </row>
    <row r="676">
      <c r="B676" s="76"/>
      <c r="C676" s="76"/>
      <c r="D676" s="76"/>
      <c r="E676" s="76"/>
      <c r="F676" s="76"/>
    </row>
    <row r="677">
      <c r="B677" s="76"/>
      <c r="C677" s="76"/>
      <c r="D677" s="76"/>
      <c r="E677" s="76"/>
      <c r="F677" s="76"/>
    </row>
    <row r="678">
      <c r="B678" s="76"/>
      <c r="C678" s="76"/>
      <c r="D678" s="76"/>
      <c r="E678" s="76"/>
      <c r="F678" s="76"/>
    </row>
    <row r="679">
      <c r="B679" s="76"/>
      <c r="C679" s="76"/>
      <c r="D679" s="76"/>
      <c r="E679" s="76"/>
      <c r="F679" s="76"/>
    </row>
    <row r="680">
      <c r="B680" s="76"/>
      <c r="C680" s="76"/>
      <c r="D680" s="76"/>
      <c r="E680" s="76"/>
      <c r="F680" s="76"/>
    </row>
    <row r="681">
      <c r="B681" s="76"/>
      <c r="C681" s="76"/>
      <c r="D681" s="76"/>
      <c r="E681" s="76"/>
      <c r="F681" s="76"/>
    </row>
    <row r="682">
      <c r="B682" s="76"/>
      <c r="C682" s="76"/>
      <c r="D682" s="76"/>
      <c r="E682" s="76"/>
      <c r="F682" s="76"/>
    </row>
    <row r="683">
      <c r="B683" s="76"/>
      <c r="C683" s="76"/>
      <c r="D683" s="76"/>
      <c r="E683" s="76"/>
      <c r="F683" s="76"/>
    </row>
    <row r="684">
      <c r="B684" s="76"/>
      <c r="C684" s="76"/>
      <c r="D684" s="76"/>
      <c r="E684" s="76"/>
      <c r="F684" s="76"/>
    </row>
    <row r="685">
      <c r="B685" s="76"/>
      <c r="C685" s="76"/>
      <c r="D685" s="76"/>
      <c r="E685" s="76"/>
      <c r="F685" s="76"/>
    </row>
    <row r="686">
      <c r="B686" s="76"/>
      <c r="C686" s="76"/>
      <c r="D686" s="76"/>
      <c r="E686" s="76"/>
      <c r="F686" s="76"/>
    </row>
    <row r="687">
      <c r="B687" s="76"/>
      <c r="C687" s="76"/>
      <c r="D687" s="76"/>
      <c r="E687" s="76"/>
      <c r="F687" s="76"/>
    </row>
    <row r="688">
      <c r="B688" s="76"/>
      <c r="C688" s="76"/>
      <c r="D688" s="76"/>
      <c r="E688" s="76"/>
      <c r="F688" s="76"/>
    </row>
    <row r="689">
      <c r="B689" s="76"/>
      <c r="C689" s="76"/>
      <c r="D689" s="76"/>
      <c r="E689" s="76"/>
      <c r="F689" s="76"/>
    </row>
    <row r="690">
      <c r="B690" s="76"/>
      <c r="C690" s="76"/>
      <c r="D690" s="76"/>
      <c r="E690" s="76"/>
      <c r="F690" s="76"/>
    </row>
    <row r="691">
      <c r="B691" s="76"/>
      <c r="C691" s="76"/>
      <c r="D691" s="76"/>
      <c r="E691" s="76"/>
      <c r="F691" s="76"/>
    </row>
    <row r="692">
      <c r="B692" s="76"/>
      <c r="C692" s="76"/>
      <c r="D692" s="76"/>
      <c r="E692" s="76"/>
      <c r="F692" s="76"/>
    </row>
    <row r="693">
      <c r="B693" s="76"/>
      <c r="C693" s="76"/>
      <c r="D693" s="76"/>
      <c r="E693" s="76"/>
      <c r="F693" s="76"/>
    </row>
    <row r="694">
      <c r="B694" s="76"/>
      <c r="C694" s="76"/>
      <c r="D694" s="76"/>
      <c r="E694" s="76"/>
      <c r="F694" s="76"/>
    </row>
    <row r="695">
      <c r="B695" s="76"/>
      <c r="C695" s="76"/>
      <c r="D695" s="76"/>
      <c r="E695" s="76"/>
      <c r="F695" s="76"/>
    </row>
    <row r="696">
      <c r="B696" s="76"/>
      <c r="C696" s="76"/>
      <c r="D696" s="76"/>
      <c r="E696" s="76"/>
      <c r="F696" s="76"/>
    </row>
    <row r="697">
      <c r="B697" s="76"/>
      <c r="C697" s="76"/>
      <c r="D697" s="76"/>
      <c r="E697" s="76"/>
      <c r="F697" s="76"/>
    </row>
    <row r="698">
      <c r="B698" s="76"/>
      <c r="C698" s="76"/>
      <c r="D698" s="76"/>
      <c r="E698" s="76"/>
      <c r="F698" s="76"/>
    </row>
    <row r="699">
      <c r="B699" s="76"/>
      <c r="C699" s="76"/>
      <c r="D699" s="76"/>
      <c r="E699" s="76"/>
      <c r="F699" s="76"/>
    </row>
    <row r="700">
      <c r="B700" s="76"/>
      <c r="C700" s="76"/>
      <c r="D700" s="76"/>
      <c r="E700" s="76"/>
      <c r="F700" s="76"/>
    </row>
    <row r="701">
      <c r="B701" s="76"/>
      <c r="C701" s="76"/>
      <c r="D701" s="76"/>
      <c r="E701" s="76"/>
      <c r="F701" s="76"/>
    </row>
    <row r="702">
      <c r="B702" s="76"/>
      <c r="C702" s="76"/>
      <c r="D702" s="76"/>
      <c r="E702" s="76"/>
      <c r="F702" s="76"/>
    </row>
    <row r="703">
      <c r="B703" s="76"/>
      <c r="C703" s="76"/>
      <c r="D703" s="76"/>
      <c r="E703" s="76"/>
      <c r="F703" s="76"/>
    </row>
    <row r="704">
      <c r="B704" s="76"/>
      <c r="C704" s="76"/>
      <c r="D704" s="76"/>
      <c r="E704" s="76"/>
      <c r="F704" s="76"/>
    </row>
    <row r="705">
      <c r="B705" s="76"/>
      <c r="C705" s="76"/>
      <c r="D705" s="76"/>
      <c r="E705" s="76"/>
      <c r="F705" s="76"/>
    </row>
    <row r="706">
      <c r="B706" s="76"/>
      <c r="C706" s="76"/>
      <c r="D706" s="76"/>
      <c r="E706" s="76"/>
      <c r="F706" s="76"/>
    </row>
    <row r="707">
      <c r="B707" s="76"/>
      <c r="C707" s="76"/>
      <c r="D707" s="76"/>
      <c r="E707" s="76"/>
      <c r="F707" s="76"/>
    </row>
    <row r="708">
      <c r="B708" s="76"/>
      <c r="C708" s="76"/>
      <c r="D708" s="76"/>
      <c r="E708" s="76"/>
      <c r="F708" s="76"/>
    </row>
    <row r="709">
      <c r="B709" s="76"/>
      <c r="C709" s="76"/>
      <c r="D709" s="76"/>
      <c r="E709" s="76"/>
      <c r="F709" s="76"/>
    </row>
    <row r="710">
      <c r="B710" s="76"/>
      <c r="C710" s="76"/>
      <c r="D710" s="76"/>
      <c r="E710" s="76"/>
      <c r="F710" s="76"/>
    </row>
    <row r="711">
      <c r="B711" s="76"/>
      <c r="C711" s="76"/>
      <c r="D711" s="76"/>
      <c r="E711" s="76"/>
      <c r="F711" s="76"/>
    </row>
    <row r="712">
      <c r="B712" s="76"/>
      <c r="C712" s="76"/>
      <c r="D712" s="76"/>
      <c r="E712" s="76"/>
      <c r="F712" s="76"/>
    </row>
    <row r="713">
      <c r="B713" s="76"/>
      <c r="C713" s="76"/>
      <c r="D713" s="76"/>
      <c r="E713" s="76"/>
      <c r="F713" s="76"/>
    </row>
    <row r="714">
      <c r="B714" s="76"/>
      <c r="C714" s="76"/>
      <c r="D714" s="76"/>
      <c r="E714" s="76"/>
      <c r="F714" s="76"/>
    </row>
    <row r="715">
      <c r="B715" s="76"/>
      <c r="C715" s="76"/>
      <c r="D715" s="76"/>
      <c r="E715" s="76"/>
      <c r="F715" s="76"/>
    </row>
    <row r="716">
      <c r="B716" s="76"/>
      <c r="C716" s="76"/>
      <c r="D716" s="76"/>
      <c r="E716" s="76"/>
      <c r="F716" s="76"/>
    </row>
    <row r="717">
      <c r="B717" s="76"/>
      <c r="C717" s="76"/>
      <c r="D717" s="76"/>
      <c r="E717" s="76"/>
      <c r="F717" s="76"/>
    </row>
    <row r="718">
      <c r="B718" s="76"/>
      <c r="C718" s="76"/>
      <c r="D718" s="76"/>
      <c r="E718" s="76"/>
      <c r="F718" s="76"/>
    </row>
    <row r="719">
      <c r="B719" s="76"/>
      <c r="C719" s="76"/>
      <c r="D719" s="76"/>
      <c r="E719" s="76"/>
      <c r="F719" s="76"/>
    </row>
    <row r="720">
      <c r="B720" s="76"/>
      <c r="C720" s="76"/>
      <c r="D720" s="76"/>
      <c r="E720" s="76"/>
      <c r="F720" s="76"/>
    </row>
    <row r="721">
      <c r="B721" s="76"/>
      <c r="C721" s="76"/>
      <c r="D721" s="76"/>
      <c r="E721" s="76"/>
      <c r="F721" s="76"/>
    </row>
    <row r="722">
      <c r="B722" s="76"/>
      <c r="C722" s="76"/>
      <c r="D722" s="76"/>
      <c r="E722" s="76"/>
      <c r="F722" s="76"/>
    </row>
    <row r="723">
      <c r="B723" s="76"/>
      <c r="C723" s="76"/>
      <c r="D723" s="76"/>
      <c r="E723" s="76"/>
      <c r="F723" s="76"/>
    </row>
    <row r="724">
      <c r="B724" s="76"/>
      <c r="C724" s="76"/>
      <c r="D724" s="76"/>
      <c r="E724" s="76"/>
      <c r="F724" s="76"/>
    </row>
    <row r="725">
      <c r="B725" s="76"/>
      <c r="C725" s="76"/>
      <c r="D725" s="76"/>
      <c r="E725" s="76"/>
      <c r="F725" s="76"/>
    </row>
    <row r="726">
      <c r="B726" s="76"/>
      <c r="C726" s="76"/>
      <c r="D726" s="76"/>
      <c r="E726" s="76"/>
      <c r="F726" s="76"/>
    </row>
    <row r="727">
      <c r="B727" s="76"/>
      <c r="C727" s="76"/>
      <c r="D727" s="76"/>
      <c r="E727" s="76"/>
      <c r="F727" s="76"/>
    </row>
    <row r="728">
      <c r="B728" s="76"/>
      <c r="C728" s="76"/>
      <c r="D728" s="76"/>
      <c r="E728" s="76"/>
      <c r="F728" s="76"/>
    </row>
    <row r="729">
      <c r="B729" s="76"/>
      <c r="C729" s="76"/>
      <c r="D729" s="76"/>
      <c r="E729" s="76"/>
      <c r="F729" s="76"/>
    </row>
    <row r="730">
      <c r="B730" s="76"/>
      <c r="C730" s="76"/>
      <c r="D730" s="76"/>
      <c r="E730" s="76"/>
      <c r="F730" s="76"/>
    </row>
    <row r="731">
      <c r="B731" s="76"/>
      <c r="C731" s="76"/>
      <c r="D731" s="76"/>
      <c r="E731" s="76"/>
      <c r="F731" s="76"/>
    </row>
    <row r="732">
      <c r="B732" s="76"/>
      <c r="C732" s="76"/>
      <c r="D732" s="76"/>
      <c r="E732" s="76"/>
      <c r="F732" s="76"/>
    </row>
    <row r="733">
      <c r="B733" s="76"/>
      <c r="C733" s="76"/>
      <c r="D733" s="76"/>
      <c r="E733" s="76"/>
      <c r="F733" s="76"/>
    </row>
    <row r="734">
      <c r="B734" s="76"/>
      <c r="C734" s="76"/>
      <c r="D734" s="76"/>
      <c r="E734" s="76"/>
      <c r="F734" s="76"/>
    </row>
    <row r="735">
      <c r="B735" s="76"/>
      <c r="C735" s="76"/>
      <c r="D735" s="76"/>
      <c r="E735" s="76"/>
      <c r="F735" s="76"/>
    </row>
    <row r="736">
      <c r="B736" s="76"/>
      <c r="C736" s="76"/>
      <c r="D736" s="76"/>
      <c r="E736" s="76"/>
      <c r="F736" s="76"/>
    </row>
    <row r="737">
      <c r="B737" s="76"/>
      <c r="C737" s="76"/>
      <c r="D737" s="76"/>
      <c r="E737" s="76"/>
      <c r="F737" s="76"/>
    </row>
    <row r="738">
      <c r="B738" s="76"/>
      <c r="C738" s="76"/>
      <c r="D738" s="76"/>
      <c r="E738" s="76"/>
      <c r="F738" s="76"/>
    </row>
    <row r="739">
      <c r="B739" s="76"/>
      <c r="C739" s="76"/>
      <c r="D739" s="76"/>
      <c r="E739" s="76"/>
      <c r="F739" s="76"/>
    </row>
    <row r="740">
      <c r="B740" s="76"/>
      <c r="C740" s="76"/>
      <c r="D740" s="76"/>
      <c r="E740" s="76"/>
      <c r="F740" s="76"/>
    </row>
    <row r="741">
      <c r="B741" s="76"/>
      <c r="C741" s="76"/>
      <c r="D741" s="76"/>
      <c r="E741" s="76"/>
      <c r="F741" s="76"/>
    </row>
    <row r="742">
      <c r="B742" s="76"/>
      <c r="C742" s="76"/>
      <c r="D742" s="76"/>
      <c r="E742" s="76"/>
      <c r="F742" s="76"/>
    </row>
    <row r="743">
      <c r="B743" s="76"/>
      <c r="C743" s="76"/>
      <c r="D743" s="76"/>
      <c r="E743" s="76"/>
      <c r="F743" s="76"/>
    </row>
    <row r="744">
      <c r="B744" s="76"/>
      <c r="C744" s="76"/>
      <c r="D744" s="76"/>
      <c r="E744" s="76"/>
      <c r="F744" s="76"/>
    </row>
    <row r="745">
      <c r="B745" s="76"/>
      <c r="C745" s="76"/>
      <c r="D745" s="76"/>
      <c r="E745" s="76"/>
      <c r="F745" s="76"/>
    </row>
    <row r="746">
      <c r="B746" s="76"/>
      <c r="C746" s="76"/>
      <c r="D746" s="76"/>
      <c r="E746" s="76"/>
      <c r="F746" s="76"/>
    </row>
    <row r="747">
      <c r="B747" s="76"/>
      <c r="C747" s="76"/>
      <c r="D747" s="76"/>
      <c r="E747" s="76"/>
      <c r="F747" s="76"/>
    </row>
    <row r="748">
      <c r="B748" s="76"/>
      <c r="C748" s="76"/>
      <c r="D748" s="76"/>
      <c r="E748" s="76"/>
      <c r="F748" s="76"/>
    </row>
    <row r="749">
      <c r="B749" s="76"/>
      <c r="C749" s="76"/>
      <c r="D749" s="76"/>
      <c r="E749" s="76"/>
      <c r="F749" s="76"/>
    </row>
    <row r="750">
      <c r="B750" s="76"/>
      <c r="C750" s="76"/>
      <c r="D750" s="76"/>
      <c r="E750" s="76"/>
      <c r="F750" s="76"/>
    </row>
    <row r="751">
      <c r="B751" s="76"/>
      <c r="C751" s="76"/>
      <c r="D751" s="76"/>
      <c r="E751" s="76"/>
      <c r="F751" s="76"/>
    </row>
    <row r="752">
      <c r="B752" s="76"/>
      <c r="C752" s="76"/>
      <c r="D752" s="76"/>
      <c r="E752" s="76"/>
      <c r="F752" s="76"/>
    </row>
    <row r="753">
      <c r="B753" s="76"/>
      <c r="C753" s="76"/>
      <c r="D753" s="76"/>
      <c r="E753" s="76"/>
      <c r="F753" s="76"/>
    </row>
    <row r="754">
      <c r="B754" s="76"/>
      <c r="C754" s="76"/>
      <c r="D754" s="76"/>
      <c r="E754" s="76"/>
      <c r="F754" s="76"/>
    </row>
    <row r="755">
      <c r="B755" s="76"/>
      <c r="C755" s="76"/>
      <c r="D755" s="76"/>
      <c r="E755" s="76"/>
      <c r="F755" s="76"/>
    </row>
    <row r="756">
      <c r="B756" s="76"/>
      <c r="C756" s="76"/>
      <c r="D756" s="76"/>
      <c r="E756" s="76"/>
      <c r="F756" s="76"/>
    </row>
    <row r="757">
      <c r="B757" s="76"/>
      <c r="C757" s="76"/>
      <c r="D757" s="76"/>
      <c r="E757" s="76"/>
      <c r="F757" s="76"/>
    </row>
    <row r="758">
      <c r="B758" s="76"/>
      <c r="C758" s="76"/>
      <c r="D758" s="76"/>
      <c r="E758" s="76"/>
      <c r="F758" s="76"/>
    </row>
    <row r="759">
      <c r="B759" s="76"/>
      <c r="C759" s="76"/>
      <c r="D759" s="76"/>
      <c r="E759" s="76"/>
      <c r="F759" s="76"/>
    </row>
    <row r="760">
      <c r="B760" s="76"/>
      <c r="C760" s="76"/>
      <c r="D760" s="76"/>
      <c r="E760" s="76"/>
      <c r="F760" s="76"/>
    </row>
    <row r="761">
      <c r="B761" s="76"/>
      <c r="C761" s="76"/>
      <c r="D761" s="76"/>
      <c r="E761" s="76"/>
      <c r="F761" s="76"/>
    </row>
    <row r="762">
      <c r="B762" s="76"/>
      <c r="C762" s="76"/>
      <c r="D762" s="76"/>
      <c r="E762" s="76"/>
      <c r="F762" s="76"/>
    </row>
    <row r="763">
      <c r="B763" s="76"/>
      <c r="C763" s="76"/>
      <c r="D763" s="76"/>
      <c r="E763" s="76"/>
      <c r="F763" s="76"/>
    </row>
    <row r="764">
      <c r="B764" s="76"/>
      <c r="C764" s="76"/>
      <c r="D764" s="76"/>
      <c r="E764" s="76"/>
      <c r="F764" s="76"/>
    </row>
    <row r="765">
      <c r="B765" s="76"/>
      <c r="C765" s="76"/>
      <c r="D765" s="76"/>
      <c r="E765" s="76"/>
      <c r="F765" s="76"/>
    </row>
    <row r="766">
      <c r="B766" s="76"/>
      <c r="C766" s="76"/>
      <c r="D766" s="76"/>
      <c r="E766" s="76"/>
      <c r="F766" s="76"/>
    </row>
    <row r="767">
      <c r="B767" s="76"/>
      <c r="C767" s="76"/>
      <c r="D767" s="76"/>
      <c r="E767" s="76"/>
      <c r="F767" s="76"/>
    </row>
    <row r="768">
      <c r="B768" s="76"/>
      <c r="C768" s="76"/>
      <c r="D768" s="76"/>
      <c r="E768" s="76"/>
      <c r="F768" s="76"/>
    </row>
    <row r="769">
      <c r="B769" s="76"/>
      <c r="C769" s="76"/>
      <c r="D769" s="76"/>
      <c r="E769" s="76"/>
      <c r="F769" s="76"/>
    </row>
    <row r="770">
      <c r="B770" s="76"/>
      <c r="C770" s="76"/>
      <c r="D770" s="76"/>
      <c r="E770" s="76"/>
      <c r="F770" s="76"/>
    </row>
    <row r="771">
      <c r="B771" s="76"/>
      <c r="C771" s="76"/>
      <c r="D771" s="76"/>
      <c r="E771" s="76"/>
      <c r="F771" s="76"/>
    </row>
    <row r="772">
      <c r="B772" s="76"/>
      <c r="C772" s="76"/>
      <c r="D772" s="76"/>
      <c r="E772" s="76"/>
      <c r="F772" s="76"/>
    </row>
    <row r="773">
      <c r="B773" s="76"/>
      <c r="C773" s="76"/>
      <c r="D773" s="76"/>
      <c r="E773" s="76"/>
      <c r="F773" s="76"/>
    </row>
    <row r="774">
      <c r="B774" s="76"/>
      <c r="C774" s="76"/>
      <c r="D774" s="76"/>
      <c r="E774" s="76"/>
      <c r="F774" s="76"/>
    </row>
    <row r="775">
      <c r="B775" s="76"/>
      <c r="C775" s="76"/>
      <c r="D775" s="76"/>
      <c r="E775" s="76"/>
      <c r="F775" s="76"/>
    </row>
    <row r="776">
      <c r="B776" s="76"/>
      <c r="C776" s="76"/>
      <c r="D776" s="76"/>
      <c r="E776" s="76"/>
      <c r="F776" s="76"/>
    </row>
    <row r="777">
      <c r="B777" s="76"/>
      <c r="C777" s="76"/>
      <c r="D777" s="76"/>
      <c r="E777" s="76"/>
      <c r="F777" s="76"/>
    </row>
    <row r="778">
      <c r="B778" s="76"/>
      <c r="C778" s="76"/>
      <c r="D778" s="76"/>
      <c r="E778" s="76"/>
      <c r="F778" s="76"/>
    </row>
    <row r="779">
      <c r="B779" s="76"/>
      <c r="C779" s="76"/>
      <c r="D779" s="76"/>
      <c r="E779" s="76"/>
      <c r="F779" s="76"/>
    </row>
    <row r="780">
      <c r="B780" s="76"/>
      <c r="C780" s="76"/>
      <c r="D780" s="76"/>
      <c r="E780" s="76"/>
      <c r="F780" s="76"/>
    </row>
    <row r="781">
      <c r="B781" s="76"/>
      <c r="C781" s="76"/>
      <c r="D781" s="76"/>
      <c r="E781" s="76"/>
      <c r="F781" s="76"/>
    </row>
    <row r="782">
      <c r="B782" s="76"/>
      <c r="C782" s="76"/>
      <c r="D782" s="76"/>
      <c r="E782" s="76"/>
      <c r="F782" s="76"/>
    </row>
    <row r="783">
      <c r="B783" s="76"/>
      <c r="C783" s="76"/>
      <c r="D783" s="76"/>
      <c r="E783" s="76"/>
      <c r="F783" s="76"/>
    </row>
    <row r="784">
      <c r="B784" s="76"/>
      <c r="C784" s="76"/>
      <c r="D784" s="76"/>
      <c r="E784" s="76"/>
      <c r="F784" s="76"/>
    </row>
    <row r="785">
      <c r="B785" s="76"/>
      <c r="C785" s="76"/>
      <c r="D785" s="76"/>
      <c r="E785" s="76"/>
      <c r="F785" s="76"/>
    </row>
    <row r="786">
      <c r="B786" s="76"/>
      <c r="C786" s="76"/>
      <c r="D786" s="76"/>
      <c r="E786" s="76"/>
      <c r="F786" s="76"/>
    </row>
    <row r="787">
      <c r="B787" s="76"/>
      <c r="C787" s="76"/>
      <c r="D787" s="76"/>
      <c r="E787" s="76"/>
      <c r="F787" s="76"/>
    </row>
    <row r="788">
      <c r="B788" s="76"/>
      <c r="C788" s="76"/>
      <c r="D788" s="76"/>
      <c r="E788" s="76"/>
      <c r="F788" s="76"/>
    </row>
    <row r="789">
      <c r="B789" s="76"/>
      <c r="C789" s="76"/>
      <c r="D789" s="76"/>
      <c r="E789" s="76"/>
      <c r="F789" s="76"/>
    </row>
    <row r="790">
      <c r="B790" s="76"/>
      <c r="C790" s="76"/>
      <c r="D790" s="76"/>
      <c r="E790" s="76"/>
      <c r="F790" s="76"/>
    </row>
    <row r="791">
      <c r="B791" s="76"/>
      <c r="C791" s="76"/>
      <c r="D791" s="76"/>
      <c r="E791" s="76"/>
      <c r="F791" s="76"/>
    </row>
    <row r="792">
      <c r="B792" s="76"/>
      <c r="C792" s="76"/>
      <c r="D792" s="76"/>
      <c r="E792" s="76"/>
      <c r="F792" s="76"/>
    </row>
    <row r="793">
      <c r="B793" s="76"/>
      <c r="C793" s="76"/>
      <c r="D793" s="76"/>
      <c r="E793" s="76"/>
      <c r="F793" s="76"/>
    </row>
    <row r="794">
      <c r="B794" s="76"/>
      <c r="C794" s="76"/>
      <c r="D794" s="76"/>
      <c r="E794" s="76"/>
      <c r="F794" s="76"/>
    </row>
    <row r="795">
      <c r="B795" s="76"/>
      <c r="C795" s="76"/>
      <c r="D795" s="76"/>
      <c r="E795" s="76"/>
      <c r="F795" s="76"/>
    </row>
    <row r="796">
      <c r="B796" s="76"/>
      <c r="C796" s="76"/>
      <c r="D796" s="76"/>
      <c r="E796" s="76"/>
      <c r="F796" s="76"/>
    </row>
    <row r="797">
      <c r="B797" s="76"/>
      <c r="C797" s="76"/>
      <c r="D797" s="76"/>
      <c r="E797" s="76"/>
      <c r="F797" s="76"/>
    </row>
    <row r="798">
      <c r="B798" s="76"/>
      <c r="C798" s="76"/>
      <c r="D798" s="76"/>
      <c r="E798" s="76"/>
      <c r="F798" s="76"/>
    </row>
    <row r="799">
      <c r="B799" s="76"/>
      <c r="C799" s="76"/>
      <c r="D799" s="76"/>
      <c r="E799" s="76"/>
      <c r="F799" s="76"/>
    </row>
    <row r="800">
      <c r="B800" s="76"/>
      <c r="C800" s="76"/>
      <c r="D800" s="76"/>
      <c r="E800" s="76"/>
      <c r="F800" s="76"/>
    </row>
    <row r="801">
      <c r="B801" s="76"/>
      <c r="C801" s="76"/>
      <c r="D801" s="76"/>
      <c r="E801" s="76"/>
      <c r="F801" s="76"/>
    </row>
    <row r="802">
      <c r="B802" s="76"/>
      <c r="C802" s="76"/>
      <c r="D802" s="76"/>
      <c r="E802" s="76"/>
      <c r="F802" s="76"/>
    </row>
    <row r="803">
      <c r="B803" s="76"/>
      <c r="C803" s="76"/>
      <c r="D803" s="76"/>
      <c r="E803" s="76"/>
      <c r="F803" s="76"/>
    </row>
    <row r="804">
      <c r="B804" s="76"/>
      <c r="C804" s="76"/>
      <c r="D804" s="76"/>
      <c r="E804" s="76"/>
      <c r="F804" s="76"/>
    </row>
    <row r="805">
      <c r="B805" s="76"/>
      <c r="C805" s="76"/>
      <c r="D805" s="76"/>
      <c r="E805" s="76"/>
      <c r="F805" s="76"/>
    </row>
    <row r="806">
      <c r="B806" s="76"/>
      <c r="C806" s="76"/>
      <c r="D806" s="76"/>
      <c r="E806" s="76"/>
      <c r="F806" s="76"/>
    </row>
    <row r="807">
      <c r="B807" s="76"/>
      <c r="C807" s="76"/>
      <c r="D807" s="76"/>
      <c r="E807" s="76"/>
      <c r="F807" s="76"/>
    </row>
    <row r="808">
      <c r="B808" s="76"/>
      <c r="C808" s="76"/>
      <c r="D808" s="76"/>
      <c r="E808" s="76"/>
      <c r="F808" s="76"/>
    </row>
    <row r="809">
      <c r="B809" s="76"/>
      <c r="C809" s="76"/>
      <c r="D809" s="76"/>
      <c r="E809" s="76"/>
      <c r="F809" s="76"/>
    </row>
    <row r="810">
      <c r="B810" s="76"/>
      <c r="C810" s="76"/>
      <c r="D810" s="76"/>
      <c r="E810" s="76"/>
      <c r="F810" s="76"/>
    </row>
    <row r="811">
      <c r="B811" s="76"/>
      <c r="C811" s="76"/>
      <c r="D811" s="76"/>
      <c r="E811" s="76"/>
      <c r="F811" s="76"/>
    </row>
    <row r="812">
      <c r="B812" s="76"/>
      <c r="C812" s="76"/>
      <c r="D812" s="76"/>
      <c r="E812" s="76"/>
      <c r="F812" s="76"/>
    </row>
    <row r="813">
      <c r="B813" s="76"/>
      <c r="C813" s="76"/>
      <c r="D813" s="76"/>
      <c r="E813" s="76"/>
      <c r="F813" s="76"/>
    </row>
    <row r="814">
      <c r="B814" s="76"/>
      <c r="C814" s="76"/>
      <c r="D814" s="76"/>
      <c r="E814" s="76"/>
      <c r="F814" s="76"/>
    </row>
    <row r="815">
      <c r="B815" s="76"/>
      <c r="C815" s="76"/>
      <c r="D815" s="76"/>
      <c r="E815" s="76"/>
      <c r="F815" s="76"/>
    </row>
    <row r="816">
      <c r="B816" s="76"/>
      <c r="C816" s="76"/>
      <c r="D816" s="76"/>
      <c r="E816" s="76"/>
      <c r="F816" s="76"/>
    </row>
    <row r="817">
      <c r="B817" s="76"/>
      <c r="C817" s="76"/>
      <c r="D817" s="76"/>
      <c r="E817" s="76"/>
      <c r="F817" s="76"/>
    </row>
    <row r="818">
      <c r="B818" s="76"/>
      <c r="C818" s="76"/>
      <c r="D818" s="76"/>
      <c r="E818" s="76"/>
      <c r="F818" s="76"/>
    </row>
    <row r="819">
      <c r="B819" s="76"/>
      <c r="C819" s="76"/>
      <c r="D819" s="76"/>
      <c r="E819" s="76"/>
      <c r="F819" s="76"/>
    </row>
    <row r="820">
      <c r="B820" s="76"/>
      <c r="C820" s="76"/>
      <c r="D820" s="76"/>
      <c r="E820" s="76"/>
      <c r="F820" s="76"/>
    </row>
    <row r="821">
      <c r="B821" s="76"/>
      <c r="C821" s="76"/>
      <c r="D821" s="76"/>
      <c r="E821" s="76"/>
      <c r="F821" s="76"/>
    </row>
    <row r="822">
      <c r="B822" s="76"/>
      <c r="C822" s="76"/>
      <c r="D822" s="76"/>
      <c r="E822" s="76"/>
      <c r="F822" s="76"/>
    </row>
    <row r="823">
      <c r="B823" s="76"/>
      <c r="C823" s="76"/>
      <c r="D823" s="76"/>
      <c r="E823" s="76"/>
      <c r="F823" s="76"/>
    </row>
    <row r="824">
      <c r="B824" s="76"/>
      <c r="C824" s="76"/>
      <c r="D824" s="76"/>
      <c r="E824" s="76"/>
      <c r="F824" s="76"/>
    </row>
    <row r="825">
      <c r="B825" s="76"/>
      <c r="C825" s="76"/>
      <c r="D825" s="76"/>
      <c r="E825" s="76"/>
      <c r="F825" s="76"/>
    </row>
    <row r="826">
      <c r="B826" s="76"/>
      <c r="C826" s="76"/>
      <c r="D826" s="76"/>
      <c r="E826" s="76"/>
      <c r="F826" s="76"/>
    </row>
    <row r="827">
      <c r="B827" s="76"/>
      <c r="C827" s="76"/>
      <c r="D827" s="76"/>
      <c r="E827" s="76"/>
      <c r="F827" s="76"/>
    </row>
    <row r="828">
      <c r="B828" s="76"/>
      <c r="C828" s="76"/>
      <c r="D828" s="76"/>
      <c r="E828" s="76"/>
      <c r="F828" s="76"/>
    </row>
    <row r="829">
      <c r="B829" s="76"/>
      <c r="C829" s="76"/>
      <c r="D829" s="76"/>
      <c r="E829" s="76"/>
      <c r="F829" s="76"/>
    </row>
    <row r="830">
      <c r="B830" s="76"/>
      <c r="C830" s="76"/>
      <c r="D830" s="76"/>
      <c r="E830" s="76"/>
      <c r="F830" s="76"/>
    </row>
    <row r="831">
      <c r="B831" s="76"/>
      <c r="C831" s="76"/>
      <c r="D831" s="76"/>
      <c r="E831" s="76"/>
      <c r="F831" s="76"/>
    </row>
    <row r="832">
      <c r="B832" s="76"/>
      <c r="C832" s="76"/>
      <c r="D832" s="76"/>
      <c r="E832" s="76"/>
      <c r="F832" s="76"/>
    </row>
    <row r="833">
      <c r="B833" s="76"/>
      <c r="C833" s="76"/>
      <c r="D833" s="76"/>
      <c r="E833" s="76"/>
      <c r="F833" s="76"/>
    </row>
    <row r="834">
      <c r="B834" s="76"/>
      <c r="C834" s="76"/>
      <c r="D834" s="76"/>
      <c r="E834" s="76"/>
      <c r="F834" s="76"/>
    </row>
    <row r="835">
      <c r="B835" s="76"/>
      <c r="C835" s="76"/>
      <c r="D835" s="76"/>
      <c r="E835" s="76"/>
      <c r="F835" s="76"/>
    </row>
    <row r="836">
      <c r="B836" s="76"/>
      <c r="C836" s="76"/>
      <c r="D836" s="76"/>
      <c r="E836" s="76"/>
      <c r="F836" s="76"/>
    </row>
    <row r="837">
      <c r="B837" s="76"/>
      <c r="C837" s="76"/>
      <c r="D837" s="76"/>
      <c r="E837" s="76"/>
      <c r="F837" s="76"/>
    </row>
    <row r="838">
      <c r="B838" s="76"/>
      <c r="C838" s="76"/>
      <c r="D838" s="76"/>
      <c r="E838" s="76"/>
      <c r="F838" s="76"/>
    </row>
    <row r="839">
      <c r="B839" s="76"/>
      <c r="C839" s="76"/>
      <c r="D839" s="76"/>
      <c r="E839" s="76"/>
      <c r="F839" s="76"/>
    </row>
    <row r="840">
      <c r="B840" s="76"/>
      <c r="C840" s="76"/>
      <c r="D840" s="76"/>
      <c r="E840" s="76"/>
      <c r="F840" s="76"/>
    </row>
    <row r="841">
      <c r="B841" s="76"/>
      <c r="C841" s="76"/>
      <c r="D841" s="76"/>
      <c r="E841" s="76"/>
      <c r="F841" s="76"/>
    </row>
    <row r="842">
      <c r="B842" s="76"/>
      <c r="C842" s="76"/>
      <c r="D842" s="76"/>
      <c r="E842" s="76"/>
      <c r="F842" s="76"/>
    </row>
    <row r="843">
      <c r="B843" s="76"/>
      <c r="C843" s="76"/>
      <c r="D843" s="76"/>
      <c r="E843" s="76"/>
      <c r="F843" s="76"/>
    </row>
    <row r="844">
      <c r="B844" s="76"/>
      <c r="C844" s="76"/>
      <c r="D844" s="76"/>
      <c r="E844" s="76"/>
      <c r="F844" s="76"/>
    </row>
    <row r="845">
      <c r="B845" s="76"/>
      <c r="C845" s="76"/>
      <c r="D845" s="76"/>
      <c r="E845" s="76"/>
      <c r="F845" s="76"/>
    </row>
    <row r="846">
      <c r="B846" s="76"/>
      <c r="C846" s="76"/>
      <c r="D846" s="76"/>
      <c r="E846" s="76"/>
      <c r="F846" s="76"/>
    </row>
    <row r="847">
      <c r="B847" s="76"/>
      <c r="C847" s="76"/>
      <c r="D847" s="76"/>
      <c r="E847" s="76"/>
      <c r="F847" s="76"/>
    </row>
    <row r="848">
      <c r="B848" s="76"/>
      <c r="C848" s="76"/>
      <c r="D848" s="76"/>
      <c r="E848" s="76"/>
      <c r="F848" s="76"/>
    </row>
    <row r="849">
      <c r="B849" s="76"/>
      <c r="C849" s="76"/>
      <c r="D849" s="76"/>
      <c r="E849" s="76"/>
      <c r="F849" s="76"/>
    </row>
    <row r="850">
      <c r="B850" s="76"/>
      <c r="C850" s="76"/>
      <c r="D850" s="76"/>
      <c r="E850" s="76"/>
      <c r="F850" s="76"/>
    </row>
    <row r="851">
      <c r="B851" s="76"/>
      <c r="C851" s="76"/>
      <c r="D851" s="76"/>
      <c r="E851" s="76"/>
      <c r="F851" s="76"/>
    </row>
    <row r="852">
      <c r="B852" s="76"/>
      <c r="C852" s="76"/>
      <c r="D852" s="76"/>
      <c r="E852" s="76"/>
      <c r="F852" s="76"/>
    </row>
    <row r="853">
      <c r="B853" s="76"/>
      <c r="C853" s="76"/>
      <c r="D853" s="76"/>
      <c r="E853" s="76"/>
      <c r="F853" s="76"/>
    </row>
    <row r="854">
      <c r="B854" s="76"/>
      <c r="C854" s="76"/>
      <c r="D854" s="76"/>
      <c r="E854" s="76"/>
      <c r="F854" s="76"/>
    </row>
    <row r="855">
      <c r="B855" s="76"/>
      <c r="C855" s="76"/>
      <c r="D855" s="76"/>
      <c r="E855" s="76"/>
      <c r="F855" s="76"/>
    </row>
    <row r="856">
      <c r="B856" s="76"/>
      <c r="C856" s="76"/>
      <c r="D856" s="76"/>
      <c r="E856" s="76"/>
      <c r="F856" s="76"/>
    </row>
    <row r="857">
      <c r="B857" s="76"/>
      <c r="C857" s="76"/>
      <c r="D857" s="76"/>
      <c r="E857" s="76"/>
      <c r="F857" s="76"/>
    </row>
    <row r="858">
      <c r="B858" s="76"/>
      <c r="C858" s="76"/>
      <c r="D858" s="76"/>
      <c r="E858" s="76"/>
      <c r="F858" s="76"/>
    </row>
    <row r="859">
      <c r="B859" s="76"/>
      <c r="C859" s="76"/>
      <c r="D859" s="76"/>
      <c r="E859" s="76"/>
      <c r="F859" s="76"/>
    </row>
    <row r="860">
      <c r="B860" s="76"/>
      <c r="C860" s="76"/>
      <c r="D860" s="76"/>
      <c r="E860" s="76"/>
      <c r="F860" s="76"/>
    </row>
    <row r="861">
      <c r="B861" s="76"/>
      <c r="C861" s="76"/>
      <c r="D861" s="76"/>
      <c r="E861" s="76"/>
      <c r="F861" s="76"/>
    </row>
    <row r="862">
      <c r="B862" s="76"/>
      <c r="C862" s="76"/>
      <c r="D862" s="76"/>
      <c r="E862" s="76"/>
      <c r="F862" s="76"/>
    </row>
    <row r="863">
      <c r="B863" s="76"/>
      <c r="C863" s="76"/>
      <c r="D863" s="76"/>
      <c r="E863" s="76"/>
      <c r="F863" s="76"/>
    </row>
    <row r="864">
      <c r="B864" s="76"/>
      <c r="C864" s="76"/>
      <c r="D864" s="76"/>
      <c r="E864" s="76"/>
      <c r="F864" s="76"/>
    </row>
    <row r="865">
      <c r="B865" s="76"/>
      <c r="C865" s="76"/>
      <c r="D865" s="76"/>
      <c r="E865" s="76"/>
      <c r="F865" s="76"/>
    </row>
    <row r="866">
      <c r="B866" s="76"/>
      <c r="C866" s="76"/>
      <c r="D866" s="76"/>
      <c r="E866" s="76"/>
      <c r="F866" s="76"/>
    </row>
    <row r="867">
      <c r="B867" s="76"/>
      <c r="C867" s="76"/>
      <c r="D867" s="76"/>
      <c r="E867" s="76"/>
      <c r="F867" s="76"/>
    </row>
    <row r="868">
      <c r="B868" s="76"/>
      <c r="C868" s="76"/>
      <c r="D868" s="76"/>
      <c r="E868" s="76"/>
      <c r="F868" s="76"/>
    </row>
    <row r="869">
      <c r="B869" s="76"/>
      <c r="C869" s="76"/>
      <c r="D869" s="76"/>
      <c r="E869" s="76"/>
      <c r="F869" s="76"/>
    </row>
    <row r="870">
      <c r="B870" s="76"/>
      <c r="C870" s="76"/>
      <c r="D870" s="76"/>
      <c r="E870" s="76"/>
      <c r="F870" s="76"/>
    </row>
    <row r="871">
      <c r="B871" s="76"/>
      <c r="C871" s="76"/>
      <c r="D871" s="76"/>
      <c r="E871" s="76"/>
      <c r="F871" s="76"/>
    </row>
    <row r="872">
      <c r="B872" s="76"/>
      <c r="C872" s="76"/>
      <c r="D872" s="76"/>
      <c r="E872" s="76"/>
      <c r="F872" s="76"/>
    </row>
    <row r="873">
      <c r="B873" s="76"/>
      <c r="C873" s="76"/>
      <c r="D873" s="76"/>
      <c r="E873" s="76"/>
      <c r="F873" s="76"/>
    </row>
    <row r="874">
      <c r="B874" s="76"/>
      <c r="C874" s="76"/>
      <c r="D874" s="76"/>
      <c r="E874" s="76"/>
      <c r="F874" s="76"/>
    </row>
    <row r="875">
      <c r="B875" s="76"/>
      <c r="C875" s="76"/>
      <c r="D875" s="76"/>
      <c r="E875" s="76"/>
      <c r="F875" s="76"/>
    </row>
    <row r="876">
      <c r="B876" s="76"/>
      <c r="C876" s="76"/>
      <c r="D876" s="76"/>
      <c r="E876" s="76"/>
      <c r="F876" s="76"/>
    </row>
    <row r="877">
      <c r="B877" s="76"/>
      <c r="C877" s="76"/>
      <c r="D877" s="76"/>
      <c r="E877" s="76"/>
      <c r="F877" s="76"/>
    </row>
    <row r="878">
      <c r="B878" s="76"/>
      <c r="C878" s="76"/>
      <c r="D878" s="76"/>
      <c r="E878" s="76"/>
      <c r="F878" s="76"/>
    </row>
    <row r="879">
      <c r="B879" s="76"/>
      <c r="C879" s="76"/>
      <c r="D879" s="76"/>
      <c r="E879" s="76"/>
      <c r="F879" s="76"/>
    </row>
    <row r="880">
      <c r="B880" s="76"/>
      <c r="C880" s="76"/>
      <c r="D880" s="76"/>
      <c r="E880" s="76"/>
      <c r="F880" s="76"/>
    </row>
    <row r="881">
      <c r="B881" s="76"/>
      <c r="C881" s="76"/>
      <c r="D881" s="76"/>
      <c r="E881" s="76"/>
      <c r="F881" s="76"/>
    </row>
    <row r="882">
      <c r="B882" s="76"/>
      <c r="C882" s="76"/>
      <c r="D882" s="76"/>
      <c r="E882" s="76"/>
      <c r="F882" s="76"/>
    </row>
    <row r="883">
      <c r="B883" s="76"/>
      <c r="C883" s="76"/>
      <c r="D883" s="76"/>
      <c r="E883" s="76"/>
      <c r="F883" s="76"/>
    </row>
    <row r="884">
      <c r="B884" s="76"/>
      <c r="C884" s="76"/>
      <c r="D884" s="76"/>
      <c r="E884" s="76"/>
      <c r="F884" s="76"/>
    </row>
    <row r="885">
      <c r="B885" s="76"/>
      <c r="C885" s="76"/>
      <c r="D885" s="76"/>
      <c r="E885" s="76"/>
      <c r="F885" s="76"/>
    </row>
    <row r="886">
      <c r="B886" s="76"/>
      <c r="C886" s="76"/>
      <c r="D886" s="76"/>
      <c r="E886" s="76"/>
      <c r="F886" s="76"/>
    </row>
    <row r="887">
      <c r="B887" s="76"/>
      <c r="C887" s="76"/>
      <c r="D887" s="76"/>
      <c r="E887" s="76"/>
      <c r="F887" s="76"/>
    </row>
    <row r="888">
      <c r="B888" s="76"/>
      <c r="C888" s="76"/>
      <c r="D888" s="76"/>
      <c r="E888" s="76"/>
      <c r="F888" s="76"/>
    </row>
    <row r="889">
      <c r="B889" s="76"/>
      <c r="C889" s="76"/>
      <c r="D889" s="76"/>
      <c r="E889" s="76"/>
      <c r="F889" s="76"/>
    </row>
    <row r="890">
      <c r="B890" s="76"/>
      <c r="C890" s="76"/>
      <c r="D890" s="76"/>
      <c r="E890" s="76"/>
      <c r="F890" s="76"/>
    </row>
    <row r="891">
      <c r="B891" s="76"/>
      <c r="C891" s="76"/>
      <c r="D891" s="76"/>
      <c r="E891" s="76"/>
      <c r="F891" s="76"/>
    </row>
    <row r="892">
      <c r="B892" s="76"/>
      <c r="C892" s="76"/>
      <c r="D892" s="76"/>
      <c r="E892" s="76"/>
      <c r="F892" s="76"/>
    </row>
    <row r="893">
      <c r="B893" s="76"/>
      <c r="C893" s="76"/>
      <c r="D893" s="76"/>
      <c r="E893" s="76"/>
      <c r="F893" s="76"/>
    </row>
    <row r="894">
      <c r="B894" s="76"/>
      <c r="C894" s="76"/>
      <c r="D894" s="76"/>
      <c r="E894" s="76"/>
      <c r="F894" s="76"/>
    </row>
    <row r="895">
      <c r="B895" s="76"/>
      <c r="C895" s="76"/>
      <c r="D895" s="76"/>
      <c r="E895" s="76"/>
      <c r="F895" s="76"/>
    </row>
    <row r="896">
      <c r="B896" s="76"/>
      <c r="C896" s="76"/>
      <c r="D896" s="76"/>
      <c r="E896" s="76"/>
      <c r="F896" s="76"/>
    </row>
    <row r="897">
      <c r="B897" s="76"/>
      <c r="C897" s="76"/>
      <c r="D897" s="76"/>
      <c r="E897" s="76"/>
      <c r="F897" s="76"/>
    </row>
    <row r="898">
      <c r="B898" s="76"/>
      <c r="C898" s="76"/>
      <c r="D898" s="76"/>
      <c r="E898" s="76"/>
      <c r="F898" s="76"/>
    </row>
    <row r="899">
      <c r="B899" s="76"/>
      <c r="C899" s="76"/>
      <c r="D899" s="76"/>
      <c r="E899" s="76"/>
      <c r="F899" s="76"/>
    </row>
    <row r="900">
      <c r="B900" s="76"/>
      <c r="C900" s="76"/>
      <c r="D900" s="76"/>
      <c r="E900" s="76"/>
      <c r="F900" s="76"/>
    </row>
    <row r="901">
      <c r="B901" s="76"/>
      <c r="C901" s="76"/>
      <c r="D901" s="76"/>
      <c r="E901" s="76"/>
      <c r="F901" s="76"/>
    </row>
    <row r="902">
      <c r="B902" s="76"/>
      <c r="C902" s="76"/>
      <c r="D902" s="76"/>
      <c r="E902" s="76"/>
      <c r="F902" s="76"/>
    </row>
    <row r="903">
      <c r="B903" s="76"/>
      <c r="C903" s="76"/>
      <c r="D903" s="76"/>
      <c r="E903" s="76"/>
      <c r="F903" s="76"/>
    </row>
    <row r="904">
      <c r="B904" s="76"/>
      <c r="C904" s="76"/>
      <c r="D904" s="76"/>
      <c r="E904" s="76"/>
      <c r="F904" s="76"/>
    </row>
    <row r="905">
      <c r="B905" s="76"/>
      <c r="C905" s="76"/>
      <c r="D905" s="76"/>
      <c r="E905" s="76"/>
      <c r="F905" s="76"/>
    </row>
    <row r="906">
      <c r="B906" s="76"/>
      <c r="C906" s="76"/>
      <c r="D906" s="76"/>
      <c r="E906" s="76"/>
      <c r="F906" s="76"/>
    </row>
    <row r="907">
      <c r="B907" s="76"/>
      <c r="C907" s="76"/>
      <c r="D907" s="76"/>
      <c r="E907" s="76"/>
      <c r="F907" s="76"/>
    </row>
    <row r="908">
      <c r="B908" s="76"/>
      <c r="C908" s="76"/>
      <c r="D908" s="76"/>
      <c r="E908" s="76"/>
      <c r="F908" s="76"/>
    </row>
    <row r="909">
      <c r="B909" s="76"/>
      <c r="C909" s="76"/>
      <c r="D909" s="76"/>
      <c r="E909" s="76"/>
      <c r="F909" s="76"/>
    </row>
    <row r="910">
      <c r="B910" s="76"/>
      <c r="C910" s="76"/>
      <c r="D910" s="76"/>
      <c r="E910" s="76"/>
      <c r="F910" s="76"/>
    </row>
    <row r="911">
      <c r="B911" s="76"/>
      <c r="C911" s="76"/>
      <c r="D911" s="76"/>
      <c r="E911" s="76"/>
      <c r="F911" s="76"/>
    </row>
    <row r="912">
      <c r="B912" s="76"/>
      <c r="C912" s="76"/>
      <c r="D912" s="76"/>
      <c r="E912" s="76"/>
      <c r="F912" s="76"/>
    </row>
    <row r="913">
      <c r="B913" s="76"/>
      <c r="C913" s="76"/>
      <c r="D913" s="76"/>
      <c r="E913" s="76"/>
      <c r="F913" s="76"/>
    </row>
    <row r="914">
      <c r="B914" s="76"/>
      <c r="C914" s="76"/>
      <c r="D914" s="76"/>
      <c r="E914" s="76"/>
      <c r="F914" s="76"/>
    </row>
    <row r="915">
      <c r="B915" s="76"/>
      <c r="C915" s="76"/>
      <c r="D915" s="76"/>
      <c r="E915" s="76"/>
      <c r="F915" s="76"/>
    </row>
    <row r="916">
      <c r="B916" s="76"/>
      <c r="C916" s="76"/>
      <c r="D916" s="76"/>
      <c r="E916" s="76"/>
      <c r="F916" s="76"/>
    </row>
    <row r="917">
      <c r="B917" s="76"/>
      <c r="C917" s="76"/>
      <c r="D917" s="76"/>
      <c r="E917" s="76"/>
      <c r="F917" s="76"/>
    </row>
    <row r="918">
      <c r="B918" s="76"/>
      <c r="C918" s="76"/>
      <c r="D918" s="76"/>
      <c r="E918" s="76"/>
      <c r="F918" s="76"/>
    </row>
    <row r="919">
      <c r="B919" s="76"/>
      <c r="C919" s="76"/>
      <c r="D919" s="76"/>
      <c r="E919" s="76"/>
      <c r="F919" s="76"/>
    </row>
    <row r="920">
      <c r="B920" s="76"/>
      <c r="C920" s="76"/>
      <c r="D920" s="76"/>
      <c r="E920" s="76"/>
      <c r="F920" s="76"/>
    </row>
    <row r="921">
      <c r="B921" s="76"/>
      <c r="C921" s="76"/>
      <c r="D921" s="76"/>
      <c r="E921" s="76"/>
      <c r="F921" s="76"/>
    </row>
    <row r="922">
      <c r="B922" s="76"/>
      <c r="C922" s="76"/>
      <c r="D922" s="76"/>
      <c r="E922" s="76"/>
      <c r="F922" s="76"/>
    </row>
    <row r="923">
      <c r="B923" s="76"/>
      <c r="C923" s="76"/>
      <c r="D923" s="76"/>
      <c r="E923" s="76"/>
      <c r="F923" s="76"/>
    </row>
    <row r="924">
      <c r="B924" s="76"/>
      <c r="C924" s="76"/>
      <c r="D924" s="76"/>
      <c r="E924" s="76"/>
      <c r="F924" s="76"/>
    </row>
    <row r="925">
      <c r="B925" s="76"/>
      <c r="C925" s="76"/>
      <c r="D925" s="76"/>
      <c r="E925" s="76"/>
      <c r="F925" s="76"/>
    </row>
    <row r="926">
      <c r="B926" s="76"/>
      <c r="C926" s="76"/>
      <c r="D926" s="76"/>
      <c r="E926" s="76"/>
      <c r="F926" s="76"/>
    </row>
    <row r="927">
      <c r="B927" s="76"/>
      <c r="C927" s="76"/>
      <c r="D927" s="76"/>
      <c r="E927" s="76"/>
      <c r="F927" s="76"/>
    </row>
    <row r="928">
      <c r="B928" s="76"/>
      <c r="C928" s="76"/>
      <c r="D928" s="76"/>
      <c r="E928" s="76"/>
      <c r="F928" s="76"/>
    </row>
    <row r="929">
      <c r="B929" s="76"/>
      <c r="C929" s="76"/>
      <c r="D929" s="76"/>
      <c r="E929" s="76"/>
      <c r="F929" s="76"/>
    </row>
    <row r="930">
      <c r="B930" s="76"/>
      <c r="C930" s="76"/>
      <c r="D930" s="76"/>
      <c r="E930" s="76"/>
      <c r="F930" s="76"/>
    </row>
    <row r="931">
      <c r="B931" s="76"/>
      <c r="C931" s="76"/>
      <c r="D931" s="76"/>
      <c r="E931" s="76"/>
      <c r="F931" s="76"/>
    </row>
    <row r="932">
      <c r="B932" s="76"/>
      <c r="C932" s="76"/>
      <c r="D932" s="76"/>
      <c r="E932" s="76"/>
      <c r="F932" s="76"/>
    </row>
    <row r="933">
      <c r="B933" s="76"/>
      <c r="C933" s="76"/>
      <c r="D933" s="76"/>
      <c r="E933" s="76"/>
      <c r="F933" s="76"/>
    </row>
    <row r="934">
      <c r="B934" s="76"/>
      <c r="C934" s="76"/>
      <c r="D934" s="76"/>
      <c r="E934" s="76"/>
      <c r="F934" s="76"/>
    </row>
    <row r="935">
      <c r="B935" s="76"/>
      <c r="C935" s="76"/>
      <c r="D935" s="76"/>
      <c r="E935" s="76"/>
      <c r="F935" s="76"/>
    </row>
    <row r="936">
      <c r="B936" s="76"/>
      <c r="C936" s="76"/>
      <c r="D936" s="76"/>
      <c r="E936" s="76"/>
      <c r="F936" s="76"/>
    </row>
    <row r="937">
      <c r="B937" s="76"/>
      <c r="C937" s="76"/>
      <c r="D937" s="76"/>
      <c r="E937" s="76"/>
      <c r="F937" s="76"/>
    </row>
    <row r="938">
      <c r="B938" s="76"/>
      <c r="C938" s="76"/>
      <c r="D938" s="76"/>
      <c r="E938" s="76"/>
      <c r="F938" s="76"/>
    </row>
    <row r="939">
      <c r="B939" s="76"/>
      <c r="C939" s="76"/>
      <c r="D939" s="76"/>
      <c r="E939" s="76"/>
      <c r="F939" s="76"/>
    </row>
    <row r="940">
      <c r="B940" s="76"/>
      <c r="C940" s="76"/>
      <c r="D940" s="76"/>
      <c r="E940" s="76"/>
      <c r="F940" s="76"/>
    </row>
    <row r="941">
      <c r="B941" s="76"/>
      <c r="C941" s="76"/>
      <c r="D941" s="76"/>
      <c r="E941" s="76"/>
      <c r="F941" s="76"/>
    </row>
    <row r="942">
      <c r="B942" s="76"/>
      <c r="C942" s="76"/>
      <c r="D942" s="76"/>
      <c r="E942" s="76"/>
      <c r="F942" s="76"/>
    </row>
    <row r="943">
      <c r="B943" s="76"/>
      <c r="C943" s="76"/>
      <c r="D943" s="76"/>
      <c r="E943" s="76"/>
      <c r="F943" s="76"/>
    </row>
    <row r="944">
      <c r="B944" s="76"/>
      <c r="C944" s="76"/>
      <c r="D944" s="76"/>
      <c r="E944" s="76"/>
      <c r="F944" s="76"/>
    </row>
    <row r="945">
      <c r="B945" s="76"/>
      <c r="C945" s="76"/>
      <c r="D945" s="76"/>
      <c r="E945" s="76"/>
      <c r="F945" s="76"/>
    </row>
    <row r="946">
      <c r="B946" s="76"/>
      <c r="C946" s="76"/>
      <c r="D946" s="76"/>
      <c r="E946" s="76"/>
      <c r="F946" s="76"/>
    </row>
    <row r="947">
      <c r="B947" s="76"/>
      <c r="C947" s="76"/>
      <c r="D947" s="76"/>
      <c r="E947" s="76"/>
      <c r="F947" s="76"/>
    </row>
    <row r="948">
      <c r="B948" s="76"/>
      <c r="C948" s="76"/>
      <c r="D948" s="76"/>
      <c r="E948" s="76"/>
      <c r="F948" s="76"/>
    </row>
    <row r="949">
      <c r="B949" s="76"/>
      <c r="C949" s="76"/>
      <c r="D949" s="76"/>
      <c r="E949" s="76"/>
      <c r="F949" s="76"/>
    </row>
    <row r="950">
      <c r="B950" s="76"/>
      <c r="C950" s="76"/>
      <c r="D950" s="76"/>
      <c r="E950" s="76"/>
      <c r="F950" s="76"/>
    </row>
    <row r="951">
      <c r="B951" s="76"/>
      <c r="C951" s="76"/>
      <c r="D951" s="76"/>
      <c r="E951" s="76"/>
      <c r="F951" s="76"/>
    </row>
    <row r="952">
      <c r="B952" s="76"/>
      <c r="C952" s="76"/>
      <c r="D952" s="76"/>
      <c r="E952" s="76"/>
      <c r="F952" s="76"/>
    </row>
    <row r="953">
      <c r="B953" s="76"/>
      <c r="C953" s="76"/>
      <c r="D953" s="76"/>
      <c r="E953" s="76"/>
      <c r="F953" s="76"/>
    </row>
    <row r="954">
      <c r="B954" s="76"/>
      <c r="C954" s="76"/>
      <c r="D954" s="76"/>
      <c r="E954" s="76"/>
      <c r="F954" s="76"/>
    </row>
    <row r="955">
      <c r="B955" s="76"/>
      <c r="C955" s="76"/>
      <c r="D955" s="76"/>
      <c r="E955" s="76"/>
      <c r="F955" s="76"/>
    </row>
    <row r="956">
      <c r="B956" s="76"/>
      <c r="C956" s="76"/>
      <c r="D956" s="76"/>
      <c r="E956" s="76"/>
      <c r="F956" s="76"/>
    </row>
    <row r="957">
      <c r="B957" s="76"/>
      <c r="C957" s="76"/>
      <c r="D957" s="76"/>
      <c r="E957" s="76"/>
      <c r="F957" s="76"/>
    </row>
    <row r="958">
      <c r="B958" s="76"/>
      <c r="C958" s="76"/>
      <c r="D958" s="76"/>
      <c r="E958" s="76"/>
      <c r="F958" s="76"/>
    </row>
    <row r="959">
      <c r="B959" s="76"/>
      <c r="C959" s="76"/>
      <c r="D959" s="76"/>
      <c r="E959" s="76"/>
      <c r="F959" s="76"/>
    </row>
    <row r="960">
      <c r="B960" s="76"/>
      <c r="C960" s="76"/>
      <c r="D960" s="76"/>
      <c r="E960" s="76"/>
      <c r="F960" s="76"/>
    </row>
    <row r="961">
      <c r="B961" s="76"/>
      <c r="C961" s="76"/>
      <c r="D961" s="76"/>
      <c r="E961" s="76"/>
      <c r="F961" s="76"/>
    </row>
    <row r="962">
      <c r="B962" s="76"/>
      <c r="C962" s="76"/>
      <c r="D962" s="76"/>
      <c r="E962" s="76"/>
      <c r="F962" s="76"/>
    </row>
    <row r="963">
      <c r="B963" s="76"/>
      <c r="C963" s="76"/>
      <c r="D963" s="76"/>
      <c r="E963" s="76"/>
      <c r="F963" s="76"/>
    </row>
    <row r="964">
      <c r="B964" s="76"/>
      <c r="C964" s="76"/>
      <c r="D964" s="76"/>
      <c r="E964" s="76"/>
      <c r="F964" s="76"/>
    </row>
    <row r="965">
      <c r="B965" s="76"/>
      <c r="C965" s="76"/>
      <c r="D965" s="76"/>
      <c r="E965" s="76"/>
      <c r="F965" s="76"/>
    </row>
    <row r="966">
      <c r="B966" s="76"/>
      <c r="C966" s="76"/>
      <c r="D966" s="76"/>
      <c r="E966" s="76"/>
      <c r="F966" s="76"/>
    </row>
    <row r="967">
      <c r="B967" s="76"/>
      <c r="C967" s="76"/>
      <c r="D967" s="76"/>
      <c r="E967" s="76"/>
      <c r="F967" s="76"/>
    </row>
    <row r="968">
      <c r="B968" s="76"/>
      <c r="C968" s="76"/>
      <c r="D968" s="76"/>
      <c r="E968" s="76"/>
      <c r="F968" s="76"/>
    </row>
    <row r="969">
      <c r="B969" s="76"/>
      <c r="C969" s="76"/>
      <c r="D969" s="76"/>
      <c r="E969" s="76"/>
      <c r="F969" s="76"/>
    </row>
    <row r="970">
      <c r="B970" s="76"/>
      <c r="C970" s="76"/>
      <c r="D970" s="76"/>
      <c r="E970" s="76"/>
      <c r="F970" s="76"/>
    </row>
    <row r="971">
      <c r="B971" s="76"/>
      <c r="C971" s="76"/>
      <c r="D971" s="76"/>
      <c r="E971" s="76"/>
      <c r="F971" s="76"/>
    </row>
    <row r="972">
      <c r="B972" s="76"/>
      <c r="C972" s="76"/>
      <c r="D972" s="76"/>
      <c r="E972" s="76"/>
      <c r="F972" s="76"/>
    </row>
    <row r="973">
      <c r="B973" s="76"/>
      <c r="C973" s="76"/>
      <c r="D973" s="76"/>
      <c r="E973" s="76"/>
      <c r="F973" s="76"/>
    </row>
    <row r="974">
      <c r="B974" s="76"/>
      <c r="C974" s="76"/>
      <c r="D974" s="76"/>
      <c r="E974" s="76"/>
      <c r="F974" s="76"/>
    </row>
    <row r="975">
      <c r="B975" s="76"/>
      <c r="C975" s="76"/>
      <c r="D975" s="76"/>
      <c r="E975" s="76"/>
      <c r="F975" s="76"/>
    </row>
    <row r="976">
      <c r="B976" s="76"/>
      <c r="C976" s="76"/>
      <c r="D976" s="76"/>
      <c r="E976" s="76"/>
      <c r="F976" s="76"/>
    </row>
    <row r="977">
      <c r="B977" s="76"/>
      <c r="C977" s="76"/>
      <c r="D977" s="76"/>
      <c r="E977" s="76"/>
      <c r="F977" s="76"/>
    </row>
    <row r="978">
      <c r="B978" s="76"/>
      <c r="C978" s="76"/>
      <c r="D978" s="76"/>
      <c r="E978" s="76"/>
      <c r="F978" s="76"/>
    </row>
    <row r="979">
      <c r="B979" s="76"/>
      <c r="C979" s="76"/>
      <c r="D979" s="76"/>
      <c r="E979" s="76"/>
      <c r="F979" s="76"/>
    </row>
    <row r="980">
      <c r="B980" s="76"/>
      <c r="C980" s="76"/>
      <c r="D980" s="76"/>
      <c r="E980" s="76"/>
      <c r="F980" s="76"/>
    </row>
    <row r="981">
      <c r="B981" s="76"/>
      <c r="C981" s="76"/>
      <c r="D981" s="76"/>
      <c r="E981" s="76"/>
      <c r="F981" s="76"/>
    </row>
    <row r="982">
      <c r="B982" s="76"/>
      <c r="C982" s="76"/>
      <c r="D982" s="76"/>
      <c r="E982" s="76"/>
      <c r="F982" s="76"/>
    </row>
    <row r="983">
      <c r="B983" s="76"/>
      <c r="C983" s="76"/>
      <c r="D983" s="76"/>
      <c r="E983" s="76"/>
      <c r="F983" s="76"/>
    </row>
    <row r="984">
      <c r="B984" s="76"/>
      <c r="C984" s="76"/>
      <c r="D984" s="76"/>
      <c r="E984" s="76"/>
      <c r="F984" s="76"/>
    </row>
    <row r="985">
      <c r="B985" s="76"/>
      <c r="C985" s="76"/>
      <c r="D985" s="76"/>
      <c r="E985" s="76"/>
      <c r="F985" s="76"/>
    </row>
    <row r="986">
      <c r="B986" s="76"/>
      <c r="C986" s="76"/>
      <c r="D986" s="76"/>
      <c r="E986" s="76"/>
      <c r="F986" s="76"/>
    </row>
    <row r="987">
      <c r="B987" s="76"/>
      <c r="C987" s="76"/>
      <c r="D987" s="76"/>
      <c r="E987" s="76"/>
      <c r="F987" s="76"/>
    </row>
    <row r="988">
      <c r="B988" s="76"/>
      <c r="C988" s="76"/>
      <c r="D988" s="76"/>
      <c r="E988" s="76"/>
      <c r="F988" s="76"/>
    </row>
    <row r="989">
      <c r="B989" s="76"/>
      <c r="C989" s="76"/>
      <c r="D989" s="76"/>
      <c r="E989" s="76"/>
      <c r="F989" s="76"/>
    </row>
    <row r="990">
      <c r="B990" s="76"/>
      <c r="C990" s="76"/>
      <c r="D990" s="76"/>
      <c r="E990" s="76"/>
      <c r="F990" s="76"/>
    </row>
    <row r="991">
      <c r="B991" s="76"/>
      <c r="C991" s="76"/>
      <c r="D991" s="76"/>
      <c r="E991" s="76"/>
      <c r="F991" s="76"/>
    </row>
    <row r="992">
      <c r="B992" s="76"/>
      <c r="C992" s="76"/>
      <c r="D992" s="76"/>
      <c r="E992" s="76"/>
      <c r="F992" s="76"/>
    </row>
    <row r="993">
      <c r="B993" s="76"/>
      <c r="C993" s="76"/>
      <c r="D993" s="76"/>
      <c r="E993" s="76"/>
      <c r="F993" s="76"/>
    </row>
    <row r="994">
      <c r="B994" s="76"/>
      <c r="C994" s="76"/>
      <c r="D994" s="76"/>
      <c r="E994" s="76"/>
      <c r="F994" s="76"/>
    </row>
    <row r="995">
      <c r="B995" s="76"/>
      <c r="C995" s="76"/>
      <c r="D995" s="76"/>
      <c r="E995" s="76"/>
      <c r="F995" s="76"/>
    </row>
    <row r="996">
      <c r="B996" s="76"/>
      <c r="C996" s="76"/>
      <c r="D996" s="76"/>
      <c r="E996" s="76"/>
      <c r="F996" s="76"/>
    </row>
    <row r="997">
      <c r="B997" s="76"/>
      <c r="C997" s="76"/>
      <c r="D997" s="76"/>
      <c r="E997" s="76"/>
      <c r="F997" s="76"/>
    </row>
    <row r="998">
      <c r="B998" s="76"/>
      <c r="C998" s="76"/>
      <c r="D998" s="76"/>
      <c r="E998" s="76"/>
      <c r="F998" s="76"/>
    </row>
    <row r="999">
      <c r="B999" s="76"/>
      <c r="C999" s="76"/>
      <c r="D999" s="76"/>
      <c r="E999" s="76"/>
      <c r="F999" s="76"/>
    </row>
    <row r="1000">
      <c r="B1000" s="76"/>
      <c r="C1000" s="76"/>
      <c r="D1000" s="76"/>
      <c r="E1000" s="76"/>
      <c r="F1000" s="76"/>
    </row>
  </sheetData>
  <customSheetViews>
    <customSheetView guid="{3F812DB3-7F39-4F86-B0F6-21C327095D3B}" filter="1" showAutoFilter="1">
      <autoFilter ref="$A$2:$H$142"/>
    </customSheetView>
  </customSheetViews>
  <dataValidations>
    <dataValidation type="custom" allowBlank="1" showDropDown="1" sqref="A3:A142">
      <formula1>OR(NOT(ISERROR(DATEVALUE(A3))), AND(ISNUMBER(A3), LEFT(CELL("format", A3))="D"))</formula1>
    </dataValidation>
    <dataValidation type="custom" allowBlank="1" showDropDown="1" sqref="C3:D142 F3:H142">
      <formula1>AND(ISNUMBER(C3),(NOT(OR(NOT(ISERROR(DATEVALUE(C3))), AND(ISNUMBER(C3), LEFT(CELL("format", C3))="D")))))</formula1>
    </dataValidation>
  </dataValidations>
  <hyperlinks>
    <hyperlink r:id="rId1" ref="C1"/>
  </hyperlinks>
  <drawing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8.5"/>
    <col customWidth="1" min="4" max="4" width="3.63"/>
    <col customWidth="1" min="6" max="6" width="18.75"/>
  </cols>
  <sheetData>
    <row r="1">
      <c r="A1" s="231" t="s">
        <v>151</v>
      </c>
      <c r="B1" s="214" t="s">
        <v>158</v>
      </c>
      <c r="C1" s="215" t="s">
        <v>159</v>
      </c>
      <c r="E1" s="231" t="s">
        <v>154</v>
      </c>
      <c r="F1" s="215" t="s">
        <v>160</v>
      </c>
    </row>
    <row r="2">
      <c r="A2" s="232">
        <v>2014.0</v>
      </c>
      <c r="B2" s="219">
        <v>93.25833333333333</v>
      </c>
      <c r="C2" s="21">
        <v>7.7767E7</v>
      </c>
      <c r="E2" s="233" t="s">
        <v>161</v>
      </c>
      <c r="F2" s="220">
        <v>98.74666666666667</v>
      </c>
    </row>
    <row r="3">
      <c r="A3" s="234">
        <v>2015.0</v>
      </c>
      <c r="B3" s="224">
        <v>48.68833333333333</v>
      </c>
      <c r="C3" s="235">
        <v>7.4859E7</v>
      </c>
      <c r="E3" s="236" t="s">
        <v>162</v>
      </c>
      <c r="F3" s="225">
        <v>103.34666666666668</v>
      </c>
      <c r="J3" s="171"/>
      <c r="K3" s="171"/>
      <c r="L3" s="171"/>
      <c r="M3" s="171"/>
      <c r="N3" s="171"/>
      <c r="O3" s="171"/>
      <c r="P3" s="237"/>
      <c r="Q3" s="237"/>
      <c r="R3" s="237"/>
      <c r="S3" s="237"/>
      <c r="T3" s="237"/>
    </row>
    <row r="4">
      <c r="A4" s="232">
        <v>2016.0</v>
      </c>
      <c r="B4" s="219">
        <v>43.14416666666667</v>
      </c>
      <c r="C4" s="21">
        <v>7.9146E7</v>
      </c>
      <c r="E4" s="233" t="s">
        <v>163</v>
      </c>
      <c r="F4" s="220">
        <v>97.77999999999999</v>
      </c>
    </row>
    <row r="5">
      <c r="A5" s="234">
        <v>2017.0</v>
      </c>
      <c r="B5" s="224">
        <v>50.884166666666665</v>
      </c>
      <c r="C5" s="235">
        <v>1.72033E8</v>
      </c>
      <c r="E5" s="236" t="s">
        <v>164</v>
      </c>
      <c r="F5" s="225">
        <v>73.16</v>
      </c>
    </row>
    <row r="6">
      <c r="A6" s="232">
        <v>2018.0</v>
      </c>
      <c r="B6" s="219">
        <v>64.93833333333333</v>
      </c>
      <c r="C6" s="21">
        <v>2.8882E8</v>
      </c>
      <c r="E6" s="233" t="s">
        <v>165</v>
      </c>
      <c r="F6" s="220">
        <v>48.54</v>
      </c>
    </row>
    <row r="7">
      <c r="A7" s="234">
        <v>2019.0</v>
      </c>
      <c r="B7" s="224">
        <v>56.984166666666674</v>
      </c>
      <c r="C7" s="235">
        <v>2.98293E8</v>
      </c>
      <c r="E7" s="236" t="s">
        <v>166</v>
      </c>
      <c r="F7" s="225">
        <v>57.846666666666664</v>
      </c>
    </row>
    <row r="8">
      <c r="A8" s="232">
        <v>2020.0</v>
      </c>
      <c r="B8" s="219">
        <v>39.2275</v>
      </c>
      <c r="C8" s="238">
        <v>2.50626E8</v>
      </c>
      <c r="E8" s="233" t="s">
        <v>167</v>
      </c>
      <c r="F8" s="220">
        <v>46.416666666666664</v>
      </c>
    </row>
    <row r="9">
      <c r="A9" s="234">
        <v>2021.0</v>
      </c>
      <c r="B9" s="224">
        <v>67.9875</v>
      </c>
      <c r="C9" s="239">
        <v>5.04917E8</v>
      </c>
      <c r="E9" s="236" t="s">
        <v>168</v>
      </c>
      <c r="F9" s="225">
        <v>41.949999999999996</v>
      </c>
    </row>
    <row r="10">
      <c r="A10" s="232">
        <v>2022.0</v>
      </c>
      <c r="B10" s="219">
        <v>94.78666666666668</v>
      </c>
      <c r="C10" s="238">
        <v>8.66467E8</v>
      </c>
      <c r="E10" s="233" t="s">
        <v>169</v>
      </c>
      <c r="F10" s="220">
        <v>33.18333333333333</v>
      </c>
    </row>
    <row r="11">
      <c r="A11" s="234">
        <v>2023.0</v>
      </c>
      <c r="B11" s="224">
        <v>77.63583333333331</v>
      </c>
      <c r="C11" s="239">
        <v>8.27697E8</v>
      </c>
      <c r="E11" s="236" t="s">
        <v>170</v>
      </c>
      <c r="F11" s="225">
        <v>45.406666666666666</v>
      </c>
    </row>
    <row r="12">
      <c r="A12" s="232">
        <v>2024.0</v>
      </c>
      <c r="B12" s="219">
        <v>76.55</v>
      </c>
      <c r="C12" s="238">
        <v>8.60387E8</v>
      </c>
      <c r="E12" s="233" t="s">
        <v>171</v>
      </c>
      <c r="F12" s="220">
        <v>44.85</v>
      </c>
    </row>
    <row r="13">
      <c r="A13" s="240">
        <v>2025.0</v>
      </c>
      <c r="B13" s="229">
        <v>67.83</v>
      </c>
      <c r="C13" s="230"/>
      <c r="E13" s="236" t="s">
        <v>172</v>
      </c>
      <c r="F13" s="225">
        <v>49.13666666666666</v>
      </c>
    </row>
    <row r="14">
      <c r="E14" s="233" t="s">
        <v>173</v>
      </c>
      <c r="F14" s="220">
        <v>51.76666666666667</v>
      </c>
    </row>
    <row r="15">
      <c r="E15" s="236" t="s">
        <v>174</v>
      </c>
      <c r="F15" s="225">
        <v>48.24</v>
      </c>
    </row>
    <row r="16">
      <c r="E16" s="233" t="s">
        <v>175</v>
      </c>
      <c r="F16" s="220">
        <v>48.163333333333334</v>
      </c>
    </row>
    <row r="17">
      <c r="E17" s="236" t="s">
        <v>176</v>
      </c>
      <c r="F17" s="225">
        <v>55.36666666666667</v>
      </c>
    </row>
    <row r="18">
      <c r="E18" s="233" t="s">
        <v>177</v>
      </c>
      <c r="F18" s="220">
        <v>62.88666666666666</v>
      </c>
    </row>
    <row r="19">
      <c r="E19" s="236" t="s">
        <v>178</v>
      </c>
      <c r="F19" s="225">
        <v>68.03333333333335</v>
      </c>
    </row>
    <row r="20">
      <c r="E20" s="233" t="s">
        <v>179</v>
      </c>
      <c r="F20" s="220">
        <v>69.75666666666667</v>
      </c>
    </row>
    <row r="21">
      <c r="E21" s="236" t="s">
        <v>180</v>
      </c>
      <c r="F21" s="225">
        <v>59.076666666666675</v>
      </c>
    </row>
    <row r="22">
      <c r="E22" s="233" t="s">
        <v>181</v>
      </c>
      <c r="F22" s="220">
        <v>54.826666666666675</v>
      </c>
    </row>
    <row r="23">
      <c r="E23" s="236" t="s">
        <v>182</v>
      </c>
      <c r="F23" s="225">
        <v>59.78333333333333</v>
      </c>
    </row>
    <row r="24">
      <c r="E24" s="233" t="s">
        <v>183</v>
      </c>
      <c r="F24" s="220">
        <v>56.370000000000005</v>
      </c>
    </row>
    <row r="25">
      <c r="E25" s="236" t="s">
        <v>184</v>
      </c>
      <c r="F25" s="225">
        <v>56.95666666666667</v>
      </c>
    </row>
    <row r="26">
      <c r="E26" s="233" t="s">
        <v>185</v>
      </c>
      <c r="F26" s="220">
        <v>45.75666666666667</v>
      </c>
    </row>
    <row r="27">
      <c r="E27" s="236" t="s">
        <v>186</v>
      </c>
      <c r="F27" s="225">
        <v>27.80666666666667</v>
      </c>
    </row>
    <row r="28">
      <c r="E28" s="233" t="s">
        <v>187</v>
      </c>
      <c r="F28" s="220">
        <v>40.89333333333334</v>
      </c>
    </row>
    <row r="29">
      <c r="E29" s="236" t="s">
        <v>188</v>
      </c>
      <c r="F29" s="225">
        <v>42.45333333333334</v>
      </c>
    </row>
    <row r="30">
      <c r="E30" s="233" t="s">
        <v>189</v>
      </c>
      <c r="F30" s="220">
        <v>57.79</v>
      </c>
    </row>
    <row r="31">
      <c r="E31" s="236" t="s">
        <v>190</v>
      </c>
      <c r="F31" s="225">
        <v>66.08999999999999</v>
      </c>
    </row>
    <row r="32">
      <c r="E32" s="233" t="s">
        <v>191</v>
      </c>
      <c r="F32" s="220">
        <v>70.62333333333333</v>
      </c>
    </row>
    <row r="33">
      <c r="E33" s="236" t="s">
        <v>192</v>
      </c>
      <c r="F33" s="225">
        <v>77.44666666666666</v>
      </c>
    </row>
    <row r="34">
      <c r="E34" s="233" t="s">
        <v>193</v>
      </c>
      <c r="F34" s="220">
        <v>94.45333333333333</v>
      </c>
    </row>
    <row r="35">
      <c r="E35" s="236" t="s">
        <v>194</v>
      </c>
      <c r="F35" s="225">
        <v>108.72333333333331</v>
      </c>
    </row>
    <row r="36">
      <c r="E36" s="233" t="s">
        <v>195</v>
      </c>
      <c r="F36" s="220">
        <v>93.18333333333334</v>
      </c>
    </row>
    <row r="37">
      <c r="E37" s="236" t="s">
        <v>12</v>
      </c>
      <c r="F37" s="225">
        <v>82.78666666666668</v>
      </c>
    </row>
    <row r="38">
      <c r="E38" s="233" t="s">
        <v>13</v>
      </c>
      <c r="F38" s="220">
        <v>76.07666666666667</v>
      </c>
    </row>
    <row r="39">
      <c r="E39" s="236" t="s">
        <v>14</v>
      </c>
      <c r="F39" s="225">
        <v>73.76</v>
      </c>
    </row>
    <row r="40">
      <c r="E40" s="233" t="s">
        <v>15</v>
      </c>
      <c r="F40" s="220">
        <v>82.29666666666667</v>
      </c>
    </row>
    <row r="41">
      <c r="E41" s="236" t="s">
        <v>16</v>
      </c>
      <c r="F41" s="225">
        <v>78.41</v>
      </c>
    </row>
    <row r="42">
      <c r="E42" s="233" t="s">
        <v>17</v>
      </c>
      <c r="F42" s="220">
        <v>77.56</v>
      </c>
    </row>
    <row r="43">
      <c r="E43" s="236" t="s">
        <v>18</v>
      </c>
      <c r="F43" s="225">
        <v>81.71333333333332</v>
      </c>
    </row>
    <row r="44">
      <c r="E44" s="233" t="s">
        <v>19</v>
      </c>
      <c r="F44" s="220">
        <v>76.24000000000001</v>
      </c>
    </row>
    <row r="45">
      <c r="E45" s="236" t="s">
        <v>20</v>
      </c>
      <c r="F45" s="225">
        <v>70.68666666666667</v>
      </c>
    </row>
    <row r="46">
      <c r="E46" s="233" t="s">
        <v>21</v>
      </c>
      <c r="F46" s="220">
        <v>71.83666666666666</v>
      </c>
    </row>
    <row r="47">
      <c r="E47" s="236" t="s">
        <v>22</v>
      </c>
      <c r="F47" s="225">
        <v>64.62666666666667</v>
      </c>
    </row>
    <row r="48">
      <c r="E48" s="241" t="s">
        <v>196</v>
      </c>
      <c r="F48" s="242">
        <v>66.625</v>
      </c>
    </row>
  </sheetData>
  <dataValidations>
    <dataValidation type="custom" allowBlank="1" showDropDown="1" sqref="A2:B13 F2:F48">
      <formula1>AND(ISNUMBER(A2),(NOT(OR(NOT(ISERROR(DATEVALUE(A2))), AND(ISNUMBER(A2), LEFT(CELL("format", A2))="D")))))</formula1>
    </dataValidation>
    <dataValidation allowBlank="1" showDropDown="1" sqref="E2:E48"/>
  </dataValidations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75"/>
    <col customWidth="1" min="2" max="2" width="13.5"/>
  </cols>
  <sheetData>
    <row r="1">
      <c r="A1" s="243" t="s">
        <v>197</v>
      </c>
      <c r="B1" s="244" t="s">
        <v>198</v>
      </c>
      <c r="C1" s="245" t="s">
        <v>199</v>
      </c>
      <c r="D1" s="245" t="s">
        <v>200</v>
      </c>
      <c r="E1" s="245" t="s">
        <v>201</v>
      </c>
      <c r="F1" s="245" t="s">
        <v>202</v>
      </c>
      <c r="G1" s="245" t="s">
        <v>203</v>
      </c>
      <c r="H1" s="245" t="s">
        <v>204</v>
      </c>
      <c r="I1" s="245" t="s">
        <v>205</v>
      </c>
      <c r="J1" s="245" t="s">
        <v>206</v>
      </c>
      <c r="K1" s="245" t="s">
        <v>207</v>
      </c>
      <c r="L1" s="245" t="s">
        <v>208</v>
      </c>
      <c r="M1" s="246" t="s">
        <v>209</v>
      </c>
      <c r="N1" s="1"/>
    </row>
    <row r="2">
      <c r="A2" s="247" t="s">
        <v>210</v>
      </c>
      <c r="B2" s="248">
        <v>0.05</v>
      </c>
      <c r="C2" s="249">
        <v>7.0E8</v>
      </c>
      <c r="D2" s="250">
        <f t="shared" ref="D2:M2" si="1">C2*(1+$B2)</f>
        <v>735000000</v>
      </c>
      <c r="E2" s="250">
        <f t="shared" si="1"/>
        <v>771750000</v>
      </c>
      <c r="F2" s="250">
        <f t="shared" si="1"/>
        <v>810337500</v>
      </c>
      <c r="G2" s="250">
        <f t="shared" si="1"/>
        <v>850854375</v>
      </c>
      <c r="H2" s="250">
        <f t="shared" si="1"/>
        <v>893397093.8</v>
      </c>
      <c r="I2" s="250">
        <f t="shared" si="1"/>
        <v>938066948.4</v>
      </c>
      <c r="J2" s="250">
        <f t="shared" si="1"/>
        <v>984970295.9</v>
      </c>
      <c r="K2" s="250">
        <f t="shared" si="1"/>
        <v>1034218811</v>
      </c>
      <c r="L2" s="250">
        <f t="shared" si="1"/>
        <v>1085929751</v>
      </c>
      <c r="M2" s="251">
        <f t="shared" si="1"/>
        <v>1140226239</v>
      </c>
      <c r="N2" s="1"/>
    </row>
    <row r="3">
      <c r="A3" s="247" t="s">
        <v>211</v>
      </c>
      <c r="B3" s="252">
        <v>0.2</v>
      </c>
      <c r="C3" s="253">
        <v>7.0E8</v>
      </c>
      <c r="D3" s="254">
        <f t="shared" ref="D3:M3" si="2">C3*(1+$B3)</f>
        <v>840000000</v>
      </c>
      <c r="E3" s="254">
        <f t="shared" si="2"/>
        <v>1008000000</v>
      </c>
      <c r="F3" s="254">
        <f t="shared" si="2"/>
        <v>1209600000</v>
      </c>
      <c r="G3" s="254">
        <f t="shared" si="2"/>
        <v>1451520000</v>
      </c>
      <c r="H3" s="254">
        <f t="shared" si="2"/>
        <v>1741824000</v>
      </c>
      <c r="I3" s="254">
        <f t="shared" si="2"/>
        <v>2090188800</v>
      </c>
      <c r="J3" s="254">
        <f t="shared" si="2"/>
        <v>2508226560</v>
      </c>
      <c r="K3" s="254">
        <f t="shared" si="2"/>
        <v>3009871872</v>
      </c>
      <c r="L3" s="254">
        <f t="shared" si="2"/>
        <v>3611846246</v>
      </c>
      <c r="M3" s="255">
        <f t="shared" si="2"/>
        <v>4334215496</v>
      </c>
      <c r="N3" s="1"/>
    </row>
    <row r="4">
      <c r="A4" s="247" t="s">
        <v>212</v>
      </c>
      <c r="B4" s="252">
        <v>0.3</v>
      </c>
      <c r="C4" s="253">
        <v>7.0E8</v>
      </c>
      <c r="D4" s="254">
        <f t="shared" ref="D4:M4" si="3">C4*(1+$B4)</f>
        <v>910000000</v>
      </c>
      <c r="E4" s="254">
        <f t="shared" si="3"/>
        <v>1183000000</v>
      </c>
      <c r="F4" s="254">
        <f t="shared" si="3"/>
        <v>1537900000</v>
      </c>
      <c r="G4" s="254">
        <f t="shared" si="3"/>
        <v>1999270000</v>
      </c>
      <c r="H4" s="254">
        <f t="shared" si="3"/>
        <v>2599051000</v>
      </c>
      <c r="I4" s="254">
        <f t="shared" si="3"/>
        <v>3378766300</v>
      </c>
      <c r="J4" s="254">
        <f t="shared" si="3"/>
        <v>4392396190</v>
      </c>
      <c r="K4" s="254">
        <f t="shared" si="3"/>
        <v>5710115047</v>
      </c>
      <c r="L4" s="254">
        <f t="shared" si="3"/>
        <v>7423149561</v>
      </c>
      <c r="M4" s="255">
        <f t="shared" si="3"/>
        <v>9650094429</v>
      </c>
      <c r="N4" s="1"/>
    </row>
    <row r="5">
      <c r="A5" s="247" t="s">
        <v>213</v>
      </c>
      <c r="B5" s="252">
        <v>0.4</v>
      </c>
      <c r="C5" s="253">
        <v>7.0E8</v>
      </c>
      <c r="D5" s="254">
        <f t="shared" ref="D5:M5" si="4">C5*(1+$B5)</f>
        <v>980000000</v>
      </c>
      <c r="E5" s="254">
        <f t="shared" si="4"/>
        <v>1372000000</v>
      </c>
      <c r="F5" s="254">
        <f t="shared" si="4"/>
        <v>1920800000</v>
      </c>
      <c r="G5" s="254">
        <f t="shared" si="4"/>
        <v>2689120000</v>
      </c>
      <c r="H5" s="254">
        <f t="shared" si="4"/>
        <v>3764768000</v>
      </c>
      <c r="I5" s="254">
        <f t="shared" si="4"/>
        <v>5270675200</v>
      </c>
      <c r="J5" s="254">
        <f t="shared" si="4"/>
        <v>7378945280</v>
      </c>
      <c r="K5" s="254">
        <f t="shared" si="4"/>
        <v>10330523392</v>
      </c>
      <c r="L5" s="254">
        <f t="shared" si="4"/>
        <v>14462732749</v>
      </c>
      <c r="M5" s="255">
        <f t="shared" si="4"/>
        <v>20247825848</v>
      </c>
      <c r="N5" s="1"/>
    </row>
    <row r="6">
      <c r="A6" s="256" t="s">
        <v>214</v>
      </c>
      <c r="B6" s="257">
        <v>0.55</v>
      </c>
      <c r="C6" s="258">
        <v>7.0E8</v>
      </c>
      <c r="D6" s="259">
        <f t="shared" ref="D6:M6" si="5">C6*(1+$B6)</f>
        <v>1085000000</v>
      </c>
      <c r="E6" s="259">
        <f t="shared" si="5"/>
        <v>1681750000</v>
      </c>
      <c r="F6" s="259">
        <f t="shared" si="5"/>
        <v>2606712500</v>
      </c>
      <c r="G6" s="259">
        <f t="shared" si="5"/>
        <v>4040404375</v>
      </c>
      <c r="H6" s="259">
        <f t="shared" si="5"/>
        <v>6262626781</v>
      </c>
      <c r="I6" s="259">
        <f t="shared" si="5"/>
        <v>9707071511</v>
      </c>
      <c r="J6" s="259">
        <f t="shared" si="5"/>
        <v>15045960842</v>
      </c>
      <c r="K6" s="259">
        <f t="shared" si="5"/>
        <v>23321239305</v>
      </c>
      <c r="L6" s="259">
        <f t="shared" si="5"/>
        <v>36147920923</v>
      </c>
      <c r="M6" s="260">
        <f t="shared" si="5"/>
        <v>56029277430</v>
      </c>
      <c r="N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261" t="s">
        <v>215</v>
      </c>
      <c r="B8" s="262">
        <v>0.1</v>
      </c>
      <c r="C8" s="263" t="s">
        <v>216</v>
      </c>
      <c r="D8" s="90" t="s">
        <v>217</v>
      </c>
      <c r="E8" s="264"/>
      <c r="F8" s="264"/>
      <c r="G8" s="264"/>
      <c r="H8" s="264"/>
      <c r="I8" s="264"/>
      <c r="J8" s="264"/>
      <c r="K8" s="264"/>
      <c r="L8" s="264"/>
      <c r="M8" s="1"/>
      <c r="N8" s="1"/>
    </row>
    <row r="9">
      <c r="A9" s="261" t="s">
        <v>218</v>
      </c>
      <c r="B9" s="123">
        <v>2.88520955E8</v>
      </c>
      <c r="C9" s="1"/>
      <c r="D9" s="90" t="s">
        <v>219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261" t="s">
        <v>220</v>
      </c>
      <c r="B10" s="265">
        <v>0.03</v>
      </c>
      <c r="C10" s="156"/>
      <c r="D10" s="90" t="s">
        <v>221</v>
      </c>
      <c r="E10" s="156"/>
      <c r="F10" s="156"/>
      <c r="G10" s="156"/>
      <c r="H10" s="156"/>
      <c r="I10" s="156"/>
      <c r="J10" s="156"/>
      <c r="K10" s="156"/>
      <c r="L10" s="156"/>
      <c r="M10" s="1"/>
      <c r="N10" s="1"/>
    </row>
    <row r="11">
      <c r="A11" s="261" t="s">
        <v>222</v>
      </c>
      <c r="B11" s="266">
        <v>10.0</v>
      </c>
      <c r="C11" s="1"/>
      <c r="D11" s="90" t="s">
        <v>223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1"/>
      <c r="C12" s="1"/>
      <c r="D12" s="90" t="s">
        <v>224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243" t="s">
        <v>225</v>
      </c>
      <c r="B13" s="26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247" t="s">
        <v>210</v>
      </c>
      <c r="B14" s="268">
        <f t="shared" ref="B14:B18" si="6">((M2*(1+$B$10))/((1+$B$8-$B$10)))/((1+$B$8)^$B$11)</f>
        <v>423172684.1</v>
      </c>
      <c r="C14" s="1"/>
      <c r="D14" s="87" t="s">
        <v>226</v>
      </c>
      <c r="E14" s="87" t="s">
        <v>227</v>
      </c>
      <c r="F14" s="87" t="s">
        <v>228</v>
      </c>
      <c r="G14" s="86"/>
      <c r="H14" s="87" t="s">
        <v>229</v>
      </c>
      <c r="I14" s="1"/>
      <c r="J14" s="1"/>
      <c r="K14" s="1"/>
      <c r="L14" s="1"/>
      <c r="M14" s="1"/>
      <c r="N14" s="1"/>
    </row>
    <row r="15">
      <c r="A15" s="247" t="s">
        <v>211</v>
      </c>
      <c r="B15" s="268">
        <f t="shared" si="6"/>
        <v>1608559374</v>
      </c>
      <c r="C15" s="86" t="s">
        <v>230</v>
      </c>
      <c r="D15" s="269" t="s">
        <v>231</v>
      </c>
      <c r="E15" s="90" t="s">
        <v>232</v>
      </c>
      <c r="F15" s="270" t="s">
        <v>233</v>
      </c>
      <c r="G15" s="122" t="s">
        <v>234</v>
      </c>
      <c r="H15" s="271" t="s">
        <v>235</v>
      </c>
      <c r="I15" s="90" t="s">
        <v>236</v>
      </c>
      <c r="J15" s="1"/>
      <c r="K15" s="1"/>
      <c r="L15" s="1"/>
      <c r="M15" s="1"/>
      <c r="N15" s="1"/>
    </row>
    <row r="16">
      <c r="A16" s="247" t="s">
        <v>212</v>
      </c>
      <c r="B16" s="268">
        <f t="shared" si="6"/>
        <v>3581443948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247" t="s">
        <v>213</v>
      </c>
      <c r="B17" s="268">
        <f t="shared" si="6"/>
        <v>7514584844</v>
      </c>
      <c r="C17" s="86" t="s">
        <v>237</v>
      </c>
      <c r="D17" s="90" t="s">
        <v>238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256" t="s">
        <v>214</v>
      </c>
      <c r="B18" s="272">
        <f t="shared" si="6"/>
        <v>20794171292</v>
      </c>
      <c r="C18" s="1"/>
      <c r="D18" s="90" t="s">
        <v>239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243" t="s">
        <v>240</v>
      </c>
      <c r="B20" s="27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247" t="s">
        <v>210</v>
      </c>
      <c r="B21" s="268">
        <f t="shared" ref="B21:B25" si="7">NPV($B$8,D2:M2)</f>
        <v>5468261930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247" t="s">
        <v>211</v>
      </c>
      <c r="B22" s="268">
        <f t="shared" si="7"/>
        <v>11652332392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247" t="s">
        <v>212</v>
      </c>
      <c r="B23" s="268">
        <f t="shared" si="7"/>
        <v>19633439473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A24" s="247" t="s">
        <v>213</v>
      </c>
      <c r="B24" s="268">
        <f t="shared" si="7"/>
        <v>33163262446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256" t="s">
        <v>214</v>
      </c>
      <c r="B25" s="272">
        <f t="shared" si="7"/>
        <v>71994785519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27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A27" s="261" t="s">
        <v>241</v>
      </c>
      <c r="B27" s="254">
        <f>MAIN!L5-MAIN!L6</f>
        <v>1070000000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27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A29" s="243" t="s">
        <v>44</v>
      </c>
      <c r="B29" s="27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247" t="s">
        <v>210</v>
      </c>
      <c r="B30" s="268">
        <f t="shared" ref="B30:B34" si="8">B21+B14</f>
        <v>5891434614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247" t="s">
        <v>211</v>
      </c>
      <c r="B31" s="268">
        <f t="shared" si="8"/>
        <v>13260891766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247" t="s">
        <v>212</v>
      </c>
      <c r="B32" s="268">
        <f t="shared" si="8"/>
        <v>23214883420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247" t="s">
        <v>213</v>
      </c>
      <c r="B33" s="268">
        <f t="shared" si="8"/>
        <v>40677847290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256" t="s">
        <v>214</v>
      </c>
      <c r="B34" s="272">
        <f t="shared" si="8"/>
        <v>92788956811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>
      <c r="A35" s="1"/>
      <c r="B35" s="27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243" t="s">
        <v>242</v>
      </c>
      <c r="B36" s="27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247" t="s">
        <v>210</v>
      </c>
      <c r="B37" s="41">
        <f t="shared" ref="B37:B41" si="9">((B30-$B$27)/$B$9)</f>
        <v>16.7108646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247" t="s">
        <v>211</v>
      </c>
      <c r="B38" s="41">
        <f t="shared" si="9"/>
        <v>42.25305495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247" t="s">
        <v>212</v>
      </c>
      <c r="B39" s="41">
        <f t="shared" si="9"/>
        <v>76.75311979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247" t="s">
        <v>213</v>
      </c>
      <c r="B40" s="41">
        <f t="shared" si="9"/>
        <v>137.2789276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256" t="s">
        <v>214</v>
      </c>
      <c r="B41" s="276">
        <f t="shared" si="9"/>
        <v>317.8935714</v>
      </c>
      <c r="C41" s="156"/>
      <c r="D41" s="156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274"/>
      <c r="C42" s="156"/>
      <c r="D42" s="156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277" t="s">
        <v>243</v>
      </c>
      <c r="B43" s="278">
        <v>38.54</v>
      </c>
      <c r="C43" s="156"/>
      <c r="D43" s="156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279" t="s">
        <v>244</v>
      </c>
      <c r="B45" s="280"/>
      <c r="C45" s="281" t="s">
        <v>245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247" t="s">
        <v>210</v>
      </c>
      <c r="B46" s="282">
        <f t="shared" ref="B46:B50" si="10">((B37-$B$43)/B37)</f>
        <v>-1.306284021</v>
      </c>
      <c r="C46" s="283">
        <v>1.0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247" t="s">
        <v>211</v>
      </c>
      <c r="B47" s="284">
        <f t="shared" si="10"/>
        <v>0.08787660334</v>
      </c>
      <c r="C47" s="283">
        <v>2.0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247" t="s">
        <v>212</v>
      </c>
      <c r="B48" s="285">
        <f t="shared" si="10"/>
        <v>0.4978705738</v>
      </c>
      <c r="C48" s="283">
        <v>3.0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247" t="s">
        <v>213</v>
      </c>
      <c r="B49" s="285">
        <f t="shared" si="10"/>
        <v>0.7192577136</v>
      </c>
      <c r="C49" s="283">
        <v>2.0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256" t="s">
        <v>214</v>
      </c>
      <c r="B50" s="286">
        <f t="shared" si="10"/>
        <v>0.8787644562</v>
      </c>
      <c r="C50" s="283">
        <v>1.0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1"/>
      <c r="B51" s="1"/>
      <c r="C51" s="287">
        <f>SUM(C46:C50)</f>
        <v>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drawing r:id="rId1"/>
</worksheet>
</file>