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Model" sheetId="2" r:id="rId5"/>
    <sheet state="visible" name="Graphs" sheetId="3" r:id="rId6"/>
    <sheet state="visible" name="News" sheetId="4" r:id="rId7"/>
    <sheet state="visible" name="Eggs" sheetId="5" r:id="rId8"/>
    <sheet state="visible" name="Predictions" sheetId="6" r:id="rId9"/>
  </sheets>
  <definedNames/>
  <calcPr/>
</workbook>
</file>

<file path=xl/sharedStrings.xml><?xml version="1.0" encoding="utf-8"?>
<sst xmlns="http://schemas.openxmlformats.org/spreadsheetml/2006/main" count="251" uniqueCount="192">
  <si>
    <t>June 3, 2023</t>
  </si>
  <si>
    <t>September 2, 2023</t>
  </si>
  <si>
    <t>December 2, 2023</t>
  </si>
  <si>
    <t>March 2, 2024</t>
  </si>
  <si>
    <t>June 1, 2024</t>
  </si>
  <si>
    <t>August 31, 2024</t>
  </si>
  <si>
    <t>November 30, 2024</t>
  </si>
  <si>
    <t>March 1. 2025</t>
  </si>
  <si>
    <t>October 1, 2025</t>
  </si>
  <si>
    <t>June 2, 2018</t>
  </si>
  <si>
    <t>June 1, 2019</t>
  </si>
  <si>
    <t>Variables</t>
  </si>
  <si>
    <t>4Q 2023</t>
  </si>
  <si>
    <t>1Q 2024</t>
  </si>
  <si>
    <t>2Q 2024</t>
  </si>
  <si>
    <t>3Q 2024</t>
  </si>
  <si>
    <t>4Q 2024</t>
  </si>
  <si>
    <t>1Q 2025</t>
  </si>
  <si>
    <t>2Q 2025</t>
  </si>
  <si>
    <t>3Q 2025</t>
  </si>
  <si>
    <t>4Q 2025</t>
  </si>
  <si>
    <t>1Q 2026</t>
  </si>
  <si>
    <t>2014</t>
  </si>
  <si>
    <t>2015</t>
  </si>
  <si>
    <t>2016</t>
  </si>
  <si>
    <t>2017</t>
  </si>
  <si>
    <t>2018</t>
  </si>
  <si>
    <t>2019</t>
  </si>
  <si>
    <t>2020</t>
  </si>
  <si>
    <t>2021</t>
  </si>
  <si>
    <t>2022</t>
  </si>
  <si>
    <t>2023</t>
  </si>
  <si>
    <t>2024</t>
  </si>
  <si>
    <t>2025</t>
  </si>
  <si>
    <t>Market Cap</t>
  </si>
  <si>
    <t>Nº Shares</t>
  </si>
  <si>
    <t>Debt</t>
  </si>
  <si>
    <t>Cash</t>
  </si>
  <si>
    <t>Receivables</t>
  </si>
  <si>
    <t>Current Assets</t>
  </si>
  <si>
    <t>Total Assets</t>
  </si>
  <si>
    <t>Current Liabilities</t>
  </si>
  <si>
    <t>Total Liabilities</t>
  </si>
  <si>
    <t>Equities</t>
  </si>
  <si>
    <t>EV</t>
  </si>
  <si>
    <t>NCAV</t>
  </si>
  <si>
    <t>Market Price</t>
  </si>
  <si>
    <t>NCAV Price</t>
  </si>
  <si>
    <t>NCAV ratio</t>
  </si>
  <si>
    <t>Burn Out (QoQ)</t>
  </si>
  <si>
    <t>(simple anualization)</t>
  </si>
  <si>
    <t xml:space="preserve">ROA </t>
  </si>
  <si>
    <t>ROE</t>
  </si>
  <si>
    <t>ROIC</t>
  </si>
  <si>
    <t>Current Ratio</t>
  </si>
  <si>
    <t>Quick Ratio</t>
  </si>
  <si>
    <t>Debt / Equity</t>
  </si>
  <si>
    <t>NOTES</t>
  </si>
  <si>
    <t>Cal-Maine Foods</t>
  </si>
  <si>
    <t>https://en.wikipedia.org/wiki/Cal-Maine</t>
  </si>
  <si>
    <t>Cal-Maine Foods, Inc. is an American fresh egg producer based in Ridgeland, Mississippi. As of 2024, it was the largest egg producer in the United States.[1][2] Its eggs are sold under several different brand names, including Egg-Land's Best, Land O'Lakes, Farmhouse Eggs, Sunups, Sunny Meadow, and 4-Grain.[3] The company was founded in 1957 by Fred R. Adams, Jr., whose family owns a controlling interest in the company, which is publicly traded on the NASDAQ stock exchange.</t>
  </si>
  <si>
    <t>Conventional shell egg production (dozens)</t>
  </si>
  <si>
    <t>Specialty shell egg production (dozens)</t>
  </si>
  <si>
    <t>Conventional shell egg price (dozen)</t>
  </si>
  <si>
    <t>Specialty shell egg price (dozen)</t>
  </si>
  <si>
    <t>Conventional shell egg sales</t>
  </si>
  <si>
    <t>Specialty shell egg sales</t>
  </si>
  <si>
    <t>Prepared Foods sales</t>
  </si>
  <si>
    <t>Egg products sales</t>
  </si>
  <si>
    <t>Other sales</t>
  </si>
  <si>
    <t>Revenue</t>
  </si>
  <si>
    <t>COGS</t>
  </si>
  <si>
    <t>Gross Profit</t>
  </si>
  <si>
    <t>S&amp;G&amp;A</t>
  </si>
  <si>
    <t>(Gain) loss on involuntary conversions</t>
  </si>
  <si>
    <t>(Gain) loss on disposal of fixed assets</t>
  </si>
  <si>
    <t>Other</t>
  </si>
  <si>
    <t>Operating Expenses</t>
  </si>
  <si>
    <t>Operating Income</t>
  </si>
  <si>
    <t>Interest Expense</t>
  </si>
  <si>
    <t>Interest Income</t>
  </si>
  <si>
    <t>Equity in income of unconsolidated entities</t>
  </si>
  <si>
    <t>Patronage dividend</t>
  </si>
  <si>
    <t>Pretax Expenses</t>
  </si>
  <si>
    <t>Pretax Income</t>
  </si>
  <si>
    <t>Taxes</t>
  </si>
  <si>
    <t>Net Income</t>
  </si>
  <si>
    <t>EPS</t>
  </si>
  <si>
    <t>Shares</t>
  </si>
  <si>
    <t>Revenue q/q Y/Y</t>
  </si>
  <si>
    <t>Gross Margin</t>
  </si>
  <si>
    <t>Operating Margin</t>
  </si>
  <si>
    <t>Profit Margin</t>
  </si>
  <si>
    <t>Earinings q/q Y/Y</t>
  </si>
  <si>
    <t>Net income</t>
  </si>
  <si>
    <t>Depreciation and amortization</t>
  </si>
  <si>
    <t>Deferred income taxes</t>
  </si>
  <si>
    <t xml:space="preserve">Equity in income of affiliates	</t>
  </si>
  <si>
    <t xml:space="preserve">Loss on disposal of property, plant and equipment	</t>
  </si>
  <si>
    <t xml:space="preserve">Impairment loss on fixed assets	</t>
  </si>
  <si>
    <t>Stock compensation expense, net of amounts paid</t>
  </si>
  <si>
    <t xml:space="preserve">Unrealized losses on investments	</t>
  </si>
  <si>
    <t xml:space="preserve">Gains on sales of investments	</t>
  </si>
  <si>
    <t>Loss on change in fair value contingent consideration</t>
  </si>
  <si>
    <t xml:space="preserve">Purchases of equity securities	</t>
  </si>
  <si>
    <t xml:space="preserve">Sales of equity securities	</t>
  </si>
  <si>
    <t xml:space="preserve">Amortization of investments	</t>
  </si>
  <si>
    <t>Gain on change in fair value of investment in affiliates</t>
  </si>
  <si>
    <t>Other adjustments, net</t>
  </si>
  <si>
    <t>(Increase) decrease in trade receivables</t>
  </si>
  <si>
    <t>(Increase) decrease in inventories</t>
  </si>
  <si>
    <t>Increase (decrease) in income taxes payable/receivable</t>
  </si>
  <si>
    <t>Increase in accounts payable and current accrued expenses</t>
  </si>
  <si>
    <t>Decrease in other operating assets and liabilities</t>
  </si>
  <si>
    <t>Decrease in accrued expenses for payment of legal settlement expense</t>
  </si>
  <si>
    <t>CFO</t>
  </si>
  <si>
    <t>Purchases of investment securities</t>
  </si>
  <si>
    <t>Sales and maturities of investment securities</t>
  </si>
  <si>
    <t>Investment in unconsolidated entities</t>
  </si>
  <si>
    <t>Payments received on notes receivable and from investments in affiliates</t>
  </si>
  <si>
    <t>Distributions from unconsolidated entities</t>
  </si>
  <si>
    <t>Acquisition of businesses</t>
  </si>
  <si>
    <t>Purchases of property, plant and equipment</t>
  </si>
  <si>
    <t>Net proceeds from disposal of property, plant and equipment</t>
  </si>
  <si>
    <t>CFI</t>
  </si>
  <si>
    <t>Payments of dividends</t>
  </si>
  <si>
    <t>Purchase of common stock by treasury</t>
  </si>
  <si>
    <t>Principal payments on long-term debt</t>
  </si>
  <si>
    <t>Principal payments on finance lease</t>
  </si>
  <si>
    <t xml:space="preserve">Contributions from (distributions to) to noncontrolling interest partners        </t>
  </si>
  <si>
    <t xml:space="preserve">Contributions  </t>
  </si>
  <si>
    <t>CFF</t>
  </si>
  <si>
    <t>Net change in cash and cash equivalents</t>
  </si>
  <si>
    <t>Cash and cash equivalents at beginning of period</t>
  </si>
  <si>
    <t>Cash and cash equivalents at end of period</t>
  </si>
  <si>
    <t>CAPEX</t>
  </si>
  <si>
    <t>FCF</t>
  </si>
  <si>
    <t>FCF Growth q/q Y/Y</t>
  </si>
  <si>
    <t>FCF Yield</t>
  </si>
  <si>
    <t>Index</t>
  </si>
  <si>
    <t>Date</t>
  </si>
  <si>
    <t>Headline</t>
  </si>
  <si>
    <t>Link</t>
  </si>
  <si>
    <t>Comentary</t>
  </si>
  <si>
    <t>"Salmonella Outbreak Linked to Eggs"</t>
  </si>
  <si>
    <t>https://www.cdc.gov/salmonella/outbreaks/eggs-08-25/index.html</t>
  </si>
  <si>
    <t>Expected Growth</t>
  </si>
  <si>
    <t>FCF based</t>
  </si>
  <si>
    <t>Year 0</t>
  </si>
  <si>
    <t>Year 1</t>
  </si>
  <si>
    <t>Year 2</t>
  </si>
  <si>
    <t>Year 3</t>
  </si>
  <si>
    <t>Year 4</t>
  </si>
  <si>
    <t>Year 5</t>
  </si>
  <si>
    <t>Year 6</t>
  </si>
  <si>
    <t>Year 7</t>
  </si>
  <si>
    <t>Year 8</t>
  </si>
  <si>
    <t>Year 9</t>
  </si>
  <si>
    <t>Year 10</t>
  </si>
  <si>
    <t>Bearish</t>
  </si>
  <si>
    <t>Mildly Bearish</t>
  </si>
  <si>
    <t>Average</t>
  </si>
  <si>
    <t>Mildly Bullish</t>
  </si>
  <si>
    <t>Bulllish</t>
  </si>
  <si>
    <t>Discount rate</t>
  </si>
  <si>
    <t>Insights:</t>
  </si>
  <si>
    <t>- There is barely no growth on the raw production numbers of eggs.</t>
  </si>
  <si>
    <t>N Shares</t>
  </si>
  <si>
    <t>- The recent upsurge in revenue is due to almost entirely the spike up in the price of eggs due to crisis in 2024.</t>
  </si>
  <si>
    <t>LTGR</t>
  </si>
  <si>
    <t>- The company has specialized into make "egg products" in the meantime and has bought treasury notes with the exceptional profits.</t>
  </si>
  <si>
    <t>N years</t>
  </si>
  <si>
    <t>PV Terminal Value</t>
  </si>
  <si>
    <t>MS &lt; -30%</t>
  </si>
  <si>
    <t xml:space="preserve"> </t>
  </si>
  <si>
    <t>-30% &lt; MS &lt; +30%</t>
  </si>
  <si>
    <t>MS &gt; +30%</t>
  </si>
  <si>
    <t>Strategy:</t>
  </si>
  <si>
    <t>SHORT</t>
  </si>
  <si>
    <t>8 of 9</t>
  </si>
  <si>
    <t>UNDECISIVE</t>
  </si>
  <si>
    <t>1 of 9</t>
  </si>
  <si>
    <t>LONG</t>
  </si>
  <si>
    <t>0 of 9</t>
  </si>
  <si>
    <t>Problems:</t>
  </si>
  <si>
    <t>- The company has stored many of its profits in the form of treasury notes and other securities, which can be sold and buyback shares or give up dividends in order to keep the stock price high.</t>
  </si>
  <si>
    <t>NPV</t>
  </si>
  <si>
    <t>NET DEBT</t>
  </si>
  <si>
    <t>IV</t>
  </si>
  <si>
    <t>Current Stock price</t>
  </si>
  <si>
    <t>Margin of Safety</t>
  </si>
  <si>
    <t>Points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</si>
</sst>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d, yyyy"/>
    <numFmt numFmtId="165" formatCode="[$$]#,##0.00"/>
    <numFmt numFmtId="166" formatCode="[$$]#,##0.000"/>
    <numFmt numFmtId="167" formatCode="dd/mm/yyyy"/>
    <numFmt numFmtId="168" formatCode="[$$]#,##0"/>
    <numFmt numFmtId="169" formatCode="#,##0.000"/>
    <numFmt numFmtId="170" formatCode="#,##0.00\ [$€-1]"/>
    <numFmt numFmtId="171" formatCode="0.000"/>
  </numFmts>
  <fonts count="11">
    <font>
      <sz val="10.0"/>
      <color rgb="FF000000"/>
      <name val="Arial"/>
      <scheme val="minor"/>
    </font>
    <font>
      <color theme="1"/>
      <name val="Arial"/>
      <scheme val="minor"/>
    </font>
    <font>
      <b/>
      <color theme="1"/>
      <name val="Arial"/>
      <scheme val="minor"/>
    </font>
    <font>
      <color rgb="FF434343"/>
      <name val="Roboto"/>
    </font>
    <font>
      <i/>
      <color theme="1"/>
      <name val="Arial"/>
    </font>
    <font>
      <color theme="1"/>
      <name val="Arial"/>
    </font>
    <font>
      <u/>
      <color rgb="FF0000FF"/>
    </font>
    <font>
      <i/>
      <color rgb="FFB45F06"/>
      <name val="Arial"/>
      <scheme val="minor"/>
    </font>
    <font>
      <color rgb="FF38761D"/>
      <name val="Arial"/>
      <scheme val="minor"/>
    </font>
    <font>
      <b/>
      <color theme="1"/>
      <name val="Arial"/>
    </font>
    <font>
      <u/>
      <color rgb="FF0000FF"/>
      <name val="Roboto"/>
    </font>
  </fonts>
  <fills count="9">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EFEFEF"/>
        <bgColor rgb="FFEFEFEF"/>
      </patternFill>
    </fill>
    <fill>
      <patternFill patternType="solid">
        <fgColor rgb="FFFF0000"/>
        <bgColor rgb="FFFF0000"/>
      </patternFill>
    </fill>
    <fill>
      <patternFill patternType="solid">
        <fgColor rgb="FFFF9900"/>
        <bgColor rgb="FFFF9900"/>
      </patternFill>
    </fill>
    <fill>
      <patternFill patternType="solid">
        <fgColor rgb="FF34A853"/>
        <bgColor rgb="FF34A853"/>
      </patternFill>
    </fill>
    <fill>
      <patternFill patternType="solid">
        <fgColor rgb="FFEA9999"/>
        <bgColor rgb="FFEA9999"/>
      </patternFill>
    </fill>
  </fills>
  <borders count="4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000000"/>
      </left>
      <right style="thin">
        <color rgb="FFF6F8F9"/>
      </right>
      <top style="thin">
        <color rgb="FFF6F8F9"/>
      </top>
      <bottom style="thin">
        <color rgb="FFF6F8F9"/>
      </bottom>
    </border>
    <border>
      <left style="thin">
        <color rgb="FFF6F8F9"/>
      </left>
      <right style="thin">
        <color rgb="FF000000"/>
      </right>
      <top style="thin">
        <color rgb="FFF6F8F9"/>
      </top>
      <bottom style="thin">
        <color rgb="FFF6F8F9"/>
      </bottom>
    </border>
    <border>
      <left style="thin">
        <color rgb="FFFFFFFF"/>
      </left>
      <right style="thin">
        <color rgb="FFFFFFFF"/>
      </right>
      <top style="thin">
        <color rgb="FFFFFFFF"/>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F6F8F9"/>
      </right>
      <top style="thin">
        <color rgb="FFF6F8F9"/>
      </top>
      <bottom style="thin">
        <color rgb="FF000000"/>
      </bottom>
    </border>
    <border>
      <left style="thin">
        <color rgb="FFF6F8F9"/>
      </left>
      <right style="thin">
        <color rgb="FFF6F8F9"/>
      </right>
      <top style="thin">
        <color rgb="FFF6F8F9"/>
      </top>
      <bottom style="thin">
        <color rgb="FF000000"/>
      </bottom>
    </border>
    <border>
      <left style="thin">
        <color rgb="FFF6F8F9"/>
      </left>
      <right style="thin">
        <color rgb="FF000000"/>
      </right>
      <top style="thin">
        <color rgb="FFF6F8F9"/>
      </top>
      <bottom style="thin">
        <color rgb="FF000000"/>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border>
    <border>
      <right style="thin">
        <color rgb="FF000000"/>
      </right>
    </border>
    <border>
      <left style="thin">
        <color rgb="FF000000"/>
      </lef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bottom style="dotted">
        <color rgb="FF000000"/>
      </bottom>
    </border>
    <border>
      <top style="dotted">
        <color rgb="FF000000"/>
      </top>
    </border>
    <border>
      <left style="thin">
        <color rgb="FF000000"/>
      </left>
      <right style="thin">
        <color rgb="FF000000"/>
      </right>
      <top style="dotted">
        <color rgb="FF000000"/>
      </top>
    </border>
    <border>
      <left style="thin">
        <color rgb="FF000000"/>
      </left>
      <top style="thin">
        <color rgb="FF000000"/>
      </top>
      <bottom style="thin">
        <color rgb="FF000000"/>
      </bottom>
    </border>
    <border>
      <top style="double">
        <color rgb="FF000000"/>
      </top>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right style="thin">
        <color rgb="FF000000"/>
      </right>
      <bottom style="dotted">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1"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2" fontId="3" numFmtId="3" xfId="0" applyAlignment="1" applyBorder="1" applyFill="1" applyFont="1" applyNumberFormat="1">
      <alignment horizontal="right" readingOrder="0" shrinkToFit="0" vertical="center" wrapText="0"/>
    </xf>
    <xf borderId="5" fillId="0" fontId="1" numFmtId="3" xfId="0" applyAlignment="1" applyBorder="1" applyFont="1" applyNumberFormat="1">
      <alignment readingOrder="0" shrinkToFit="0" vertical="center" wrapText="0"/>
    </xf>
    <xf borderId="5" fillId="0" fontId="1" numFmtId="3" xfId="0" applyAlignment="1" applyBorder="1" applyFont="1" applyNumberFormat="1">
      <alignment readingOrder="0" shrinkToFit="0" vertical="center" wrapText="0"/>
    </xf>
    <xf borderId="6" fillId="0" fontId="1" numFmtId="3" xfId="0" applyAlignment="1" applyBorder="1" applyFont="1" applyNumberFormat="1">
      <alignment readingOrder="0" shrinkToFit="0" vertical="center" wrapText="0"/>
    </xf>
    <xf borderId="7" fillId="0" fontId="1" numFmtId="3" xfId="0" applyAlignment="1" applyBorder="1" applyFont="1" applyNumberFormat="1">
      <alignment readingOrder="0" shrinkToFit="0" vertical="center" wrapText="0"/>
    </xf>
    <xf borderId="8" fillId="0" fontId="1" numFmtId="3"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10" fillId="3" fontId="3" numFmtId="3" xfId="0" applyAlignment="1" applyBorder="1" applyFill="1" applyFont="1" applyNumberFormat="1">
      <alignment horizontal="right" readingOrder="0" shrinkToFit="0" vertical="center" wrapText="0"/>
    </xf>
    <xf borderId="10" fillId="3" fontId="3" numFmtId="3" xfId="0" applyAlignment="1" applyBorder="1" applyFont="1" applyNumberFormat="1">
      <alignment horizontal="right" shrinkToFit="0" vertical="center" wrapText="0"/>
    </xf>
    <xf borderId="10" fillId="0" fontId="1" numFmtId="3" xfId="0" applyAlignment="1" applyBorder="1" applyFont="1" applyNumberFormat="1">
      <alignment readingOrder="0" shrinkToFit="0" vertical="center" wrapText="0"/>
    </xf>
    <xf borderId="10" fillId="0" fontId="1" numFmtId="3" xfId="0" applyAlignment="1" applyBorder="1" applyFont="1" applyNumberFormat="1">
      <alignment readingOrder="0" shrinkToFit="0" vertical="center" wrapText="0"/>
    </xf>
    <xf borderId="11" fillId="0" fontId="1" numFmtId="3" xfId="0" applyAlignment="1" applyBorder="1" applyFont="1" applyNumberFormat="1">
      <alignment readingOrder="0" shrinkToFit="0" vertical="center" wrapText="0"/>
    </xf>
    <xf borderId="12" fillId="0" fontId="1" numFmtId="3" xfId="0" applyAlignment="1" applyBorder="1" applyFont="1" applyNumberFormat="1">
      <alignment readingOrder="0" shrinkToFit="0" vertical="center" wrapText="0"/>
    </xf>
    <xf borderId="13" fillId="0" fontId="1" numFmtId="3" xfId="0" applyAlignment="1" applyBorder="1" applyFont="1" applyNumberFormat="1">
      <alignment readingOrder="0" shrinkToFit="0" vertical="center" wrapText="0"/>
    </xf>
    <xf borderId="4" fillId="0" fontId="1" numFmtId="0" xfId="0" applyAlignment="1" applyBorder="1" applyFont="1">
      <alignment readingOrder="0" shrinkToFit="0" vertical="center" wrapText="0"/>
    </xf>
    <xf borderId="6" fillId="0" fontId="1" numFmtId="3"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10" fillId="2" fontId="3" numFmtId="3" xfId="0" applyAlignment="1" applyBorder="1" applyFont="1" applyNumberFormat="1">
      <alignment horizontal="right" readingOrder="0" shrinkToFit="0" vertical="center" wrapText="0"/>
    </xf>
    <xf borderId="11" fillId="0" fontId="1" numFmtId="3" xfId="0" applyAlignment="1" applyBorder="1" applyFont="1" applyNumberFormat="1">
      <alignment readingOrder="0" shrinkToFit="0" vertical="center" wrapText="0"/>
    </xf>
    <xf borderId="5" fillId="3" fontId="3" numFmtId="3" xfId="0" applyAlignment="1" applyBorder="1" applyFont="1" applyNumberFormat="1">
      <alignment horizontal="right" readingOrder="0" shrinkToFit="0" vertical="center" wrapText="0"/>
    </xf>
    <xf borderId="14" fillId="2" fontId="3" numFmtId="3" xfId="0" applyAlignment="1" applyBorder="1" applyFont="1" applyNumberFormat="1">
      <alignment horizontal="right" readingOrder="0" shrinkToFit="0" vertical="center" wrapText="0"/>
    </xf>
    <xf borderId="15" fillId="0" fontId="1" numFmtId="0" xfId="0" applyAlignment="1" applyBorder="1" applyFont="1">
      <alignment readingOrder="0" shrinkToFit="0" vertical="center" wrapText="0"/>
    </xf>
    <xf borderId="16" fillId="3" fontId="3" numFmtId="3" xfId="0" applyAlignment="1" applyBorder="1" applyFont="1" applyNumberFormat="1">
      <alignment horizontal="right" readingOrder="0" shrinkToFit="0" vertical="center" wrapText="0"/>
    </xf>
    <xf borderId="16" fillId="2" fontId="3" numFmtId="3" xfId="0" applyAlignment="1" applyBorder="1" applyFont="1" applyNumberFormat="1">
      <alignment horizontal="right" readingOrder="0" shrinkToFit="0" vertical="center" wrapText="0"/>
    </xf>
    <xf borderId="16" fillId="0" fontId="1" numFmtId="3" xfId="0" applyAlignment="1" applyBorder="1" applyFont="1" applyNumberFormat="1">
      <alignment readingOrder="0" shrinkToFit="0" vertical="center" wrapText="0"/>
    </xf>
    <xf borderId="16" fillId="0" fontId="1" numFmtId="3" xfId="0" applyAlignment="1" applyBorder="1" applyFont="1" applyNumberFormat="1">
      <alignment readingOrder="0" shrinkToFit="0" vertical="center" wrapText="0"/>
    </xf>
    <xf borderId="17" fillId="0" fontId="1" numFmtId="3" xfId="0" applyAlignment="1" applyBorder="1" applyFont="1" applyNumberFormat="1">
      <alignment readingOrder="0" shrinkToFit="0" vertical="center" wrapText="0"/>
    </xf>
    <xf borderId="18" fillId="0" fontId="1" numFmtId="3" xfId="0" applyAlignment="1" applyBorder="1" applyFont="1" applyNumberFormat="1">
      <alignment readingOrder="0" shrinkToFit="0" vertical="center" wrapText="0"/>
    </xf>
    <xf borderId="19" fillId="0" fontId="1" numFmtId="3" xfId="0" applyAlignment="1" applyBorder="1" applyFont="1" applyNumberFormat="1">
      <alignment readingOrder="0" shrinkToFit="0" vertical="center" wrapText="0"/>
    </xf>
    <xf borderId="20" fillId="0" fontId="1" numFmtId="3" xfId="0" applyAlignment="1" applyBorder="1" applyFont="1" applyNumberFormat="1">
      <alignment readingOrder="0" shrinkToFit="0" vertical="center" wrapText="0"/>
    </xf>
    <xf borderId="0" fillId="0" fontId="1" numFmtId="3" xfId="0" applyAlignment="1" applyFont="1" applyNumberFormat="1">
      <alignment readingOrder="0"/>
    </xf>
    <xf borderId="21" fillId="0" fontId="1" numFmtId="0" xfId="0" applyAlignment="1" applyBorder="1" applyFont="1">
      <alignment readingOrder="0"/>
    </xf>
    <xf borderId="22" fillId="0" fontId="1" numFmtId="3" xfId="0" applyAlignment="1" applyBorder="1" applyFont="1" applyNumberFormat="1">
      <alignment readingOrder="0"/>
    </xf>
    <xf borderId="22" fillId="0" fontId="1" numFmtId="3" xfId="0" applyBorder="1" applyFont="1" applyNumberFormat="1"/>
    <xf borderId="23" fillId="0" fontId="1" numFmtId="3" xfId="0" applyBorder="1" applyFont="1" applyNumberFormat="1"/>
    <xf borderId="24" fillId="0" fontId="1" numFmtId="3" xfId="0" applyBorder="1" applyFont="1" applyNumberFormat="1"/>
    <xf borderId="25" fillId="0" fontId="1" numFmtId="0" xfId="0" applyAlignment="1" applyBorder="1" applyFont="1">
      <alignment readingOrder="0"/>
    </xf>
    <xf borderId="0" fillId="0" fontId="1" numFmtId="3" xfId="0" applyFont="1" applyNumberFormat="1"/>
    <xf borderId="26" fillId="0" fontId="1" numFmtId="3" xfId="0" applyBorder="1" applyFont="1" applyNumberFormat="1"/>
    <xf borderId="27" fillId="0" fontId="1" numFmtId="3" xfId="0" applyBorder="1" applyFont="1" applyNumberFormat="1"/>
    <xf borderId="0" fillId="0" fontId="1" numFmtId="3" xfId="0" applyFont="1" applyNumberFormat="1"/>
    <xf borderId="26" fillId="0" fontId="1" numFmtId="3" xfId="0" applyBorder="1" applyFont="1" applyNumberFormat="1"/>
    <xf borderId="25" fillId="0" fontId="1" numFmtId="0" xfId="0" applyAlignment="1" applyBorder="1" applyFont="1">
      <alignment readingOrder="0"/>
    </xf>
    <xf borderId="0" fillId="0" fontId="1" numFmtId="165" xfId="0" applyFont="1" applyNumberFormat="1"/>
    <xf borderId="26" fillId="0" fontId="1" numFmtId="165" xfId="0" applyBorder="1" applyFont="1" applyNumberFormat="1"/>
    <xf borderId="27" fillId="0" fontId="1" numFmtId="165" xfId="0" applyBorder="1" applyFont="1" applyNumberFormat="1"/>
    <xf borderId="0" fillId="0" fontId="1" numFmtId="165" xfId="0" applyFont="1" applyNumberFormat="1"/>
    <xf borderId="26" fillId="0" fontId="1" numFmtId="165" xfId="0" applyBorder="1" applyFont="1" applyNumberFormat="1"/>
    <xf borderId="0" fillId="0" fontId="1" numFmtId="10" xfId="0" applyFont="1" applyNumberFormat="1"/>
    <xf borderId="26" fillId="0" fontId="1" numFmtId="10" xfId="0" applyBorder="1" applyFont="1" applyNumberFormat="1"/>
    <xf borderId="27" fillId="0" fontId="1" numFmtId="10" xfId="0" applyBorder="1" applyFont="1" applyNumberFormat="1"/>
    <xf borderId="28" fillId="0" fontId="1" numFmtId="0" xfId="0" applyAlignment="1" applyBorder="1" applyFont="1">
      <alignment readingOrder="0"/>
    </xf>
    <xf borderId="29" fillId="0" fontId="1" numFmtId="10" xfId="0" applyBorder="1" applyFont="1" applyNumberFormat="1"/>
    <xf borderId="30" fillId="0" fontId="1" numFmtId="10" xfId="0" applyBorder="1" applyFont="1" applyNumberFormat="1"/>
    <xf borderId="31" fillId="0" fontId="1" numFmtId="10" xfId="0" applyBorder="1" applyFont="1" applyNumberFormat="1"/>
    <xf borderId="0" fillId="0" fontId="4" numFmtId="0" xfId="0" applyAlignment="1" applyFont="1">
      <alignment vertical="bottom"/>
    </xf>
    <xf borderId="0" fillId="0" fontId="5" numFmtId="2" xfId="0" applyAlignment="1" applyFont="1" applyNumberFormat="1">
      <alignment vertical="bottom"/>
    </xf>
    <xf borderId="24" fillId="0" fontId="5" numFmtId="0" xfId="0" applyAlignment="1" applyBorder="1" applyFont="1">
      <alignment vertical="bottom"/>
    </xf>
    <xf borderId="24" fillId="0" fontId="5" numFmtId="10" xfId="0" applyAlignment="1" applyBorder="1" applyFont="1" applyNumberFormat="1">
      <alignment horizontal="right" vertical="bottom"/>
    </xf>
    <xf borderId="22" fillId="0" fontId="5" numFmtId="10" xfId="0" applyAlignment="1" applyBorder="1" applyFont="1" applyNumberFormat="1">
      <alignment horizontal="right" vertical="bottom"/>
    </xf>
    <xf borderId="23" fillId="0" fontId="5" numFmtId="10" xfId="0" applyAlignment="1" applyBorder="1" applyFont="1" applyNumberFormat="1">
      <alignment horizontal="right" vertical="bottom"/>
    </xf>
    <xf borderId="24" fillId="0" fontId="1" numFmtId="10" xfId="0" applyBorder="1" applyFont="1" applyNumberFormat="1"/>
    <xf borderId="22" fillId="0" fontId="1" numFmtId="10" xfId="0" applyBorder="1" applyFont="1" applyNumberFormat="1"/>
    <xf borderId="23" fillId="0" fontId="1" numFmtId="10" xfId="0" applyBorder="1" applyFont="1" applyNumberFormat="1"/>
    <xf borderId="27" fillId="0" fontId="5" numFmtId="0" xfId="0" applyAlignment="1" applyBorder="1" applyFont="1">
      <alignment vertical="bottom"/>
    </xf>
    <xf borderId="27" fillId="0" fontId="5" numFmtId="10" xfId="0" applyAlignment="1" applyBorder="1" applyFont="1" applyNumberFormat="1">
      <alignment horizontal="right" vertical="bottom"/>
    </xf>
    <xf borderId="0" fillId="0" fontId="5" numFmtId="10" xfId="0" applyAlignment="1" applyFont="1" applyNumberFormat="1">
      <alignment horizontal="right" vertical="bottom"/>
    </xf>
    <xf borderId="26" fillId="0" fontId="5" numFmtId="10" xfId="0" applyAlignment="1" applyBorder="1" applyFont="1" applyNumberFormat="1">
      <alignment horizontal="right" vertical="bottom"/>
    </xf>
    <xf borderId="31" fillId="0" fontId="5" numFmtId="0" xfId="0" applyAlignment="1" applyBorder="1" applyFont="1">
      <alignment vertical="bottom"/>
    </xf>
    <xf borderId="31" fillId="0" fontId="5" numFmtId="10" xfId="0" applyAlignment="1" applyBorder="1" applyFont="1" applyNumberFormat="1">
      <alignment horizontal="right" vertical="bottom"/>
    </xf>
    <xf borderId="29" fillId="0" fontId="5" numFmtId="10" xfId="0" applyAlignment="1" applyBorder="1" applyFont="1" applyNumberFormat="1">
      <alignment horizontal="right" vertical="bottom"/>
    </xf>
    <xf borderId="30" fillId="0" fontId="5" numFmtId="10" xfId="0" applyAlignment="1" applyBorder="1" applyFont="1" applyNumberFormat="1">
      <alignment horizontal="right" vertical="bottom"/>
    </xf>
    <xf borderId="0" fillId="0" fontId="1" numFmtId="2" xfId="0" applyFont="1" applyNumberFormat="1"/>
    <xf borderId="24" fillId="0" fontId="1" numFmtId="0" xfId="0" applyAlignment="1" applyBorder="1" applyFont="1">
      <alignment readingOrder="0"/>
    </xf>
    <xf borderId="24" fillId="0" fontId="1" numFmtId="2" xfId="0" applyBorder="1" applyFont="1" applyNumberFormat="1"/>
    <xf borderId="22" fillId="0" fontId="1" numFmtId="2" xfId="0" applyBorder="1" applyFont="1" applyNumberFormat="1"/>
    <xf borderId="23" fillId="0" fontId="1" numFmtId="2" xfId="0" applyBorder="1" applyFont="1" applyNumberFormat="1"/>
    <xf borderId="27" fillId="0" fontId="1" numFmtId="0" xfId="0" applyAlignment="1" applyBorder="1" applyFont="1">
      <alignment readingOrder="0"/>
    </xf>
    <xf borderId="27" fillId="0" fontId="1" numFmtId="2" xfId="0" applyBorder="1" applyFont="1" applyNumberFormat="1"/>
    <xf borderId="26" fillId="0" fontId="1" numFmtId="2" xfId="0" applyBorder="1" applyFont="1" applyNumberFormat="1"/>
    <xf borderId="31" fillId="0" fontId="1" numFmtId="0" xfId="0" applyAlignment="1" applyBorder="1" applyFont="1">
      <alignment readingOrder="0"/>
    </xf>
    <xf borderId="31" fillId="0" fontId="1" numFmtId="2" xfId="0" applyBorder="1" applyFont="1" applyNumberFormat="1"/>
    <xf borderId="29" fillId="0" fontId="1" numFmtId="2" xfId="0" applyBorder="1" applyFont="1" applyNumberFormat="1"/>
    <xf borderId="30" fillId="0" fontId="1" numFmtId="2" xfId="0" applyBorder="1" applyFont="1" applyNumberFormat="1"/>
    <xf borderId="0" fillId="0" fontId="2" numFmtId="0" xfId="0" applyAlignment="1" applyFont="1">
      <alignment readingOrder="0"/>
    </xf>
    <xf borderId="0" fillId="0" fontId="6" numFmtId="0" xfId="0" applyAlignment="1" applyFont="1">
      <alignment readingOrder="0"/>
    </xf>
    <xf borderId="0" fillId="0" fontId="1" numFmtId="0" xfId="0" applyAlignment="1" applyFont="1">
      <alignment readingOrder="0" shrinkToFit="0" vertical="top" wrapText="1"/>
    </xf>
    <xf borderId="29" fillId="0" fontId="2" numFmtId="0" xfId="0" applyBorder="1" applyFont="1"/>
    <xf borderId="29" fillId="4" fontId="2" numFmtId="0" xfId="0" applyAlignment="1" applyBorder="1" applyFill="1" applyFont="1">
      <alignment readingOrder="0"/>
    </xf>
    <xf borderId="29" fillId="4" fontId="2" numFmtId="0" xfId="0" applyAlignment="1" applyBorder="1" applyFont="1">
      <alignment readingOrder="0"/>
    </xf>
    <xf borderId="28" fillId="4" fontId="2" numFmtId="0" xfId="0" applyAlignment="1" applyBorder="1" applyFont="1">
      <alignment readingOrder="0"/>
    </xf>
    <xf borderId="32" fillId="4" fontId="2" numFmtId="0" xfId="0" applyAlignment="1" applyBorder="1" applyFont="1">
      <alignment readingOrder="0"/>
    </xf>
    <xf borderId="27" fillId="0" fontId="2" numFmtId="0" xfId="0" applyAlignment="1" applyBorder="1" applyFont="1">
      <alignment readingOrder="0"/>
    </xf>
    <xf borderId="27" fillId="0" fontId="7" numFmtId="0" xfId="0" applyAlignment="1" applyBorder="1" applyFont="1">
      <alignment readingOrder="0"/>
    </xf>
    <xf borderId="0" fillId="0" fontId="7" numFmtId="3" xfId="0" applyAlignment="1" applyFont="1" applyNumberFormat="1">
      <alignment readingOrder="0"/>
    </xf>
    <xf borderId="25" fillId="0" fontId="7" numFmtId="3" xfId="0" applyAlignment="1" applyBorder="1" applyFont="1" applyNumberFormat="1">
      <alignment readingOrder="0"/>
    </xf>
    <xf borderId="24" fillId="0" fontId="8" numFmtId="166" xfId="0" applyAlignment="1" applyBorder="1" applyFont="1" applyNumberFormat="1">
      <alignment readingOrder="0"/>
    </xf>
    <xf borderId="22" fillId="0" fontId="8" numFmtId="166" xfId="0" applyAlignment="1" applyBorder="1" applyFont="1" applyNumberFormat="1">
      <alignment readingOrder="0"/>
    </xf>
    <xf borderId="25" fillId="0" fontId="8" numFmtId="166" xfId="0" applyAlignment="1" applyBorder="1" applyFont="1" applyNumberFormat="1">
      <alignment readingOrder="0"/>
    </xf>
    <xf borderId="22" fillId="0" fontId="8" numFmtId="166" xfId="0" applyBorder="1" applyFont="1" applyNumberFormat="1"/>
    <xf borderId="27" fillId="0" fontId="1" numFmtId="166" xfId="0" applyAlignment="1" applyBorder="1" applyFont="1" applyNumberFormat="1">
      <alignment readingOrder="0"/>
    </xf>
    <xf borderId="0" fillId="0" fontId="1" numFmtId="166" xfId="0" applyFont="1" applyNumberFormat="1"/>
    <xf borderId="31" fillId="0" fontId="8" numFmtId="166" xfId="0" applyAlignment="1" applyBorder="1" applyFont="1" applyNumberFormat="1">
      <alignment readingOrder="0"/>
    </xf>
    <xf borderId="29" fillId="0" fontId="8" numFmtId="166" xfId="0" applyAlignment="1" applyBorder="1" applyFont="1" applyNumberFormat="1">
      <alignment readingOrder="0"/>
    </xf>
    <xf borderId="29" fillId="0" fontId="8" numFmtId="166" xfId="0" applyBorder="1" applyFont="1" applyNumberFormat="1"/>
    <xf borderId="25" fillId="0" fontId="1" numFmtId="3" xfId="0" applyAlignment="1" applyBorder="1" applyFont="1" applyNumberFormat="1">
      <alignment readingOrder="0"/>
    </xf>
    <xf borderId="33" fillId="0" fontId="1" numFmtId="3" xfId="0" applyAlignment="1" applyBorder="1" applyFont="1" applyNumberFormat="1">
      <alignment readingOrder="0"/>
    </xf>
    <xf borderId="33" fillId="0" fontId="1" numFmtId="3" xfId="0" applyBorder="1" applyFont="1" applyNumberFormat="1"/>
    <xf borderId="34" fillId="0" fontId="1" numFmtId="0" xfId="0" applyAlignment="1" applyBorder="1" applyFont="1">
      <alignment readingOrder="0"/>
    </xf>
    <xf borderId="34" fillId="0" fontId="1" numFmtId="3" xfId="0" applyAlignment="1" applyBorder="1" applyFont="1" applyNumberFormat="1">
      <alignment readingOrder="0"/>
    </xf>
    <xf borderId="35" fillId="0" fontId="1" numFmtId="3" xfId="0" applyAlignment="1" applyBorder="1" applyFont="1" applyNumberFormat="1">
      <alignment readingOrder="0"/>
    </xf>
    <xf borderId="34" fillId="0" fontId="1" numFmtId="3" xfId="0" applyBorder="1" applyFont="1" applyNumberFormat="1"/>
    <xf borderId="27" fillId="0" fontId="1" numFmtId="3" xfId="0" applyAlignment="1" applyBorder="1" applyFont="1" applyNumberFormat="1">
      <alignment readingOrder="0"/>
    </xf>
    <xf borderId="34" fillId="0" fontId="1" numFmtId="0" xfId="0" applyBorder="1" applyFont="1"/>
    <xf borderId="36" fillId="0" fontId="2" numFmtId="0" xfId="0" applyAlignment="1" applyBorder="1" applyFont="1">
      <alignment readingOrder="0"/>
    </xf>
    <xf borderId="32" fillId="0" fontId="2" numFmtId="3" xfId="0" applyAlignment="1" applyBorder="1" applyFont="1" applyNumberFormat="1">
      <alignment readingOrder="0"/>
    </xf>
    <xf borderId="32" fillId="0" fontId="2" numFmtId="3" xfId="0" applyBorder="1" applyFont="1" applyNumberFormat="1"/>
    <xf borderId="25" fillId="0" fontId="2" numFmtId="3" xfId="0" applyAlignment="1" applyBorder="1" applyFont="1" applyNumberFormat="1">
      <alignment readingOrder="0"/>
    </xf>
    <xf borderId="27" fillId="0" fontId="2" numFmtId="3" xfId="0" applyBorder="1" applyFont="1" applyNumberFormat="1"/>
    <xf borderId="0" fillId="0" fontId="2" numFmtId="0" xfId="0" applyFont="1"/>
    <xf borderId="0" fillId="0" fontId="1" numFmtId="0" xfId="0" applyAlignment="1" applyFont="1">
      <alignment horizontal="left" readingOrder="0" shrinkToFit="0" wrapText="0"/>
    </xf>
    <xf borderId="25" fillId="0" fontId="2" numFmtId="3" xfId="0" applyBorder="1" applyFont="1" applyNumberFormat="1"/>
    <xf borderId="22" fillId="0" fontId="1" numFmtId="0" xfId="0" applyAlignment="1" applyBorder="1" applyFont="1">
      <alignment readingOrder="0"/>
    </xf>
    <xf borderId="25" fillId="0" fontId="1" numFmtId="3" xfId="0" applyBorder="1" applyFont="1" applyNumberFormat="1"/>
    <xf borderId="29" fillId="0" fontId="2" numFmtId="0" xfId="0" applyAlignment="1" applyBorder="1" applyFont="1">
      <alignment readingOrder="0"/>
    </xf>
    <xf borderId="29" fillId="0" fontId="2" numFmtId="3" xfId="0" applyAlignment="1" applyBorder="1" applyFont="1" applyNumberFormat="1">
      <alignment readingOrder="0"/>
    </xf>
    <xf borderId="29" fillId="0" fontId="2" numFmtId="3" xfId="0" applyBorder="1" applyFont="1" applyNumberFormat="1"/>
    <xf borderId="31" fillId="0" fontId="2" numFmtId="0" xfId="0" applyAlignment="1" applyBorder="1" applyFont="1">
      <alignment readingOrder="0"/>
    </xf>
    <xf borderId="32" fillId="0" fontId="1" numFmtId="3" xfId="0" applyAlignment="1" applyBorder="1" applyFont="1" applyNumberFormat="1">
      <alignment readingOrder="0"/>
    </xf>
    <xf borderId="25" fillId="0" fontId="2" numFmtId="0" xfId="0" applyBorder="1" applyFont="1"/>
    <xf borderId="0" fillId="0" fontId="1" numFmtId="4" xfId="0" applyAlignment="1" applyFont="1" applyNumberFormat="1">
      <alignment readingOrder="0"/>
    </xf>
    <xf borderId="25" fillId="0" fontId="1" numFmtId="0" xfId="0" applyBorder="1" applyFont="1"/>
    <xf borderId="0" fillId="0" fontId="1" numFmtId="4" xfId="0" applyFont="1" applyNumberFormat="1"/>
    <xf borderId="27" fillId="0" fontId="1" numFmtId="4" xfId="0" applyBorder="1" applyFont="1" applyNumberFormat="1"/>
    <xf borderId="27" fillId="0" fontId="1" numFmtId="0" xfId="0" applyBorder="1" applyFont="1"/>
    <xf borderId="36" fillId="0" fontId="1" numFmtId="0" xfId="0" applyAlignment="1" applyBorder="1" applyFont="1">
      <alignment readingOrder="0"/>
    </xf>
    <xf borderId="32" fillId="0" fontId="1" numFmtId="10" xfId="0" applyBorder="1" applyFont="1" applyNumberFormat="1"/>
    <xf borderId="25" fillId="0" fontId="1" numFmtId="10" xfId="0" applyBorder="1" applyFont="1" applyNumberFormat="1"/>
    <xf borderId="29" fillId="0" fontId="1" numFmtId="0" xfId="0" applyAlignment="1" applyBorder="1" applyFont="1">
      <alignment readingOrder="0"/>
    </xf>
    <xf borderId="29" fillId="0" fontId="1" numFmtId="0" xfId="0" applyBorder="1" applyFont="1"/>
    <xf borderId="37" fillId="0" fontId="1" numFmtId="0" xfId="0" applyBorder="1" applyFont="1"/>
    <xf borderId="37" fillId="0" fontId="1" numFmtId="3" xfId="0" applyBorder="1" applyFont="1" applyNumberFormat="1"/>
    <xf borderId="0" fillId="0" fontId="2" numFmtId="3" xfId="0" applyAlignment="1" applyFont="1" applyNumberFormat="1">
      <alignment readingOrder="0"/>
    </xf>
    <xf borderId="29" fillId="0" fontId="1" numFmtId="3" xfId="0" applyBorder="1" applyFont="1" applyNumberFormat="1"/>
    <xf borderId="22" fillId="2" fontId="5" numFmtId="0" xfId="0" applyAlignment="1" applyBorder="1" applyFont="1">
      <alignment vertical="bottom"/>
    </xf>
    <xf borderId="22" fillId="0" fontId="1" numFmtId="0" xfId="0" applyBorder="1" applyFont="1"/>
    <xf borderId="0" fillId="2" fontId="5" numFmtId="0" xfId="0" applyAlignment="1" applyFont="1">
      <alignment vertical="bottom"/>
    </xf>
    <xf borderId="36" fillId="2" fontId="9" numFmtId="10" xfId="0" applyAlignment="1" applyBorder="1" applyFont="1" applyNumberFormat="1">
      <alignment vertical="bottom"/>
    </xf>
    <xf borderId="31" fillId="2" fontId="9" numFmtId="0" xfId="0" applyAlignment="1" applyBorder="1" applyFont="1">
      <alignment vertical="bottom"/>
    </xf>
    <xf borderId="1" fillId="0" fontId="1" numFmtId="0" xfId="0" applyAlignment="1" applyBorder="1" applyFont="1">
      <alignment horizontal="left" readingOrder="0" shrinkToFit="0" vertical="center" wrapText="0"/>
    </xf>
    <xf borderId="38" fillId="0" fontId="1" numFmtId="0" xfId="0" applyAlignment="1" applyBorder="1" applyFont="1">
      <alignment readingOrder="0" shrinkToFit="0" vertical="center" wrapText="0"/>
    </xf>
    <xf borderId="39" fillId="0" fontId="1" numFmtId="167" xfId="0" applyAlignment="1" applyBorder="1" applyFont="1" applyNumberFormat="1">
      <alignment readingOrder="0" shrinkToFit="0" vertical="center" wrapText="0"/>
    </xf>
    <xf borderId="39" fillId="0" fontId="1" numFmtId="0" xfId="0" applyAlignment="1" applyBorder="1" applyFont="1">
      <alignment readingOrder="0" shrinkToFit="0" vertical="center" wrapText="0"/>
    </xf>
    <xf borderId="39" fillId="0" fontId="10" numFmtId="0" xfId="0" applyAlignment="1" applyBorder="1" applyFont="1">
      <alignment readingOrder="0" shrinkToFit="0" vertical="center" wrapText="0"/>
    </xf>
    <xf borderId="40" fillId="0" fontId="1" numFmtId="0" xfId="0" applyAlignment="1" applyBorder="1" applyFont="1">
      <alignment readingOrder="0" shrinkToFit="0" vertical="center" wrapText="0"/>
    </xf>
    <xf borderId="0" fillId="4" fontId="2" numFmtId="0" xfId="0" applyAlignment="1" applyFont="1">
      <alignment readingOrder="0"/>
    </xf>
    <xf borderId="0" fillId="4" fontId="2" numFmtId="0" xfId="0" applyAlignment="1" applyFont="1">
      <alignment readingOrder="0"/>
    </xf>
    <xf borderId="25" fillId="4" fontId="2" numFmtId="0" xfId="0" applyAlignment="1" applyBorder="1" applyFont="1">
      <alignment readingOrder="0"/>
    </xf>
    <xf borderId="22" fillId="4" fontId="2" numFmtId="0" xfId="0" applyAlignment="1" applyBorder="1" applyFont="1">
      <alignment readingOrder="0"/>
    </xf>
    <xf borderId="23" fillId="4" fontId="2" numFmtId="0" xfId="0" applyAlignment="1" applyBorder="1" applyFont="1">
      <alignment readingOrder="0"/>
    </xf>
    <xf borderId="24" fillId="0" fontId="7" numFmtId="0" xfId="0" applyAlignment="1" applyBorder="1" applyFont="1">
      <alignment readingOrder="0"/>
    </xf>
    <xf borderId="22" fillId="0" fontId="7" numFmtId="3" xfId="0" applyAlignment="1" applyBorder="1" applyFont="1" applyNumberFormat="1">
      <alignment readingOrder="0"/>
    </xf>
    <xf borderId="22" fillId="0" fontId="7" numFmtId="3" xfId="0" applyBorder="1" applyFont="1" applyNumberFormat="1"/>
    <xf borderId="23" fillId="0" fontId="7" numFmtId="3" xfId="0" applyAlignment="1" applyBorder="1" applyFont="1" applyNumberFormat="1">
      <alignment readingOrder="0"/>
    </xf>
    <xf borderId="0" fillId="0" fontId="7" numFmtId="3" xfId="0" applyFont="1" applyNumberFormat="1"/>
    <xf borderId="26" fillId="0" fontId="7" numFmtId="3" xfId="0" applyAlignment="1" applyBorder="1" applyFont="1" applyNumberFormat="1">
      <alignment readingOrder="0"/>
    </xf>
    <xf borderId="23" fillId="0" fontId="8" numFmtId="166" xfId="0" applyAlignment="1" applyBorder="1" applyFont="1" applyNumberFormat="1">
      <alignment readingOrder="0"/>
    </xf>
    <xf borderId="30" fillId="0" fontId="8" numFmtId="166" xfId="0" applyAlignment="1" applyBorder="1" applyFont="1" applyNumberFormat="1">
      <alignment readingOrder="0"/>
    </xf>
    <xf borderId="41" fillId="0" fontId="1" numFmtId="3" xfId="0" applyBorder="1" applyFont="1" applyNumberFormat="1"/>
    <xf borderId="26" fillId="0" fontId="1" numFmtId="3" xfId="0" applyAlignment="1" applyBorder="1" applyFont="1" applyNumberFormat="1">
      <alignment readingOrder="0"/>
    </xf>
    <xf borderId="42" fillId="0" fontId="2" numFmtId="3" xfId="0" applyAlignment="1" applyBorder="1" applyFont="1" applyNumberFormat="1">
      <alignment readingOrder="0"/>
    </xf>
    <xf borderId="0" fillId="0" fontId="1" numFmtId="0" xfId="0" applyFont="1"/>
    <xf borderId="36" fillId="4" fontId="9" numFmtId="0" xfId="0" applyAlignment="1" applyBorder="1" applyFont="1">
      <alignment vertical="bottom"/>
    </xf>
    <xf borderId="32" fillId="4" fontId="9" numFmtId="0" xfId="0" applyAlignment="1" applyBorder="1" applyFont="1">
      <alignment vertical="bottom"/>
    </xf>
    <xf borderId="42" fillId="4" fontId="9" numFmtId="0" xfId="0" applyAlignment="1" applyBorder="1" applyFont="1">
      <alignment vertical="bottom"/>
    </xf>
    <xf borderId="27" fillId="0" fontId="5" numFmtId="0" xfId="0" applyAlignment="1" applyBorder="1" applyFont="1">
      <alignment horizontal="center" vertical="bottom"/>
    </xf>
    <xf borderId="0" fillId="0" fontId="5" numFmtId="2" xfId="0" applyAlignment="1" applyFont="1" applyNumberFormat="1">
      <alignment horizontal="right" readingOrder="0" vertical="bottom"/>
    </xf>
    <xf borderId="27" fillId="0" fontId="5" numFmtId="168" xfId="0" applyAlignment="1" applyBorder="1" applyFont="1" applyNumberFormat="1">
      <alignment horizontal="right" readingOrder="0" vertical="bottom"/>
    </xf>
    <xf borderId="0" fillId="0" fontId="5" numFmtId="168" xfId="0" applyAlignment="1" applyFont="1" applyNumberFormat="1">
      <alignment horizontal="right" vertical="bottom"/>
    </xf>
    <xf borderId="26" fillId="0" fontId="5" numFmtId="168" xfId="0" applyAlignment="1" applyBorder="1" applyFont="1" applyNumberFormat="1">
      <alignment horizontal="right" vertical="bottom"/>
    </xf>
    <xf borderId="31" fillId="0" fontId="5" numFmtId="0" xfId="0" applyAlignment="1" applyBorder="1" applyFont="1">
      <alignment horizontal="center" vertical="bottom"/>
    </xf>
    <xf borderId="29" fillId="0" fontId="5" numFmtId="2" xfId="0" applyAlignment="1" applyBorder="1" applyFont="1" applyNumberFormat="1">
      <alignment horizontal="right" readingOrder="0" vertical="bottom"/>
    </xf>
    <xf borderId="31" fillId="0" fontId="5" numFmtId="168" xfId="0" applyAlignment="1" applyBorder="1" applyFont="1" applyNumberFormat="1">
      <alignment horizontal="right" readingOrder="0" vertical="bottom"/>
    </xf>
    <xf borderId="29" fillId="0" fontId="5" numFmtId="168" xfId="0" applyAlignment="1" applyBorder="1" applyFont="1" applyNumberFormat="1">
      <alignment horizontal="right" vertical="bottom"/>
    </xf>
    <xf borderId="30" fillId="0" fontId="5" numFmtId="168" xfId="0" applyAlignment="1" applyBorder="1" applyFont="1" applyNumberFormat="1">
      <alignment horizontal="right" vertical="bottom"/>
    </xf>
    <xf borderId="0" fillId="0" fontId="5" numFmtId="0" xfId="0" applyAlignment="1" applyFont="1">
      <alignment vertical="bottom"/>
    </xf>
    <xf borderId="0" fillId="4" fontId="9" numFmtId="0" xfId="0" applyAlignment="1" applyFont="1">
      <alignment vertical="bottom"/>
    </xf>
    <xf borderId="0" fillId="0" fontId="5" numFmtId="169" xfId="0" applyAlignment="1" applyFont="1" applyNumberFormat="1">
      <alignment horizontal="right" vertical="bottom"/>
    </xf>
    <xf borderId="0" fillId="0" fontId="9" numFmtId="170" xfId="0" applyAlignment="1" applyFont="1" applyNumberFormat="1">
      <alignment vertical="bottom"/>
    </xf>
    <xf borderId="0" fillId="0" fontId="5" numFmtId="0" xfId="0" applyAlignment="1" applyFont="1">
      <alignment readingOrder="0" vertical="bottom"/>
    </xf>
    <xf borderId="0" fillId="0" fontId="5" numFmtId="170" xfId="0" applyAlignment="1" applyFont="1" applyNumberFormat="1">
      <alignment vertical="bottom"/>
    </xf>
    <xf borderId="0" fillId="0" fontId="5" numFmtId="3" xfId="0" applyAlignment="1" applyFont="1" applyNumberFormat="1">
      <alignment horizontal="right" vertical="bottom"/>
    </xf>
    <xf borderId="0" fillId="0" fontId="5" numFmtId="171" xfId="0" applyAlignment="1" applyFont="1" applyNumberFormat="1">
      <alignment horizontal="right" vertical="bottom"/>
    </xf>
    <xf borderId="0" fillId="0" fontId="5" numFmtId="10" xfId="0" applyAlignment="1" applyFont="1" applyNumberFormat="1">
      <alignment vertical="bottom"/>
    </xf>
    <xf borderId="0" fillId="0" fontId="5" numFmtId="0" xfId="0" applyAlignment="1" applyFont="1">
      <alignment horizontal="right" vertical="bottom"/>
    </xf>
    <xf borderId="24" fillId="4" fontId="9" numFmtId="0" xfId="0" applyAlignment="1" applyBorder="1" applyFont="1">
      <alignment vertical="bottom"/>
    </xf>
    <xf borderId="23" fillId="4" fontId="5" numFmtId="0" xfId="0" applyAlignment="1" applyBorder="1" applyFont="1">
      <alignment vertical="bottom"/>
    </xf>
    <xf borderId="0" fillId="0" fontId="9" numFmtId="0" xfId="0" applyAlignment="1" applyFont="1">
      <alignment vertical="bottom"/>
    </xf>
    <xf borderId="0" fillId="5" fontId="9" numFmtId="170" xfId="0" applyAlignment="1" applyFill="1" applyFont="1" applyNumberFormat="1">
      <alignment vertical="bottom"/>
    </xf>
    <xf borderId="0" fillId="6" fontId="9" numFmtId="0" xfId="0" applyAlignment="1" applyFill="1" applyFont="1">
      <alignment vertical="bottom"/>
    </xf>
    <xf borderId="0" fillId="7" fontId="9" numFmtId="0" xfId="0" applyAlignment="1" applyFill="1" applyFont="1">
      <alignment vertical="bottom"/>
    </xf>
    <xf borderId="23" fillId="4" fontId="5" numFmtId="165" xfId="0" applyAlignment="1" applyBorder="1" applyFont="1" applyNumberFormat="1">
      <alignment vertical="bottom"/>
    </xf>
    <xf borderId="0" fillId="0" fontId="5" numFmtId="168" xfId="0" applyAlignment="1" applyFont="1" applyNumberFormat="1">
      <alignment vertical="bottom"/>
    </xf>
    <xf borderId="23" fillId="4" fontId="5" numFmtId="168" xfId="0" applyAlignment="1" applyBorder="1" applyFont="1" applyNumberFormat="1">
      <alignment vertical="bottom"/>
    </xf>
    <xf borderId="26" fillId="0" fontId="5" numFmtId="165" xfId="0" applyAlignment="1" applyBorder="1" applyFont="1" applyNumberFormat="1">
      <alignment horizontal="right" vertical="bottom"/>
    </xf>
    <xf borderId="30" fillId="0" fontId="5" numFmtId="165" xfId="0" applyAlignment="1" applyBorder="1" applyFont="1" applyNumberFormat="1">
      <alignment horizontal="right" vertical="bottom"/>
    </xf>
    <xf borderId="0" fillId="4" fontId="9" numFmtId="170" xfId="0" applyAlignment="1" applyFont="1" applyNumberFormat="1">
      <alignment vertical="bottom"/>
    </xf>
    <xf borderId="0" fillId="0" fontId="5" numFmtId="165" xfId="0" applyAlignment="1" applyFont="1" applyNumberFormat="1">
      <alignment horizontal="right" readingOrder="0" vertical="bottom"/>
    </xf>
    <xf borderId="0" fillId="0" fontId="5" numFmtId="167" xfId="0" applyAlignment="1" applyFont="1" applyNumberFormat="1">
      <alignment readingOrder="0" vertical="bottom"/>
    </xf>
    <xf borderId="24" fillId="4" fontId="9" numFmtId="10" xfId="0" applyAlignment="1" applyBorder="1" applyFont="1" applyNumberFormat="1">
      <alignment vertical="bottom"/>
    </xf>
    <xf borderId="22" fillId="4" fontId="5" numFmtId="10" xfId="0" applyAlignment="1" applyBorder="1" applyFont="1" applyNumberFormat="1">
      <alignment vertical="bottom"/>
    </xf>
    <xf borderId="21" fillId="0" fontId="5" numFmtId="0" xfId="0" applyAlignment="1" applyBorder="1" applyFont="1">
      <alignment readingOrder="0" vertical="bottom"/>
    </xf>
    <xf borderId="26" fillId="8" fontId="5" numFmtId="10" xfId="0" applyAlignment="1" applyBorder="1" applyFill="1" applyFont="1" applyNumberFormat="1">
      <alignment horizontal="right" vertical="bottom"/>
    </xf>
    <xf borderId="25" fillId="0" fontId="5" numFmtId="0" xfId="0" applyAlignment="1" applyBorder="1" applyFont="1">
      <alignment readingOrder="0" vertical="bottom"/>
    </xf>
    <xf borderId="30" fillId="6" fontId="5" numFmtId="10" xfId="0" applyAlignment="1" applyBorder="1" applyFont="1" applyNumberFormat="1">
      <alignment horizontal="right" vertical="bottom"/>
    </xf>
    <xf borderId="28" fillId="0" fontId="5" numFmtId="0" xfId="0" applyAlignment="1" applyBorder="1" applyFont="1">
      <alignment readingOrder="0"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Main-style">
      <tableStyleElement dxfId="1" type="headerRow"/>
      <tableStyleElement dxfId="2" type="firstRowStripe"/>
      <tableStyleElement dxfId="3" type="secondRowStripe"/>
    </tableStyle>
    <tableStyle count="3" pivot="0" name="Main-style 2">
      <tableStyleElement dxfId="1" type="headerRow"/>
      <tableStyleElement dxfId="2" type="firstRowStripe"/>
      <tableStyleElement dxfId="3" type="secondRowStripe"/>
    </tableStyle>
    <tableStyle count="3" pivot="0" name="New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515100" cy="40767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20</xdr:row>
      <xdr:rowOff>95250</xdr:rowOff>
    </xdr:from>
    <xdr:ext cx="6515100" cy="438150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762000</xdr:colOff>
      <xdr:row>0</xdr:row>
      <xdr:rowOff>0</xdr:rowOff>
    </xdr:from>
    <xdr:ext cx="6515100" cy="4076700"/>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742950</xdr:colOff>
      <xdr:row>20</xdr:row>
      <xdr:rowOff>95250</xdr:rowOff>
    </xdr:from>
    <xdr:ext cx="6515100" cy="4381500"/>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9525" cy="952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K12" displayName="PLAB_BASICS" name="PLAB_BASICS" id="1">
  <tableColumns count="11">
    <tableColumn name="Variables" id="1"/>
    <tableColumn name="4Q 2023" id="2"/>
    <tableColumn name="1Q 2024" id="3"/>
    <tableColumn name="2Q 2024" id="4"/>
    <tableColumn name="3Q 2024" id="5"/>
    <tableColumn name="4Q 2024" id="6"/>
    <tableColumn name="1Q 2025" id="7"/>
    <tableColumn name="2Q 2025" id="8"/>
    <tableColumn name="3Q 2025" id="9"/>
    <tableColumn name="4Q 2025" id="10"/>
    <tableColumn name="1Q 2026" id="11"/>
  </tableColumns>
  <tableStyleInfo name="Main-style" showColumnStripes="0" showFirstColumn="1" showLastColumn="1" showRowStripes="1"/>
</table>
</file>

<file path=xl/tables/table2.xml><?xml version="1.0" encoding="utf-8"?>
<table xmlns="http://schemas.openxmlformats.org/spreadsheetml/2006/main" ref="M2:X12" displayName="Tabla_1" name="Tabla_1" id="2">
  <tableColumns count="12">
    <tableColumn name="2014" id="1"/>
    <tableColumn name="2015" id="2"/>
    <tableColumn name="2016" id="3"/>
    <tableColumn name="2017" id="4"/>
    <tableColumn name="2018" id="5"/>
    <tableColumn name="2019" id="6"/>
    <tableColumn name="2020" id="7"/>
    <tableColumn name="2021" id="8"/>
    <tableColumn name="2022" id="9"/>
    <tableColumn name="2023" id="10"/>
    <tableColumn name="2024" id="11"/>
    <tableColumn name="2025" id="12"/>
  </tableColumns>
  <tableStyleInfo name="Main-style 2" showColumnStripes="0" showFirstColumn="1" showLastColumn="1" showRowStripes="1"/>
</table>
</file>

<file path=xl/tables/table3.xml><?xml version="1.0" encoding="utf-8"?>
<table xmlns="http://schemas.openxmlformats.org/spreadsheetml/2006/main" ref="A1:E2" displayName="News" name="News" id="3">
  <tableColumns count="5">
    <tableColumn name="Index" id="1"/>
    <tableColumn name="Date" id="2"/>
    <tableColumn name="Headline" id="3"/>
    <tableColumn name="Link" id="4"/>
    <tableColumn name="Comentary" id="5"/>
  </tableColumns>
  <tableStyleInfo name="New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Cal-Maine" TargetMode="External"/><Relationship Id="rId2"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c.gov/salmonella/outbreaks/eggs-08-25/index.html" TargetMode="External"/><Relationship Id="rId2" Type="http://schemas.openxmlformats.org/officeDocument/2006/relationships/drawing" Target="../drawings/drawing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6.25"/>
    <col customWidth="1" min="2" max="7" width="15.13"/>
    <col customWidth="1" min="8" max="8" width="15.0"/>
    <col customWidth="1" min="10" max="11" width="12.88"/>
    <col customWidth="1" min="13" max="24" width="12.88"/>
  </cols>
  <sheetData>
    <row r="1">
      <c r="A1" s="1"/>
      <c r="B1" s="2" t="s">
        <v>0</v>
      </c>
      <c r="C1" s="2" t="s">
        <v>1</v>
      </c>
      <c r="D1" s="2" t="s">
        <v>2</v>
      </c>
      <c r="E1" s="2" t="s">
        <v>3</v>
      </c>
      <c r="F1" s="2" t="s">
        <v>4</v>
      </c>
      <c r="G1" s="3" t="s">
        <v>5</v>
      </c>
      <c r="H1" s="2" t="s">
        <v>6</v>
      </c>
      <c r="I1" s="2" t="s">
        <v>7</v>
      </c>
      <c r="J1" s="3">
        <v>45808.0</v>
      </c>
      <c r="K1" s="2" t="s">
        <v>8</v>
      </c>
      <c r="M1" s="3">
        <v>41790.0</v>
      </c>
      <c r="O1" s="3">
        <v>42518.0</v>
      </c>
      <c r="Q1" s="2" t="s">
        <v>9</v>
      </c>
      <c r="R1" s="2" t="s">
        <v>10</v>
      </c>
      <c r="S1" s="3">
        <v>43981.0</v>
      </c>
      <c r="W1" s="2" t="s">
        <v>4</v>
      </c>
      <c r="X1" s="3">
        <v>45808.0</v>
      </c>
    </row>
    <row r="2">
      <c r="A2" s="4" t="s">
        <v>11</v>
      </c>
      <c r="B2" s="5" t="s">
        <v>12</v>
      </c>
      <c r="C2" s="6" t="s">
        <v>13</v>
      </c>
      <c r="D2" s="7" t="s">
        <v>14</v>
      </c>
      <c r="E2" s="6" t="s">
        <v>15</v>
      </c>
      <c r="F2" s="5" t="s">
        <v>16</v>
      </c>
      <c r="G2" s="6" t="s">
        <v>17</v>
      </c>
      <c r="H2" s="7" t="s">
        <v>18</v>
      </c>
      <c r="I2" s="6" t="s">
        <v>19</v>
      </c>
      <c r="J2" s="7" t="s">
        <v>20</v>
      </c>
      <c r="K2" s="8" t="s">
        <v>21</v>
      </c>
      <c r="M2" s="9" t="s">
        <v>22</v>
      </c>
      <c r="N2" s="10" t="s">
        <v>23</v>
      </c>
      <c r="O2" s="10" t="s">
        <v>24</v>
      </c>
      <c r="P2" s="10" t="s">
        <v>25</v>
      </c>
      <c r="Q2" s="10" t="s">
        <v>26</v>
      </c>
      <c r="R2" s="10" t="s">
        <v>27</v>
      </c>
      <c r="S2" s="10" t="s">
        <v>28</v>
      </c>
      <c r="T2" s="10" t="s">
        <v>29</v>
      </c>
      <c r="U2" s="10" t="s">
        <v>30</v>
      </c>
      <c r="V2" s="10" t="s">
        <v>31</v>
      </c>
      <c r="W2" s="10" t="s">
        <v>32</v>
      </c>
      <c r="X2" s="11" t="s">
        <v>33</v>
      </c>
    </row>
    <row r="3">
      <c r="A3" s="12" t="s">
        <v>34</v>
      </c>
      <c r="B3" s="13">
        <v>2.81E9</v>
      </c>
      <c r="C3" s="13">
        <v>2.8E9</v>
      </c>
      <c r="D3" s="13">
        <v>2.8E9</v>
      </c>
      <c r="E3" s="13">
        <v>3.2E9</v>
      </c>
      <c r="F3" s="14">
        <v>2.72E9</v>
      </c>
      <c r="G3" s="14">
        <v>3.24E9</v>
      </c>
      <c r="H3" s="14">
        <v>4.45E9</v>
      </c>
      <c r="I3" s="15">
        <v>4.18E9</v>
      </c>
      <c r="J3" s="15">
        <v>4.65E9</v>
      </c>
      <c r="K3" s="16">
        <v>4.49E9</v>
      </c>
      <c r="M3" s="17">
        <v>1.88E9</v>
      </c>
      <c r="N3" s="15">
        <v>2.24E9</v>
      </c>
      <c r="O3" s="15">
        <v>2.14E9</v>
      </c>
      <c r="P3" s="15">
        <v>2.15E9</v>
      </c>
      <c r="Q3" s="15">
        <v>2.05E9</v>
      </c>
      <c r="R3" s="15">
        <v>2.08E9</v>
      </c>
      <c r="S3" s="15">
        <v>1.83E9</v>
      </c>
      <c r="T3" s="15">
        <v>1.83E9</v>
      </c>
      <c r="U3" s="15">
        <v>1.8E9</v>
      </c>
      <c r="V3" s="15">
        <v>2.81E9</v>
      </c>
      <c r="W3" s="15">
        <v>2.72E9</v>
      </c>
      <c r="X3" s="18">
        <v>4.65E9</v>
      </c>
    </row>
    <row r="4">
      <c r="A4" s="19" t="s">
        <v>35</v>
      </c>
      <c r="B4" s="20">
        <v>4.869E7</v>
      </c>
      <c r="C4" s="21">
        <f t="shared" ref="C4:D4" si="1">44182613+4800000</f>
        <v>48982613</v>
      </c>
      <c r="D4" s="13">
        <f t="shared" si="1"/>
        <v>48982613</v>
      </c>
      <c r="E4" s="20">
        <v>4.855E7</v>
      </c>
      <c r="F4" s="22">
        <v>4.9038766E7</v>
      </c>
      <c r="G4" s="22">
        <f>+44236582+4800000</f>
        <v>49036582</v>
      </c>
      <c r="H4" s="22">
        <f>+44235087+4800000</f>
        <v>49035087</v>
      </c>
      <c r="I4" s="23">
        <f>+44245955+4800000
</f>
        <v>49045955</v>
      </c>
      <c r="J4" s="23">
        <v>4.8497477E7</v>
      </c>
      <c r="K4" s="24">
        <v>4.8499606E7</v>
      </c>
      <c r="M4" s="25">
        <v>4.8E7</v>
      </c>
      <c r="N4" s="23">
        <v>4.84E7</v>
      </c>
      <c r="O4" s="23">
        <v>4.84E7</v>
      </c>
      <c r="P4" s="23">
        <v>4.836E7</v>
      </c>
      <c r="Q4" s="23">
        <f>43830521+4800000</f>
        <v>48630521</v>
      </c>
      <c r="R4" s="23">
        <v>4.859E7</v>
      </c>
      <c r="S4" s="23">
        <f>43500718+4800000</f>
        <v>48300718</v>
      </c>
      <c r="T4" s="23">
        <v>4.885E7</v>
      </c>
      <c r="U4" s="23">
        <v>4.862E7</v>
      </c>
      <c r="V4" s="23">
        <v>4.869E7</v>
      </c>
      <c r="W4" s="23">
        <v>4.9038766E7</v>
      </c>
      <c r="X4" s="26">
        <v>4.8497477E7</v>
      </c>
    </row>
    <row r="5">
      <c r="A5" s="12" t="s">
        <v>36</v>
      </c>
      <c r="B5" s="13">
        <v>0.0</v>
      </c>
      <c r="C5" s="13">
        <v>0.0</v>
      </c>
      <c r="D5" s="13">
        <v>0.0</v>
      </c>
      <c r="E5" s="13">
        <v>0.0</v>
      </c>
      <c r="F5" s="14">
        <v>0.0</v>
      </c>
      <c r="G5" s="14">
        <v>0.0</v>
      </c>
      <c r="H5" s="14">
        <v>0.0</v>
      </c>
      <c r="I5" s="15">
        <v>0.0</v>
      </c>
      <c r="J5" s="15">
        <v>0.0</v>
      </c>
      <c r="K5" s="16">
        <v>0.0</v>
      </c>
      <c r="M5" s="17">
        <v>5.0877E7</v>
      </c>
      <c r="N5" s="15">
        <v>4.0795E7</v>
      </c>
      <c r="O5" s="15">
        <v>9250000.0</v>
      </c>
      <c r="P5" s="15">
        <v>6113000.0</v>
      </c>
      <c r="Q5" s="15">
        <v>2554000.0</v>
      </c>
      <c r="R5" s="15">
        <v>0.0</v>
      </c>
      <c r="S5" s="15">
        <v>0.0</v>
      </c>
      <c r="T5" s="15">
        <v>0.0</v>
      </c>
      <c r="U5" s="15">
        <v>0.0</v>
      </c>
      <c r="V5" s="15">
        <v>0.0</v>
      </c>
      <c r="W5" s="15">
        <v>0.0</v>
      </c>
      <c r="X5" s="18">
        <v>0.0</v>
      </c>
    </row>
    <row r="6">
      <c r="A6" s="19" t="s">
        <v>37</v>
      </c>
      <c r="B6" s="20">
        <v>2.92824E8</v>
      </c>
      <c r="C6" s="20">
        <v>3.60343E8</v>
      </c>
      <c r="D6" s="13">
        <v>3.61783E8</v>
      </c>
      <c r="E6" s="20">
        <v>3.67123E8</v>
      </c>
      <c r="F6" s="22">
        <v>2.37878E8</v>
      </c>
      <c r="G6" s="22">
        <f>181667000</f>
        <v>181667000</v>
      </c>
      <c r="H6" s="22">
        <f>+140296000</f>
        <v>140296000</v>
      </c>
      <c r="I6" s="23">
        <f>+497239000</f>
        <v>497239000</v>
      </c>
      <c r="J6" s="23">
        <v>4.99392E8</v>
      </c>
      <c r="K6" s="24">
        <v>2.5192E8</v>
      </c>
      <c r="M6" s="25">
        <v>1.4521E7</v>
      </c>
      <c r="N6" s="23">
        <v>8667000.0</v>
      </c>
      <c r="O6" s="23">
        <v>2.9046E7</v>
      </c>
      <c r="P6" s="23">
        <v>1.7564E7</v>
      </c>
      <c r="Q6" s="23">
        <v>4.8431E7</v>
      </c>
      <c r="R6" s="23">
        <v>6.9247E7</v>
      </c>
      <c r="S6" s="23">
        <v>7.813E7</v>
      </c>
      <c r="T6" s="23">
        <f>57352000</f>
        <v>57352000</v>
      </c>
      <c r="U6" s="23">
        <f>59084000</f>
        <v>59084000</v>
      </c>
      <c r="V6" s="23">
        <v>2.92824E8</v>
      </c>
      <c r="W6" s="23">
        <v>2.37878E8</v>
      </c>
      <c r="X6" s="26">
        <v>4.99392E8</v>
      </c>
    </row>
    <row r="7">
      <c r="A7" s="27" t="s">
        <v>38</v>
      </c>
      <c r="B7" s="13">
        <v>1.20247E8</v>
      </c>
      <c r="C7" s="13">
        <v>1.25363E8</v>
      </c>
      <c r="D7" s="13">
        <v>1.65391E8</v>
      </c>
      <c r="E7" s="13">
        <v>2.12851E8</v>
      </c>
      <c r="F7" s="13">
        <v>1.62442E8</v>
      </c>
      <c r="G7" s="14">
        <v>2.72092E8</v>
      </c>
      <c r="H7" s="14">
        <v>3.07292E8</v>
      </c>
      <c r="I7" s="14">
        <f>417939000+10459000</f>
        <v>428398000</v>
      </c>
      <c r="J7" s="14">
        <v>2.72361E8</v>
      </c>
      <c r="K7" s="28">
        <v>2.42848E8</v>
      </c>
      <c r="M7" s="17">
        <v>8.7516E7</v>
      </c>
      <c r="N7" s="15">
        <v>1.01977E8</v>
      </c>
      <c r="O7" s="15">
        <v>7.9278E7</v>
      </c>
      <c r="P7" s="15">
        <v>1.172E8</v>
      </c>
      <c r="Q7" s="15">
        <v>8.5839E7</v>
      </c>
      <c r="R7" s="15">
        <v>7.176E7</v>
      </c>
      <c r="S7" s="15">
        <v>9.8375E7</v>
      </c>
      <c r="T7" s="15">
        <v>1.26639E8</v>
      </c>
      <c r="U7" s="15">
        <v>2.19404E8</v>
      </c>
      <c r="V7" s="15">
        <v>1.20247E8</v>
      </c>
      <c r="W7" s="15">
        <v>1.62442E8</v>
      </c>
      <c r="X7" s="18">
        <v>2.72361E8</v>
      </c>
    </row>
    <row r="8">
      <c r="A8" s="29" t="s">
        <v>39</v>
      </c>
      <c r="B8" s="30">
        <v>1.124925E9</v>
      </c>
      <c r="C8" s="13">
        <v>1.064058E9</v>
      </c>
      <c r="D8" s="13">
        <v>1.063933E9</v>
      </c>
      <c r="E8" s="13">
        <v>1.217592E9</v>
      </c>
      <c r="F8" s="13">
        <v>1.241839E9</v>
      </c>
      <c r="G8" s="22">
        <v>1.343479E9</v>
      </c>
      <c r="H8" s="22">
        <v>1.424595E9</v>
      </c>
      <c r="I8" s="22">
        <v>1.983282E9</v>
      </c>
      <c r="J8" s="22">
        <v>1.96811E9</v>
      </c>
      <c r="K8" s="31">
        <v>1.846854E9</v>
      </c>
      <c r="M8" s="25">
        <v>4.45393E8</v>
      </c>
      <c r="N8" s="23">
        <v>5.08964E8</v>
      </c>
      <c r="O8" s="23">
        <v>6.26283E8</v>
      </c>
      <c r="P8" s="23">
        <v>4.36206E8</v>
      </c>
      <c r="Q8" s="23">
        <v>5.8752E8</v>
      </c>
      <c r="R8" s="23">
        <v>5.67753E8</v>
      </c>
      <c r="S8" s="23">
        <v>5.22251E8</v>
      </c>
      <c r="T8" s="23">
        <v>5.19931E8</v>
      </c>
      <c r="U8" s="23">
        <v>6.61519E8</v>
      </c>
      <c r="V8" s="23">
        <v>1.124925E9</v>
      </c>
      <c r="W8" s="23">
        <v>1.241839E9</v>
      </c>
      <c r="X8" s="26">
        <v>1.96811E9</v>
      </c>
    </row>
    <row r="9">
      <c r="A9" s="27" t="s">
        <v>40</v>
      </c>
      <c r="B9" s="32">
        <v>1.954525E9</v>
      </c>
      <c r="C9" s="32">
        <v>1.900367E9</v>
      </c>
      <c r="D9" s="13">
        <v>1.966805E9</v>
      </c>
      <c r="E9" s="32">
        <v>2.133529E9</v>
      </c>
      <c r="F9" s="32">
        <v>2.184761E9</v>
      </c>
      <c r="G9" s="14">
        <v>2.390008E9</v>
      </c>
      <c r="H9" s="15">
        <v>2.490099E9</v>
      </c>
      <c r="I9" s="14">
        <v>3.081569E9</v>
      </c>
      <c r="J9" s="14">
        <v>3.084619E9</v>
      </c>
      <c r="K9" s="28">
        <v>3.196392E9</v>
      </c>
      <c r="M9" s="17">
        <v>8.11661E8</v>
      </c>
      <c r="N9" s="15">
        <v>9.28653E8</v>
      </c>
      <c r="O9" s="15">
        <v>1.111765E9</v>
      </c>
      <c r="P9" s="15">
        <v>1.033094E9</v>
      </c>
      <c r="Q9" s="15">
        <v>1.150447E9</v>
      </c>
      <c r="R9" s="15">
        <v>1.156278E9</v>
      </c>
      <c r="S9" s="15">
        <v>1.206694E9</v>
      </c>
      <c r="T9" s="15">
        <v>1.229174E9</v>
      </c>
      <c r="U9" s="15">
        <v>1.427489E9</v>
      </c>
      <c r="V9" s="15">
        <v>1.954525E9</v>
      </c>
      <c r="W9" s="15">
        <v>2.184761E9</v>
      </c>
      <c r="X9" s="18">
        <v>3.084619E9</v>
      </c>
    </row>
    <row r="10">
      <c r="A10" s="29" t="s">
        <v>41</v>
      </c>
      <c r="B10" s="20">
        <v>1.82731E8</v>
      </c>
      <c r="C10" s="20">
        <v>1.26382E8</v>
      </c>
      <c r="D10" s="33">
        <v>1.53787E8</v>
      </c>
      <c r="E10" s="20">
        <v>2.15689E8</v>
      </c>
      <c r="F10" s="20">
        <v>2.27743E8</v>
      </c>
      <c r="G10" s="22">
        <v>3.25415E8</v>
      </c>
      <c r="H10" s="23">
        <v>2.60751E8</v>
      </c>
      <c r="I10" s="22">
        <v>5.13658E8</v>
      </c>
      <c r="J10" s="22">
        <v>3.08371E8</v>
      </c>
      <c r="K10" s="31">
        <v>2.69951E8</v>
      </c>
      <c r="M10" s="25">
        <v>1.21101E8</v>
      </c>
      <c r="N10" s="23">
        <v>1.01546E8</v>
      </c>
      <c r="O10" s="23">
        <v>8.3451E7</v>
      </c>
      <c r="P10" s="23">
        <v>6.4679E7</v>
      </c>
      <c r="Q10" s="23">
        <v>1.07838E8</v>
      </c>
      <c r="R10" s="23">
        <v>7.4907E7</v>
      </c>
      <c r="S10" s="23">
        <v>9.3183E7</v>
      </c>
      <c r="T10" s="23">
        <v>9.0097E7</v>
      </c>
      <c r="U10" s="23">
        <v>1.84674E8</v>
      </c>
      <c r="V10" s="23">
        <v>1.82731E8</v>
      </c>
      <c r="W10" s="23">
        <v>2.27743E8</v>
      </c>
      <c r="X10" s="26">
        <v>3.08371E8</v>
      </c>
    </row>
    <row r="11">
      <c r="A11" s="27" t="s">
        <v>42</v>
      </c>
      <c r="B11" s="32">
        <v>3.44942E8</v>
      </c>
      <c r="C11" s="32">
        <v>2.89037E8</v>
      </c>
      <c r="D11" s="13">
        <v>3.42941E8</v>
      </c>
      <c r="E11" s="32">
        <v>4.1257E8</v>
      </c>
      <c r="F11" s="32">
        <v>3.87718E8</v>
      </c>
      <c r="G11" s="14">
        <v>4.90945E8</v>
      </c>
      <c r="H11" s="15">
        <v>4.28616E8</v>
      </c>
      <c r="I11" s="14">
        <v>6.94061E8</v>
      </c>
      <c r="J11" s="14">
        <v>5.18604E8</v>
      </c>
      <c r="K11" s="28">
        <v>2.94475E8</v>
      </c>
      <c r="M11" s="17">
        <v>2.16916E8</v>
      </c>
      <c r="N11" s="15">
        <v>2.24091E8</v>
      </c>
      <c r="O11" s="15">
        <v>1.94404E8</v>
      </c>
      <c r="P11" s="15">
        <v>1.88601E8</v>
      </c>
      <c r="Q11" s="15">
        <v>1.94765E8</v>
      </c>
      <c r="R11" s="15">
        <v>1.66472E8</v>
      </c>
      <c r="S11" s="15">
        <v>1.97019E8</v>
      </c>
      <c r="T11" s="15">
        <v>2.19393E8</v>
      </c>
      <c r="U11" s="15">
        <v>3.231444E8</v>
      </c>
      <c r="V11" s="15">
        <v>3.44942E8</v>
      </c>
      <c r="W11" s="15">
        <v>3.87718E8</v>
      </c>
      <c r="X11" s="18">
        <v>5.18604E8</v>
      </c>
    </row>
    <row r="12">
      <c r="A12" s="34" t="s">
        <v>43</v>
      </c>
      <c r="B12" s="35">
        <v>1.609583E9</v>
      </c>
      <c r="C12" s="35">
        <v>1.61133E7</v>
      </c>
      <c r="D12" s="36">
        <v>1.623964E9</v>
      </c>
      <c r="E12" s="35">
        <v>1.720959E9</v>
      </c>
      <c r="F12" s="35">
        <v>1.797043E9</v>
      </c>
      <c r="G12" s="37">
        <v>1.899063E9</v>
      </c>
      <c r="H12" s="38">
        <v>2.051483E9</v>
      </c>
      <c r="I12" s="37">
        <v>2.387508E9</v>
      </c>
      <c r="J12" s="37">
        <v>2.566015E9</v>
      </c>
      <c r="K12" s="39">
        <v>2.701917E9</v>
      </c>
      <c r="M12" s="40">
        <v>5.94745E8</v>
      </c>
      <c r="N12" s="41">
        <v>7.04562E8</v>
      </c>
      <c r="O12" s="41">
        <v>9.17361E8</v>
      </c>
      <c r="P12" s="41">
        <v>8.44493E8</v>
      </c>
      <c r="Q12" s="41">
        <v>9.55682E8</v>
      </c>
      <c r="R12" s="41">
        <v>9.89806E8</v>
      </c>
      <c r="S12" s="41">
        <v>1.009675E9</v>
      </c>
      <c r="T12" s="41">
        <v>1.012781E9</v>
      </c>
      <c r="U12" s="41">
        <v>1.104551E9</v>
      </c>
      <c r="V12" s="41">
        <v>1.609583E9</v>
      </c>
      <c r="W12" s="41">
        <v>1.797043E9</v>
      </c>
      <c r="X12" s="42">
        <v>2.566015E9</v>
      </c>
    </row>
    <row r="13">
      <c r="H13" s="43"/>
    </row>
    <row r="14">
      <c r="A14" s="44" t="s">
        <v>44</v>
      </c>
      <c r="B14" s="45">
        <f t="shared" ref="B14:K14" si="2">B3+B5-B6</f>
        <v>2517176000</v>
      </c>
      <c r="C14" s="45">
        <f t="shared" si="2"/>
        <v>2439657000</v>
      </c>
      <c r="D14" s="45">
        <f t="shared" si="2"/>
        <v>2438217000</v>
      </c>
      <c r="E14" s="45">
        <f t="shared" si="2"/>
        <v>2832877000</v>
      </c>
      <c r="F14" s="45">
        <f t="shared" si="2"/>
        <v>2482122000</v>
      </c>
      <c r="G14" s="45">
        <f t="shared" si="2"/>
        <v>3058333000</v>
      </c>
      <c r="H14" s="45">
        <f t="shared" si="2"/>
        <v>4309704000</v>
      </c>
      <c r="I14" s="46">
        <f t="shared" si="2"/>
        <v>3682761000</v>
      </c>
      <c r="J14" s="47">
        <f t="shared" si="2"/>
        <v>4150608000</v>
      </c>
      <c r="K14" s="47">
        <f t="shared" si="2"/>
        <v>4238080000</v>
      </c>
      <c r="M14" s="48">
        <f t="shared" ref="M14:X14" si="3">M3+M5-M6</f>
        <v>1916356000</v>
      </c>
      <c r="N14" s="46">
        <f t="shared" si="3"/>
        <v>2272128000</v>
      </c>
      <c r="O14" s="46">
        <f t="shared" si="3"/>
        <v>2120204000</v>
      </c>
      <c r="P14" s="46">
        <f t="shared" si="3"/>
        <v>2138549000</v>
      </c>
      <c r="Q14" s="46">
        <f t="shared" si="3"/>
        <v>2004123000</v>
      </c>
      <c r="R14" s="46">
        <f t="shared" si="3"/>
        <v>2010753000</v>
      </c>
      <c r="S14" s="46">
        <f t="shared" si="3"/>
        <v>1751870000</v>
      </c>
      <c r="T14" s="46">
        <f t="shared" si="3"/>
        <v>1772648000</v>
      </c>
      <c r="U14" s="46">
        <f t="shared" si="3"/>
        <v>1740916000</v>
      </c>
      <c r="V14" s="46">
        <f t="shared" si="3"/>
        <v>2517176000</v>
      </c>
      <c r="W14" s="46">
        <f t="shared" si="3"/>
        <v>2482122000</v>
      </c>
      <c r="X14" s="47">
        <f t="shared" si="3"/>
        <v>4150608000</v>
      </c>
    </row>
    <row r="15">
      <c r="A15" s="49" t="s">
        <v>45</v>
      </c>
      <c r="B15" s="50">
        <f t="shared" ref="B15:K15" si="4">B8-B11</f>
        <v>779983000</v>
      </c>
      <c r="C15" s="50">
        <f t="shared" si="4"/>
        <v>775021000</v>
      </c>
      <c r="D15" s="50">
        <f t="shared" si="4"/>
        <v>720992000</v>
      </c>
      <c r="E15" s="50">
        <f t="shared" si="4"/>
        <v>805022000</v>
      </c>
      <c r="F15" s="50">
        <f t="shared" si="4"/>
        <v>854121000</v>
      </c>
      <c r="G15" s="50">
        <f t="shared" si="4"/>
        <v>852534000</v>
      </c>
      <c r="H15" s="50">
        <f t="shared" si="4"/>
        <v>995979000</v>
      </c>
      <c r="I15" s="50">
        <f t="shared" si="4"/>
        <v>1289221000</v>
      </c>
      <c r="J15" s="51">
        <f t="shared" si="4"/>
        <v>1449506000</v>
      </c>
      <c r="K15" s="51">
        <f t="shared" si="4"/>
        <v>1552379000</v>
      </c>
      <c r="M15" s="52">
        <f t="shared" ref="M15:X15" si="5">M8-M11</f>
        <v>228477000</v>
      </c>
      <c r="N15" s="53">
        <f t="shared" si="5"/>
        <v>284873000</v>
      </c>
      <c r="O15" s="53">
        <f t="shared" si="5"/>
        <v>431879000</v>
      </c>
      <c r="P15" s="53">
        <f t="shared" si="5"/>
        <v>247605000</v>
      </c>
      <c r="Q15" s="53">
        <f t="shared" si="5"/>
        <v>392755000</v>
      </c>
      <c r="R15" s="53">
        <f t="shared" si="5"/>
        <v>401281000</v>
      </c>
      <c r="S15" s="53">
        <f t="shared" si="5"/>
        <v>325232000</v>
      </c>
      <c r="T15" s="53">
        <f t="shared" si="5"/>
        <v>300538000</v>
      </c>
      <c r="U15" s="53">
        <f t="shared" si="5"/>
        <v>338374600</v>
      </c>
      <c r="V15" s="53">
        <f t="shared" si="5"/>
        <v>779983000</v>
      </c>
      <c r="W15" s="53">
        <f t="shared" si="5"/>
        <v>854121000</v>
      </c>
      <c r="X15" s="54">
        <f t="shared" si="5"/>
        <v>1449506000</v>
      </c>
    </row>
    <row r="16">
      <c r="A16" s="55" t="s">
        <v>46</v>
      </c>
      <c r="B16" s="56">
        <f t="shared" ref="B16:K16" si="6">B3/B4</f>
        <v>57.71205586</v>
      </c>
      <c r="C16" s="56">
        <f t="shared" si="6"/>
        <v>57.16314073</v>
      </c>
      <c r="D16" s="56">
        <f t="shared" si="6"/>
        <v>57.16314073</v>
      </c>
      <c r="E16" s="56">
        <f t="shared" si="6"/>
        <v>65.91143151</v>
      </c>
      <c r="F16" s="56">
        <f t="shared" si="6"/>
        <v>55.4663223</v>
      </c>
      <c r="G16" s="56">
        <f t="shared" si="6"/>
        <v>66.07312068</v>
      </c>
      <c r="H16" s="56">
        <f t="shared" si="6"/>
        <v>90.75134301</v>
      </c>
      <c r="I16" s="56">
        <f t="shared" si="6"/>
        <v>85.22619246</v>
      </c>
      <c r="J16" s="57">
        <f t="shared" si="6"/>
        <v>95.88127646</v>
      </c>
      <c r="K16" s="57">
        <f t="shared" si="6"/>
        <v>92.57807167</v>
      </c>
      <c r="M16" s="58">
        <f t="shared" ref="M16:X16" si="7">M3/M4</f>
        <v>39.16666667</v>
      </c>
      <c r="N16" s="59">
        <f t="shared" si="7"/>
        <v>46.28099174</v>
      </c>
      <c r="O16" s="59">
        <f t="shared" si="7"/>
        <v>44.21487603</v>
      </c>
      <c r="P16" s="59">
        <f t="shared" si="7"/>
        <v>44.45822994</v>
      </c>
      <c r="Q16" s="59">
        <f t="shared" si="7"/>
        <v>42.1545967</v>
      </c>
      <c r="R16" s="59">
        <f t="shared" si="7"/>
        <v>42.80716197</v>
      </c>
      <c r="S16" s="59">
        <f t="shared" si="7"/>
        <v>37.88763554</v>
      </c>
      <c r="T16" s="59">
        <f t="shared" si="7"/>
        <v>37.4616172</v>
      </c>
      <c r="U16" s="59">
        <f t="shared" si="7"/>
        <v>37.02180173</v>
      </c>
      <c r="V16" s="59">
        <f t="shared" si="7"/>
        <v>57.71205586</v>
      </c>
      <c r="W16" s="59">
        <f t="shared" si="7"/>
        <v>55.4663223</v>
      </c>
      <c r="X16" s="60">
        <f t="shared" si="7"/>
        <v>95.88127646</v>
      </c>
    </row>
    <row r="17">
      <c r="A17" s="55" t="s">
        <v>47</v>
      </c>
      <c r="B17" s="56">
        <f t="shared" ref="B17:K17" si="8">B15/B4</f>
        <v>16.01936743</v>
      </c>
      <c r="C17" s="56">
        <f t="shared" si="8"/>
        <v>15.82236946</v>
      </c>
      <c r="D17" s="56">
        <f t="shared" si="8"/>
        <v>14.71934541</v>
      </c>
      <c r="E17" s="56">
        <f t="shared" si="8"/>
        <v>16.58129763</v>
      </c>
      <c r="F17" s="56">
        <f t="shared" si="8"/>
        <v>17.41726127</v>
      </c>
      <c r="G17" s="56">
        <f t="shared" si="8"/>
        <v>17.38567341</v>
      </c>
      <c r="H17" s="56">
        <f t="shared" si="8"/>
        <v>20.31155772</v>
      </c>
      <c r="I17" s="56">
        <f t="shared" si="8"/>
        <v>26.28598016</v>
      </c>
      <c r="J17" s="57">
        <f t="shared" si="8"/>
        <v>29.88827646</v>
      </c>
      <c r="K17" s="57">
        <f t="shared" si="8"/>
        <v>32.00807446</v>
      </c>
      <c r="M17" s="58">
        <f t="shared" ref="M17:X17" si="9">M15/M4</f>
        <v>4.7599375</v>
      </c>
      <c r="N17" s="59">
        <f t="shared" si="9"/>
        <v>5.885805785</v>
      </c>
      <c r="O17" s="59">
        <f t="shared" si="9"/>
        <v>8.923119835</v>
      </c>
      <c r="P17" s="59">
        <f t="shared" si="9"/>
        <v>5.120037221</v>
      </c>
      <c r="Q17" s="59">
        <f t="shared" si="9"/>
        <v>8.076306647</v>
      </c>
      <c r="R17" s="59">
        <f t="shared" si="9"/>
        <v>8.258509981</v>
      </c>
      <c r="S17" s="59">
        <f t="shared" si="9"/>
        <v>6.733481684</v>
      </c>
      <c r="T17" s="59">
        <f t="shared" si="9"/>
        <v>6.152262027</v>
      </c>
      <c r="U17" s="59">
        <f t="shared" si="9"/>
        <v>6.959576306</v>
      </c>
      <c r="V17" s="59">
        <f t="shared" si="9"/>
        <v>16.01936743</v>
      </c>
      <c r="W17" s="59">
        <f t="shared" si="9"/>
        <v>17.41726127</v>
      </c>
      <c r="X17" s="60">
        <f t="shared" si="9"/>
        <v>29.88827646</v>
      </c>
    </row>
    <row r="18">
      <c r="A18" s="55" t="s">
        <v>48</v>
      </c>
      <c r="B18" s="61">
        <f t="shared" ref="B18:K18" si="10">B17/B16</f>
        <v>0.2775740214</v>
      </c>
      <c r="C18" s="61">
        <f t="shared" si="10"/>
        <v>0.2767932143</v>
      </c>
      <c r="D18" s="61">
        <f t="shared" si="10"/>
        <v>0.2574971429</v>
      </c>
      <c r="E18" s="61">
        <f t="shared" si="10"/>
        <v>0.251569375</v>
      </c>
      <c r="F18" s="61">
        <f t="shared" si="10"/>
        <v>0.3140150735</v>
      </c>
      <c r="G18" s="61">
        <f t="shared" si="10"/>
        <v>0.2631277778</v>
      </c>
      <c r="H18" s="61">
        <f t="shared" si="10"/>
        <v>0.2238155056</v>
      </c>
      <c r="I18" s="61">
        <f t="shared" si="10"/>
        <v>0.3084260766</v>
      </c>
      <c r="J18" s="62">
        <f t="shared" si="10"/>
        <v>0.3117217204</v>
      </c>
      <c r="K18" s="62">
        <f t="shared" si="10"/>
        <v>0.3457414254</v>
      </c>
      <c r="M18" s="63">
        <f t="shared" ref="M18:X18" si="11">M17/M16</f>
        <v>0.1215303191</v>
      </c>
      <c r="N18" s="61">
        <f t="shared" si="11"/>
        <v>0.1271754464</v>
      </c>
      <c r="O18" s="61">
        <f t="shared" si="11"/>
        <v>0.2018126168</v>
      </c>
      <c r="P18" s="61">
        <f t="shared" si="11"/>
        <v>0.1151651163</v>
      </c>
      <c r="Q18" s="61">
        <f t="shared" si="11"/>
        <v>0.1915878049</v>
      </c>
      <c r="R18" s="61">
        <f t="shared" si="11"/>
        <v>0.1929235577</v>
      </c>
      <c r="S18" s="61">
        <f t="shared" si="11"/>
        <v>0.1777224044</v>
      </c>
      <c r="T18" s="61">
        <f t="shared" si="11"/>
        <v>0.1642284153</v>
      </c>
      <c r="U18" s="61">
        <f t="shared" si="11"/>
        <v>0.1879858889</v>
      </c>
      <c r="V18" s="61">
        <f t="shared" si="11"/>
        <v>0.2775740214</v>
      </c>
      <c r="W18" s="61">
        <f t="shared" si="11"/>
        <v>0.3140150735</v>
      </c>
      <c r="X18" s="62">
        <f t="shared" si="11"/>
        <v>0.3117217204</v>
      </c>
    </row>
    <row r="19">
      <c r="A19" s="64" t="s">
        <v>49</v>
      </c>
      <c r="B19" s="65" t="str">
        <f>(B6-#REF!)/#REF!</f>
        <v>#REF!</v>
      </c>
      <c r="C19" s="65">
        <f t="shared" ref="C19:K19" si="12">(C6-B6)/B6</f>
        <v>0.2305787777</v>
      </c>
      <c r="D19" s="65">
        <f t="shared" si="12"/>
        <v>0.003996192517</v>
      </c>
      <c r="E19" s="65">
        <f t="shared" si="12"/>
        <v>0.0147602292</v>
      </c>
      <c r="F19" s="65">
        <f t="shared" si="12"/>
        <v>-0.3520482236</v>
      </c>
      <c r="G19" s="65">
        <f t="shared" si="12"/>
        <v>-0.2363018018</v>
      </c>
      <c r="H19" s="65">
        <f t="shared" si="12"/>
        <v>-0.2277298574</v>
      </c>
      <c r="I19" s="65">
        <f t="shared" si="12"/>
        <v>2.544213663</v>
      </c>
      <c r="J19" s="66">
        <f t="shared" si="12"/>
        <v>0.004329909762</v>
      </c>
      <c r="K19" s="66">
        <f t="shared" si="12"/>
        <v>-0.4955465846</v>
      </c>
      <c r="M19" s="67" t="str">
        <f t="shared" ref="M19:X19" si="13">(M6-L6)/L6</f>
        <v>#DIV/0!</v>
      </c>
      <c r="N19" s="65">
        <f t="shared" si="13"/>
        <v>-0.4031402796</v>
      </c>
      <c r="O19" s="65">
        <f t="shared" si="13"/>
        <v>2.351332641</v>
      </c>
      <c r="P19" s="65">
        <f t="shared" si="13"/>
        <v>-0.3953040006</v>
      </c>
      <c r="Q19" s="65">
        <f t="shared" si="13"/>
        <v>1.757401503</v>
      </c>
      <c r="R19" s="65">
        <f t="shared" si="13"/>
        <v>0.4298073548</v>
      </c>
      <c r="S19" s="65">
        <f t="shared" si="13"/>
        <v>0.1282799255</v>
      </c>
      <c r="T19" s="65">
        <f t="shared" si="13"/>
        <v>-0.2659413798</v>
      </c>
      <c r="U19" s="65">
        <f t="shared" si="13"/>
        <v>0.03019946994</v>
      </c>
      <c r="V19" s="65">
        <f t="shared" si="13"/>
        <v>3.956062555</v>
      </c>
      <c r="W19" s="65">
        <f t="shared" si="13"/>
        <v>-0.1876417234</v>
      </c>
      <c r="X19" s="66">
        <f t="shared" si="13"/>
        <v>1.099361858</v>
      </c>
    </row>
    <row r="21">
      <c r="A21" s="68" t="s">
        <v>50</v>
      </c>
      <c r="B21" s="69"/>
      <c r="C21" s="69"/>
      <c r="D21" s="69"/>
      <c r="E21" s="69"/>
      <c r="F21" s="69"/>
      <c r="G21" s="69"/>
      <c r="H21" s="69"/>
      <c r="I21" s="69"/>
      <c r="J21" s="69"/>
      <c r="K21" s="69"/>
    </row>
    <row r="22">
      <c r="A22" s="70" t="s">
        <v>51</v>
      </c>
      <c r="B22" s="71"/>
      <c r="C22" s="72">
        <f>(4*Model!C28)/C9</f>
        <v>0.0008650960578</v>
      </c>
      <c r="D22" s="72">
        <f>(4*Model!D28)/D9</f>
        <v>0.03365458192</v>
      </c>
      <c r="E22" s="72">
        <f>(4*Model!E28)/E9</f>
        <v>0.2744054569</v>
      </c>
      <c r="F22" s="72">
        <f>(4*Model!F28)/F9</f>
        <v>0.2042145571</v>
      </c>
      <c r="G22" s="72">
        <f>(4*Model!G28)/G9</f>
        <v>0.2503589946</v>
      </c>
      <c r="H22" s="72">
        <f>(4*Model!H28)/H9</f>
        <v>0.350763564</v>
      </c>
      <c r="I22" s="72">
        <f>(4*Model!I28)/I9</f>
        <v>0.6608438753</v>
      </c>
      <c r="J22" s="72">
        <f>(4*Model!J28)/J9</f>
        <v>0.4424196311</v>
      </c>
      <c r="K22" s="73">
        <f>(4*Model!K28)/K9</f>
        <v>0.2491646832</v>
      </c>
      <c r="M22" s="74">
        <f>Model!M28/M9</f>
        <v>0.1352867761</v>
      </c>
      <c r="N22" s="75">
        <f>Model!N28/N9</f>
        <v>0.1747488028</v>
      </c>
      <c r="O22" s="75">
        <f>Model!O28/O9</f>
        <v>0.2860739455</v>
      </c>
      <c r="P22" s="75">
        <f>Model!P28/P9</f>
        <v>-0.07204281508</v>
      </c>
      <c r="Q22" s="75">
        <f>Model!Q28/Q9</f>
        <v>0.109693015</v>
      </c>
      <c r="R22" s="75">
        <f>Model!R28/R9</f>
        <v>0.04762003601</v>
      </c>
      <c r="S22" s="75">
        <f>Model!S28/S9</f>
        <v>0.01518860622</v>
      </c>
      <c r="T22" s="75">
        <f>Model!T28/T9</f>
        <v>0.001757277651</v>
      </c>
      <c r="U22" s="75">
        <f>Model!U28/U9</f>
        <v>0.09277899865</v>
      </c>
      <c r="V22" s="75">
        <f>Model!V28/V9</f>
        <v>0.387170796</v>
      </c>
      <c r="W22" s="75">
        <f>Model!W28/W9</f>
        <v>0.1218815239</v>
      </c>
      <c r="X22" s="76">
        <f>Model!X28/X9</f>
        <v>0.394937592</v>
      </c>
    </row>
    <row r="23">
      <c r="A23" s="77" t="s">
        <v>52</v>
      </c>
      <c r="B23" s="78"/>
      <c r="C23" s="79">
        <f>(4*Model!C28)/C12</f>
        <v>0.1020275176</v>
      </c>
      <c r="D23" s="79">
        <f>(4*Model!D28)/D12</f>
        <v>0.04075952423</v>
      </c>
      <c r="E23" s="79">
        <f>(4*Model!E28)/E12</f>
        <v>0.3401893944</v>
      </c>
      <c r="F23" s="79">
        <f>(4*Model!F28)/F12</f>
        <v>0.2482745265</v>
      </c>
      <c r="G23" s="79">
        <f>(4*Model!G28)/G12</f>
        <v>0.3150817008</v>
      </c>
      <c r="H23" s="79">
        <f>(4*Model!H28)/H12</f>
        <v>0.4257583416</v>
      </c>
      <c r="I23" s="79">
        <f>(4*Model!I28)/I12</f>
        <v>0.8529546288</v>
      </c>
      <c r="J23" s="79">
        <f>(4*Model!J28)/J12</f>
        <v>0.531834771</v>
      </c>
      <c r="K23" s="80">
        <f>(4*Model!K28)/K12</f>
        <v>0.2947640509</v>
      </c>
      <c r="M23" s="63">
        <f>Model!M28/M12</f>
        <v>0.1846287064</v>
      </c>
      <c r="N23" s="61">
        <f>Model!N28/N12</f>
        <v>0.2303289136</v>
      </c>
      <c r="O23" s="61">
        <f>Model!O28/O12</f>
        <v>0.3466977558</v>
      </c>
      <c r="P23" s="61">
        <f>Model!P28/P12</f>
        <v>-0.08813216924</v>
      </c>
      <c r="Q23" s="61">
        <f>Model!Q28/Q12</f>
        <v>0.1320481081</v>
      </c>
      <c r="R23" s="61">
        <f>Model!R28/R12</f>
        <v>0.05562908287</v>
      </c>
      <c r="S23" s="61">
        <f>Model!S28/S12</f>
        <v>0.01815237576</v>
      </c>
      <c r="T23" s="61">
        <f>Model!T28/T12</f>
        <v>0.002132741432</v>
      </c>
      <c r="U23" s="61">
        <f>Model!U28/U12</f>
        <v>0.1199048301</v>
      </c>
      <c r="V23" s="61">
        <f>Model!V28/V12</f>
        <v>0.4701435092</v>
      </c>
      <c r="W23" s="61">
        <f>Model!W28/W12</f>
        <v>0.1481778678</v>
      </c>
      <c r="X23" s="62">
        <f>Model!X28/X12</f>
        <v>0.474756383</v>
      </c>
    </row>
    <row r="24">
      <c r="A24" s="81" t="s">
        <v>53</v>
      </c>
      <c r="B24" s="82"/>
      <c r="C24" s="83">
        <f>(4*(Model!C19-Model!C27))/(C5+C12)</f>
        <v>-1.757306076</v>
      </c>
      <c r="D24" s="83">
        <f>(4*(Model!D19-Model!D27))/(D5+D12)</f>
        <v>0.0214142678</v>
      </c>
      <c r="E24" s="83">
        <f>(4*(Model!E19-Model!E27))/(E5+E12)</f>
        <v>0.2881904798</v>
      </c>
      <c r="F24" s="83">
        <f>(4*(Model!F19-Model!F27))/(F5+F12)</f>
        <v>0.2296149842</v>
      </c>
      <c r="G24" s="83">
        <f>(4*(Model!G19-Model!G27))/(G5+G12)</f>
        <v>0.2919208052</v>
      </c>
      <c r="H24" s="83">
        <f>(4*(Model!H19-Model!H27))/(H5+H12)</f>
        <v>0.4045054236</v>
      </c>
      <c r="I24" s="83">
        <f>(4*(Model!I19-Model!I27))/(I5+I12)</f>
        <v>0.8071177144</v>
      </c>
      <c r="J24" s="83">
        <f>(4*(Model!J19-Model!J27))/(J5+J12)</f>
        <v>0.5047920608</v>
      </c>
      <c r="K24" s="84">
        <f>(4*(Model!K19-Model!K27))/(K5+K12)</f>
        <v>0.2739181107</v>
      </c>
      <c r="M24" s="67">
        <f>(Model!M19-Model!M27)/(M5+M12)</f>
        <v>0.1456223611</v>
      </c>
      <c r="N24" s="65">
        <f>(Model!N19-Model!N27)/(N5+N12)</f>
        <v>0.2026773747</v>
      </c>
      <c r="O24" s="65">
        <f>(Model!O19-Model!O27)/(O5+O12)</f>
        <v>0.3249605282</v>
      </c>
      <c r="P24" s="65">
        <f>(Model!P19-Model!P27)/(P5+P12)</f>
        <v>-0.1084250523</v>
      </c>
      <c r="Q24" s="65">
        <f>(Model!Q19-Model!Q27)/(Q5+Q12)</f>
        <v>0.116395126</v>
      </c>
      <c r="R24" s="65">
        <f>(Model!R19-Model!R27)/(R5+R12)</f>
        <v>0.030347361</v>
      </c>
      <c r="S24" s="65">
        <f>(Model!S19-Model!S27)/(S5+S12)</f>
        <v>-0.0004575729814</v>
      </c>
      <c r="T24" s="65">
        <f>(Model!T19-Model!T27)/(T5+T12)</f>
        <v>-0.01407510607</v>
      </c>
      <c r="U24" s="65">
        <f>(Model!U19-Model!U27)/(U5+U12)</f>
        <v>0.0995544796</v>
      </c>
      <c r="V24" s="65">
        <f>(Model!V19-Model!V27)/(V5+V12)</f>
        <v>0.4509913437</v>
      </c>
      <c r="W24" s="65">
        <f>(Model!W19-Model!W27)/(W5+W12)</f>
        <v>0.1217349835</v>
      </c>
      <c r="X24" s="66">
        <f>(Model!X19-Model!X27)/(X5+X12)</f>
        <v>0.4488005721</v>
      </c>
    </row>
    <row r="25">
      <c r="A25" s="2"/>
      <c r="B25" s="85"/>
      <c r="C25" s="85"/>
      <c r="D25" s="85"/>
      <c r="E25" s="85"/>
      <c r="F25" s="85"/>
      <c r="G25" s="85"/>
      <c r="H25" s="85"/>
      <c r="I25" s="85"/>
      <c r="J25" s="85"/>
      <c r="K25" s="85"/>
    </row>
    <row r="26">
      <c r="A26" s="86" t="s">
        <v>54</v>
      </c>
      <c r="B26" s="87">
        <f t="shared" ref="B26:F26" si="14">B8/B10</f>
        <v>6.156180396</v>
      </c>
      <c r="C26" s="88">
        <f t="shared" si="14"/>
        <v>8.419379342</v>
      </c>
      <c r="D26" s="88">
        <f t="shared" si="14"/>
        <v>6.918224557</v>
      </c>
      <c r="E26" s="88">
        <f t="shared" si="14"/>
        <v>5.645127939</v>
      </c>
      <c r="F26" s="88">
        <f t="shared" si="14"/>
        <v>5.452808648</v>
      </c>
      <c r="G26" s="88">
        <f>G8/G11</f>
        <v>2.73651631</v>
      </c>
      <c r="H26" s="88">
        <f t="shared" ref="H26:K26" si="15">H8/H10</f>
        <v>5.463430629</v>
      </c>
      <c r="I26" s="88">
        <f t="shared" si="15"/>
        <v>3.861094347</v>
      </c>
      <c r="J26" s="89">
        <f t="shared" si="15"/>
        <v>6.382279786</v>
      </c>
      <c r="K26" s="89">
        <f t="shared" si="15"/>
        <v>6.841441595</v>
      </c>
      <c r="L26" s="85"/>
      <c r="M26" s="87">
        <f t="shared" ref="M26:X26" si="16">M8/M10</f>
        <v>3.677863932</v>
      </c>
      <c r="N26" s="88">
        <f t="shared" si="16"/>
        <v>5.012152128</v>
      </c>
      <c r="O26" s="88">
        <f t="shared" si="16"/>
        <v>7.504799223</v>
      </c>
      <c r="P26" s="88">
        <f t="shared" si="16"/>
        <v>6.74416735</v>
      </c>
      <c r="Q26" s="88">
        <f t="shared" si="16"/>
        <v>5.448172258</v>
      </c>
      <c r="R26" s="88">
        <f t="shared" si="16"/>
        <v>7.579438504</v>
      </c>
      <c r="S26" s="88">
        <f t="shared" si="16"/>
        <v>5.604573796</v>
      </c>
      <c r="T26" s="88">
        <f t="shared" si="16"/>
        <v>5.77079148</v>
      </c>
      <c r="U26" s="88">
        <f t="shared" si="16"/>
        <v>3.582090603</v>
      </c>
      <c r="V26" s="88">
        <f t="shared" si="16"/>
        <v>6.156180396</v>
      </c>
      <c r="W26" s="88">
        <f t="shared" si="16"/>
        <v>5.452808648</v>
      </c>
      <c r="X26" s="89">
        <f t="shared" si="16"/>
        <v>6.382279786</v>
      </c>
    </row>
    <row r="27">
      <c r="A27" s="90" t="s">
        <v>55</v>
      </c>
      <c r="B27" s="91">
        <f t="shared" ref="B27:K27" si="17">(B6+B7)/B10</f>
        <v>2.260541452</v>
      </c>
      <c r="C27" s="85">
        <f t="shared" si="17"/>
        <v>3.843158045</v>
      </c>
      <c r="D27" s="85">
        <f t="shared" si="17"/>
        <v>3.427949046</v>
      </c>
      <c r="E27" s="85">
        <f t="shared" si="17"/>
        <v>2.688936385</v>
      </c>
      <c r="F27" s="85">
        <f t="shared" si="17"/>
        <v>1.757770821</v>
      </c>
      <c r="G27" s="85">
        <f t="shared" si="17"/>
        <v>1.394400996</v>
      </c>
      <c r="H27" s="85">
        <f t="shared" si="17"/>
        <v>1.716534165</v>
      </c>
      <c r="I27" s="85">
        <f t="shared" si="17"/>
        <v>1.802049223</v>
      </c>
      <c r="J27" s="92">
        <f t="shared" si="17"/>
        <v>2.50267697</v>
      </c>
      <c r="K27" s="92">
        <f t="shared" si="17"/>
        <v>1.832806695</v>
      </c>
      <c r="L27" s="85"/>
      <c r="M27" s="91">
        <f t="shared" ref="M27:X27" si="18">(M6+M7)/M10</f>
        <v>0.8425776831</v>
      </c>
      <c r="N27" s="85">
        <f t="shared" si="18"/>
        <v>1.089594863</v>
      </c>
      <c r="O27" s="85">
        <f t="shared" si="18"/>
        <v>1.298055146</v>
      </c>
      <c r="P27" s="85">
        <f t="shared" si="18"/>
        <v>2.083581997</v>
      </c>
      <c r="Q27" s="85">
        <f t="shared" si="18"/>
        <v>1.245108403</v>
      </c>
      <c r="R27" s="85">
        <f t="shared" si="18"/>
        <v>1.882427543</v>
      </c>
      <c r="S27" s="85">
        <f t="shared" si="18"/>
        <v>1.894175976</v>
      </c>
      <c r="T27" s="85">
        <f t="shared" si="18"/>
        <v>2.042143468</v>
      </c>
      <c r="U27" s="85">
        <f t="shared" si="18"/>
        <v>1.507997877</v>
      </c>
      <c r="V27" s="85">
        <f t="shared" si="18"/>
        <v>2.260541452</v>
      </c>
      <c r="W27" s="85">
        <f t="shared" si="18"/>
        <v>1.757770821</v>
      </c>
      <c r="X27" s="92">
        <f t="shared" si="18"/>
        <v>2.50267697</v>
      </c>
    </row>
    <row r="28">
      <c r="A28" s="93" t="s">
        <v>56</v>
      </c>
      <c r="B28" s="94">
        <f t="shared" ref="B28:K28" si="19">B5/B12</f>
        <v>0</v>
      </c>
      <c r="C28" s="95">
        <f t="shared" si="19"/>
        <v>0</v>
      </c>
      <c r="D28" s="95">
        <f t="shared" si="19"/>
        <v>0</v>
      </c>
      <c r="E28" s="95">
        <f t="shared" si="19"/>
        <v>0</v>
      </c>
      <c r="F28" s="95">
        <f t="shared" si="19"/>
        <v>0</v>
      </c>
      <c r="G28" s="95">
        <f t="shared" si="19"/>
        <v>0</v>
      </c>
      <c r="H28" s="95">
        <f t="shared" si="19"/>
        <v>0</v>
      </c>
      <c r="I28" s="95">
        <f t="shared" si="19"/>
        <v>0</v>
      </c>
      <c r="J28" s="96">
        <f t="shared" si="19"/>
        <v>0</v>
      </c>
      <c r="K28" s="96">
        <f t="shared" si="19"/>
        <v>0</v>
      </c>
      <c r="L28" s="85"/>
      <c r="M28" s="94">
        <f t="shared" ref="M28:X28" si="20">M5/M12</f>
        <v>0.08554422484</v>
      </c>
      <c r="N28" s="95">
        <f t="shared" si="20"/>
        <v>0.0579012209</v>
      </c>
      <c r="O28" s="95">
        <f t="shared" si="20"/>
        <v>0.01008327147</v>
      </c>
      <c r="P28" s="95">
        <f t="shared" si="20"/>
        <v>0.007238662724</v>
      </c>
      <c r="Q28" s="95">
        <f t="shared" si="20"/>
        <v>0.002672437066</v>
      </c>
      <c r="R28" s="95">
        <f t="shared" si="20"/>
        <v>0</v>
      </c>
      <c r="S28" s="95">
        <f t="shared" si="20"/>
        <v>0</v>
      </c>
      <c r="T28" s="95">
        <f t="shared" si="20"/>
        <v>0</v>
      </c>
      <c r="U28" s="95">
        <f t="shared" si="20"/>
        <v>0</v>
      </c>
      <c r="V28" s="95">
        <f t="shared" si="20"/>
        <v>0</v>
      </c>
      <c r="W28" s="95">
        <f t="shared" si="20"/>
        <v>0</v>
      </c>
      <c r="X28" s="96">
        <f t="shared" si="20"/>
        <v>0</v>
      </c>
    </row>
    <row r="30">
      <c r="A30" s="97" t="s">
        <v>57</v>
      </c>
      <c r="B30" s="97" t="s">
        <v>58</v>
      </c>
      <c r="C30" s="98" t="s">
        <v>59</v>
      </c>
      <c r="F30" s="2"/>
    </row>
    <row r="31">
      <c r="B31" s="99" t="s">
        <v>60</v>
      </c>
      <c r="K31" s="99"/>
    </row>
    <row r="32">
      <c r="K32" s="99"/>
    </row>
    <row r="33">
      <c r="K33" s="99"/>
    </row>
    <row r="34">
      <c r="K34" s="99"/>
    </row>
    <row r="35">
      <c r="K35" s="99"/>
    </row>
  </sheetData>
  <mergeCells count="1">
    <mergeCell ref="B31:J35"/>
  </mergeCells>
  <dataValidations>
    <dataValidation type="custom" allowBlank="1" showDropDown="1" sqref="M3:X12 G3:I12">
      <formula1>AND(ISNUMBER(G3),(NOT(OR(NOT(ISERROR(DATEVALUE(G3))), AND(ISNUMBER(G3), LEFT(CELL("format", G3))="D")))))</formula1>
    </dataValidation>
  </dataValidations>
  <hyperlinks>
    <hyperlink r:id="rId1" ref="C30"/>
  </hyperlinks>
  <drawing r:id="rId2"/>
  <tableParts count="2">
    <tablePart r:id="rId5"/>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88"/>
    <col customWidth="1" min="13" max="13" width="15.25"/>
    <col customWidth="1" min="26" max="30" width="20.5"/>
  </cols>
  <sheetData>
    <row r="1">
      <c r="A1" s="100"/>
      <c r="B1" s="101" t="s">
        <v>12</v>
      </c>
      <c r="C1" s="101" t="s">
        <v>13</v>
      </c>
      <c r="D1" s="101" t="s">
        <v>14</v>
      </c>
      <c r="E1" s="101" t="s">
        <v>15</v>
      </c>
      <c r="F1" s="102" t="s">
        <v>16</v>
      </c>
      <c r="G1" s="101" t="s">
        <v>17</v>
      </c>
      <c r="H1" s="101" t="s">
        <v>18</v>
      </c>
      <c r="I1" s="101" t="s">
        <v>19</v>
      </c>
      <c r="J1" s="101" t="s">
        <v>20</v>
      </c>
      <c r="K1" s="101" t="s">
        <v>21</v>
      </c>
      <c r="L1" s="103"/>
      <c r="M1" s="104">
        <v>2014.0</v>
      </c>
      <c r="N1" s="104">
        <v>2015.0</v>
      </c>
      <c r="O1" s="104">
        <v>2016.0</v>
      </c>
      <c r="P1" s="104">
        <v>2017.0</v>
      </c>
      <c r="Q1" s="104">
        <v>2018.0</v>
      </c>
      <c r="R1" s="104">
        <v>2019.0</v>
      </c>
      <c r="S1" s="104">
        <v>2020.0</v>
      </c>
      <c r="T1" s="104">
        <v>2021.0</v>
      </c>
      <c r="U1" s="104">
        <v>2022.0</v>
      </c>
      <c r="V1" s="104">
        <v>2023.0</v>
      </c>
      <c r="W1" s="104">
        <v>2024.0</v>
      </c>
      <c r="X1" s="104">
        <v>2025.0</v>
      </c>
      <c r="Y1" s="105">
        <v>2026.0</v>
      </c>
      <c r="Z1" s="100"/>
      <c r="AA1" s="100"/>
      <c r="AB1" s="100"/>
      <c r="AC1" s="100"/>
      <c r="AD1" s="100"/>
    </row>
    <row r="2">
      <c r="A2" s="106" t="s">
        <v>61</v>
      </c>
      <c r="B2" s="107" t="str">
        <f t="shared" ref="B2:E2" si="1">B6/B4</f>
        <v>#DIV/0!</v>
      </c>
      <c r="C2" s="107">
        <f t="shared" si="1"/>
        <v>181531023.4</v>
      </c>
      <c r="D2" s="107">
        <f t="shared" si="1"/>
        <v>192454732.5</v>
      </c>
      <c r="E2" s="107">
        <f t="shared" si="1"/>
        <v>192202137.5</v>
      </c>
      <c r="F2" s="107">
        <v>1.8049910657499218E8</v>
      </c>
      <c r="G2" s="107">
        <f t="shared" ref="G2:I2" si="2">G6/G4</f>
        <v>199973597.4</v>
      </c>
      <c r="H2" s="107">
        <f t="shared" si="2"/>
        <v>209612980</v>
      </c>
      <c r="I2" s="107">
        <f t="shared" si="2"/>
        <v>213268569</v>
      </c>
      <c r="J2" s="107">
        <v>1.895408536572008E8</v>
      </c>
      <c r="K2" s="107">
        <f t="shared" ref="K2:K3" si="5">K6/K4</f>
        <v>199267822</v>
      </c>
      <c r="L2" s="108"/>
      <c r="M2" s="107">
        <v>8.12031E8</v>
      </c>
      <c r="N2" s="107">
        <v>8.3077E8</v>
      </c>
      <c r="O2" s="107">
        <v>7.91058E8</v>
      </c>
      <c r="P2" s="107">
        <v>7.78538E8</v>
      </c>
      <c r="Q2" s="107">
        <v>7.80362E8</v>
      </c>
      <c r="R2" s="107">
        <v>7.78052E8</v>
      </c>
      <c r="S2" s="107">
        <v>8.13255E8</v>
      </c>
      <c r="T2" s="107">
        <v>7.85446E8</v>
      </c>
      <c r="U2" s="107">
        <v>7.47914E8</v>
      </c>
      <c r="V2" s="107">
        <v>7.49076E8</v>
      </c>
      <c r="W2" s="107">
        <v>7.46687E8</v>
      </c>
      <c r="X2" s="107">
        <v>8.12396E8</v>
      </c>
      <c r="Y2" s="52">
        <f t="shared" ref="Y2:Y3" si="6">X2</f>
        <v>812396000</v>
      </c>
    </row>
    <row r="3">
      <c r="A3" s="106" t="s">
        <v>62</v>
      </c>
      <c r="B3" s="107" t="str">
        <f t="shared" ref="B3:E3" si="3">B7/B5</f>
        <v>#DIV/0!</v>
      </c>
      <c r="C3" s="107">
        <f t="shared" si="3"/>
        <v>93671334.95</v>
      </c>
      <c r="D3" s="107">
        <f t="shared" si="3"/>
        <v>95698287.22</v>
      </c>
      <c r="E3" s="107">
        <f t="shared" si="3"/>
        <v>108609937.9</v>
      </c>
      <c r="F3" s="107">
        <v>1.0296643994249761E8</v>
      </c>
      <c r="G3" s="107">
        <f t="shared" ref="G3:I3" si="4">G7/G5</f>
        <v>109968736.6</v>
      </c>
      <c r="H3" s="107">
        <f t="shared" si="4"/>
        <v>120222036</v>
      </c>
      <c r="I3" s="107">
        <f t="shared" si="4"/>
        <v>118155172.4</v>
      </c>
      <c r="J3" s="107">
        <v>1.2186905494101691E8</v>
      </c>
      <c r="K3" s="107">
        <f t="shared" si="5"/>
        <v>118303839.7</v>
      </c>
      <c r="L3" s="108"/>
      <c r="M3" s="107">
        <v>1.74364E8</v>
      </c>
      <c r="N3" s="107">
        <v>2.10606E8</v>
      </c>
      <c r="O3" s="107">
        <v>2.41603E8</v>
      </c>
      <c r="P3" s="107">
        <v>2.36067E8</v>
      </c>
      <c r="Q3" s="107">
        <v>2.44022E8</v>
      </c>
      <c r="R3" s="107">
        <v>2.60848E8</v>
      </c>
      <c r="S3" s="107">
        <v>2.55985E8</v>
      </c>
      <c r="T3" s="107">
        <v>2.87765E8</v>
      </c>
      <c r="U3" s="107">
        <v>3.35875E8</v>
      </c>
      <c r="V3" s="107">
        <v>3.98297E8</v>
      </c>
      <c r="W3" s="107">
        <v>4.00946E8</v>
      </c>
      <c r="X3" s="107">
        <v>4.70215E8</v>
      </c>
      <c r="Y3" s="52">
        <f t="shared" si="6"/>
        <v>470215000</v>
      </c>
    </row>
    <row r="4">
      <c r="A4" s="109" t="s">
        <v>63</v>
      </c>
      <c r="B4" s="110"/>
      <c r="C4" s="110">
        <v>1.241</v>
      </c>
      <c r="D4" s="110">
        <v>1.458</v>
      </c>
      <c r="E4" s="110">
        <v>2.152</v>
      </c>
      <c r="F4" s="110">
        <v>2.062309376835297</v>
      </c>
      <c r="G4" s="110">
        <v>2.424</v>
      </c>
      <c r="H4" s="110">
        <v>2.943</v>
      </c>
      <c r="I4" s="110">
        <v>4.766</v>
      </c>
      <c r="J4" s="110">
        <v>3.784714409366315</v>
      </c>
      <c r="K4" s="110">
        <v>2.539</v>
      </c>
      <c r="L4" s="111"/>
      <c r="M4" s="112">
        <f t="shared" ref="M4:O4" si="7">M6/M2</f>
        <v>1.219255176</v>
      </c>
      <c r="N4" s="112">
        <f t="shared" si="7"/>
        <v>1.274805301</v>
      </c>
      <c r="O4" s="112">
        <f t="shared" si="7"/>
        <v>1.571789932</v>
      </c>
      <c r="P4" s="110">
        <v>0.705</v>
      </c>
      <c r="Q4" s="110">
        <v>1.226</v>
      </c>
      <c r="R4" s="110">
        <v>1.041</v>
      </c>
      <c r="S4" s="110">
        <v>1.021</v>
      </c>
      <c r="T4" s="110">
        <v>0.976</v>
      </c>
      <c r="U4" s="110">
        <v>1.42</v>
      </c>
      <c r="V4" s="110">
        <v>2.739</v>
      </c>
      <c r="W4" s="110">
        <v>1.73</v>
      </c>
      <c r="X4" s="110">
        <v>3.49</v>
      </c>
      <c r="Y4" s="113">
        <v>1.2</v>
      </c>
      <c r="Z4" s="114"/>
      <c r="AA4" s="114"/>
      <c r="AB4" s="114"/>
      <c r="AC4" s="114"/>
      <c r="AD4" s="114"/>
    </row>
    <row r="5">
      <c r="A5" s="115" t="s">
        <v>64</v>
      </c>
      <c r="B5" s="116"/>
      <c r="C5" s="116">
        <v>2.2278</v>
      </c>
      <c r="D5" s="116">
        <v>2.277</v>
      </c>
      <c r="E5" s="116">
        <v>2.415</v>
      </c>
      <c r="F5" s="116">
        <v>2.299642486738737</v>
      </c>
      <c r="G5" s="116">
        <v>2.335</v>
      </c>
      <c r="H5" s="116">
        <v>2.387</v>
      </c>
      <c r="I5" s="116">
        <v>2.784</v>
      </c>
      <c r="J5" s="116">
        <v>2.558450955009911</v>
      </c>
      <c r="K5" s="116">
        <v>2.396</v>
      </c>
      <c r="L5" s="111"/>
      <c r="M5" s="117">
        <f t="shared" ref="M5:O5" si="8">M7/M3</f>
        <v>1.934132046</v>
      </c>
      <c r="N5" s="117">
        <f t="shared" si="8"/>
        <v>1.975855389</v>
      </c>
      <c r="O5" s="117">
        <f t="shared" si="8"/>
        <v>2.213358278</v>
      </c>
      <c r="P5" s="116">
        <v>1.939</v>
      </c>
      <c r="Q5" s="116">
        <v>1.916</v>
      </c>
      <c r="R5" s="116">
        <v>1.933</v>
      </c>
      <c r="S5" s="116">
        <v>1.897</v>
      </c>
      <c r="T5" s="116">
        <v>1.876</v>
      </c>
      <c r="U5" s="116">
        <v>1.932</v>
      </c>
      <c r="V5" s="116">
        <v>2.403</v>
      </c>
      <c r="W5" s="116">
        <v>2.309</v>
      </c>
      <c r="X5" s="116">
        <v>2.519</v>
      </c>
      <c r="Y5" s="113">
        <v>1.9</v>
      </c>
      <c r="Z5" s="114"/>
      <c r="AA5" s="114"/>
      <c r="AB5" s="114"/>
      <c r="AC5" s="114"/>
      <c r="AD5" s="114"/>
    </row>
    <row r="6">
      <c r="A6" s="2" t="s">
        <v>65</v>
      </c>
      <c r="B6" s="43">
        <v>3.95433E8</v>
      </c>
      <c r="C6" s="43">
        <v>2.2528E8</v>
      </c>
      <c r="D6" s="43">
        <v>2.80599E8</v>
      </c>
      <c r="E6" s="43">
        <v>4.13619E8</v>
      </c>
      <c r="F6" s="43">
        <v>3.72245E8</v>
      </c>
      <c r="G6" s="43">
        <v>4.84736E8</v>
      </c>
      <c r="H6" s="43">
        <v>6.16891E8</v>
      </c>
      <c r="I6" s="43">
        <v>1.016438E9</v>
      </c>
      <c r="J6" s="43">
        <f>2835423000-I6-H6-G6</f>
        <v>717358000</v>
      </c>
      <c r="K6" s="43">
        <v>5.05941E8</v>
      </c>
      <c r="L6" s="118"/>
      <c r="M6" s="43">
        <v>9.90073E8</v>
      </c>
      <c r="N6" s="43">
        <v>1.05907E9</v>
      </c>
      <c r="O6" s="43">
        <v>1.243377E9</v>
      </c>
      <c r="P6" s="53">
        <f t="shared" ref="P6:Q6" si="9">P2*P4</f>
        <v>548869290</v>
      </c>
      <c r="Q6" s="53">
        <f t="shared" si="9"/>
        <v>956723812</v>
      </c>
      <c r="R6" s="43">
        <v>8.10306E8</v>
      </c>
      <c r="S6" s="53">
        <f t="shared" ref="S6:Y6" si="10">S2*S4</f>
        <v>830333355</v>
      </c>
      <c r="T6" s="53">
        <f t="shared" si="10"/>
        <v>766595296</v>
      </c>
      <c r="U6" s="53">
        <f t="shared" si="10"/>
        <v>1062037880</v>
      </c>
      <c r="V6" s="53">
        <f t="shared" si="10"/>
        <v>2051719164</v>
      </c>
      <c r="W6" s="53">
        <f t="shared" si="10"/>
        <v>1291768510</v>
      </c>
      <c r="X6" s="53">
        <f t="shared" si="10"/>
        <v>2835262040</v>
      </c>
      <c r="Y6" s="52">
        <f t="shared" si="10"/>
        <v>974875200</v>
      </c>
    </row>
    <row r="7">
      <c r="A7" s="2" t="s">
        <v>66</v>
      </c>
      <c r="B7" s="119">
        <v>2.5619E8</v>
      </c>
      <c r="C7" s="119">
        <v>2.08681E8</v>
      </c>
      <c r="D7" s="119">
        <v>2.17905E8</v>
      </c>
      <c r="E7" s="119">
        <v>2.62293E8</v>
      </c>
      <c r="F7" s="119">
        <v>2.36786E8</v>
      </c>
      <c r="G7" s="119">
        <v>2.56777E8</v>
      </c>
      <c r="H7" s="119">
        <v>2.8697E8</v>
      </c>
      <c r="I7" s="119">
        <v>3.28944E8</v>
      </c>
      <c r="J7" s="119">
        <f>1184487000-I7-H7-G7</f>
        <v>311796000</v>
      </c>
      <c r="K7" s="43">
        <v>2.83456E8</v>
      </c>
      <c r="L7" s="118"/>
      <c r="M7" s="119">
        <v>3.37243E8</v>
      </c>
      <c r="N7" s="119">
        <v>4.16127E8</v>
      </c>
      <c r="O7" s="119">
        <v>5.34754E8</v>
      </c>
      <c r="P7" s="120">
        <f t="shared" ref="P7:Q7" si="11">P3*P5</f>
        <v>457733913</v>
      </c>
      <c r="Q7" s="120">
        <f t="shared" si="11"/>
        <v>467546152</v>
      </c>
      <c r="R7" s="119">
        <v>5.04169E8</v>
      </c>
      <c r="S7" s="120">
        <f t="shared" ref="S7:Y7" si="12">S3*S5</f>
        <v>485603545</v>
      </c>
      <c r="T7" s="120">
        <f t="shared" si="12"/>
        <v>539847140</v>
      </c>
      <c r="U7" s="120">
        <f t="shared" si="12"/>
        <v>648910500</v>
      </c>
      <c r="V7" s="120">
        <f t="shared" si="12"/>
        <v>957107691</v>
      </c>
      <c r="W7" s="120">
        <f t="shared" si="12"/>
        <v>925784314</v>
      </c>
      <c r="X7" s="120">
        <f t="shared" si="12"/>
        <v>1184471585</v>
      </c>
      <c r="Y7" s="52">
        <f t="shared" si="12"/>
        <v>893408500</v>
      </c>
    </row>
    <row r="8">
      <c r="A8" s="121" t="s">
        <v>67</v>
      </c>
      <c r="B8" s="122"/>
      <c r="C8" s="122"/>
      <c r="D8" s="122"/>
      <c r="E8" s="122"/>
      <c r="F8" s="122"/>
      <c r="G8" s="122">
        <v>8938000.0</v>
      </c>
      <c r="H8" s="122"/>
      <c r="I8" s="122"/>
      <c r="J8" s="122"/>
      <c r="K8" s="122">
        <v>8.3936E7</v>
      </c>
      <c r="L8" s="123"/>
      <c r="M8" s="124"/>
      <c r="N8" s="124"/>
      <c r="O8" s="124"/>
      <c r="P8" s="124"/>
      <c r="Q8" s="124"/>
      <c r="R8" s="124"/>
      <c r="S8" s="122"/>
      <c r="T8" s="122"/>
      <c r="U8" s="122"/>
      <c r="V8" s="122"/>
      <c r="W8" s="122"/>
      <c r="X8" s="122"/>
      <c r="Y8" s="125"/>
      <c r="AC8" s="126"/>
      <c r="AD8" s="126"/>
    </row>
    <row r="9">
      <c r="A9" s="2" t="s">
        <v>68</v>
      </c>
      <c r="B9" s="43">
        <v>3.3996E7</v>
      </c>
      <c r="C9" s="43">
        <v>2.2223E7</v>
      </c>
      <c r="D9" s="43">
        <v>2.0012E7</v>
      </c>
      <c r="E9" s="43">
        <v>2.1759E7</v>
      </c>
      <c r="F9" s="43">
        <v>2.5015E7</v>
      </c>
      <c r="G9" s="43">
        <v>2.6237E7</v>
      </c>
      <c r="H9" s="43">
        <v>4.0651E7</v>
      </c>
      <c r="I9" s="43">
        <v>6.1024E7</v>
      </c>
      <c r="J9" s="43">
        <f>198833300-I9-H9-G9</f>
        <v>70921300</v>
      </c>
      <c r="K9" s="43">
        <v>3.7107E7</v>
      </c>
      <c r="L9" s="118"/>
      <c r="M9" s="53"/>
      <c r="N9" s="43">
        <v>4.3282E7</v>
      </c>
      <c r="O9" s="43">
        <v>4.9282E7</v>
      </c>
      <c r="P9" s="43">
        <v>3.2689E7</v>
      </c>
      <c r="Q9" s="43">
        <v>2.6092E7</v>
      </c>
      <c r="R9" s="43">
        <v>4.1508E7</v>
      </c>
      <c r="S9" s="43">
        <v>3.1414E7</v>
      </c>
      <c r="T9" s="43">
        <v>3.67333E7</v>
      </c>
      <c r="U9" s="43">
        <v>6.0004E7</v>
      </c>
      <c r="V9" s="43">
        <v>1.2227E8</v>
      </c>
      <c r="W9" s="43">
        <v>8.9009E7</v>
      </c>
      <c r="X9" s="43">
        <v>1.988333E8</v>
      </c>
      <c r="Y9" s="125">
        <v>1.5E8</v>
      </c>
    </row>
    <row r="10">
      <c r="A10" s="2" t="s">
        <v>69</v>
      </c>
      <c r="B10" s="43">
        <v>3061000.0</v>
      </c>
      <c r="C10" s="43">
        <v>3160000.0</v>
      </c>
      <c r="D10" s="43">
        <v>4718000.0</v>
      </c>
      <c r="E10" s="43">
        <v>5405000.0</v>
      </c>
      <c r="F10" s="43">
        <v>6743000.0</v>
      </c>
      <c r="G10" s="43">
        <v>9183000.0</v>
      </c>
      <c r="H10" s="43">
        <v>1.0159E7</v>
      </c>
      <c r="I10" s="43">
        <v>1.1279E7</v>
      </c>
      <c r="J10" s="43">
        <f>43142000-I10-H10-G10</f>
        <v>12521000</v>
      </c>
      <c r="K10" s="43">
        <v>1.2162E7</v>
      </c>
      <c r="L10" s="118"/>
      <c r="M10" s="43">
        <v>2.7301E7</v>
      </c>
      <c r="N10" s="43">
        <v>1.1769E7</v>
      </c>
      <c r="O10" s="43">
        <v>1.0533E7</v>
      </c>
      <c r="P10" s="43">
        <v>1.0423E7</v>
      </c>
      <c r="Q10" s="43">
        <v>8943000.0</v>
      </c>
      <c r="R10" s="43">
        <v>5205000.0</v>
      </c>
      <c r="S10" s="43">
        <v>4452000.0</v>
      </c>
      <c r="T10" s="43">
        <v>6.3627E7</v>
      </c>
      <c r="U10" s="43">
        <v>6322000.0</v>
      </c>
      <c r="V10" s="43">
        <v>1.4993E7</v>
      </c>
      <c r="W10" s="43">
        <v>2.0026E7</v>
      </c>
      <c r="X10" s="43">
        <v>4.3142E7</v>
      </c>
      <c r="Y10" s="125">
        <v>4.0E7</v>
      </c>
    </row>
    <row r="11">
      <c r="A11" s="127" t="s">
        <v>70</v>
      </c>
      <c r="B11" s="128">
        <f>SUM(B6:B10)</f>
        <v>688680000</v>
      </c>
      <c r="C11" s="128">
        <v>4.59344E8</v>
      </c>
      <c r="D11" s="128">
        <v>5.23234E8</v>
      </c>
      <c r="E11" s="128">
        <v>7.03076E8</v>
      </c>
      <c r="F11" s="129">
        <f>2326443000-E11-D11-C11</f>
        <v>640789000</v>
      </c>
      <c r="G11" s="128">
        <v>7.85871E8</v>
      </c>
      <c r="H11" s="128">
        <v>9.54671E8</v>
      </c>
      <c r="I11" s="128">
        <v>1.417685E9</v>
      </c>
      <c r="J11" s="128">
        <f>4261885000-I11-H11-G11</f>
        <v>1103658000</v>
      </c>
      <c r="K11" s="128">
        <v>9.22602E8</v>
      </c>
      <c r="L11" s="130"/>
      <c r="M11" s="128">
        <v>1.440907E9</v>
      </c>
      <c r="N11" s="128">
        <v>1.576128E9</v>
      </c>
      <c r="O11" s="128">
        <v>1.90865E9</v>
      </c>
      <c r="P11" s="128">
        <v>1.074513E9</v>
      </c>
      <c r="Q11" s="128">
        <v>1.502932E9</v>
      </c>
      <c r="R11" s="128">
        <v>1.361188E9</v>
      </c>
      <c r="S11" s="128">
        <v>1.351609E9</v>
      </c>
      <c r="T11" s="128">
        <v>1.348987E9</v>
      </c>
      <c r="U11" s="128">
        <v>1.777159E9</v>
      </c>
      <c r="V11" s="128">
        <v>3.146217E9</v>
      </c>
      <c r="W11" s="128">
        <v>2.316443E9</v>
      </c>
      <c r="X11" s="128">
        <v>4.261885E9</v>
      </c>
      <c r="Y11" s="131">
        <f>SUM(Y6:Y10)</f>
        <v>2058283700</v>
      </c>
      <c r="Z11" s="132"/>
      <c r="AA11" s="132"/>
      <c r="AB11" s="132"/>
      <c r="AC11" s="132"/>
      <c r="AD11" s="132"/>
    </row>
    <row r="12">
      <c r="A12" s="133" t="s">
        <v>71</v>
      </c>
      <c r="B12" s="43"/>
      <c r="C12" s="43">
        <v>4.13911E8</v>
      </c>
      <c r="D12" s="43">
        <v>4.32104E8</v>
      </c>
      <c r="E12" s="43">
        <v>4.84504E8</v>
      </c>
      <c r="F12" s="53">
        <f>1784872000-E12-D12-C12</f>
        <v>454353000</v>
      </c>
      <c r="G12" s="43">
        <v>5.38653E8</v>
      </c>
      <c r="H12" s="43">
        <v>5.98629E8</v>
      </c>
      <c r="I12" s="43">
        <v>7.0157E8</v>
      </c>
      <c r="J12" s="43">
        <f>2411000000-I12-H12-G12</f>
        <v>572148000</v>
      </c>
      <c r="K12" s="43">
        <v>6.11288E8</v>
      </c>
      <c r="L12" s="118"/>
      <c r="M12" s="43">
        <v>1.138143E9</v>
      </c>
      <c r="N12" s="43">
        <v>1.180407E9</v>
      </c>
      <c r="O12" s="43">
        <v>1.260576E9</v>
      </c>
      <c r="P12" s="43">
        <v>1.028963E9</v>
      </c>
      <c r="Q12" s="43">
        <v>1.141886E9</v>
      </c>
      <c r="R12" s="43">
        <v>1.138329E9</v>
      </c>
      <c r="S12" s="43">
        <v>1.172021E9</v>
      </c>
      <c r="T12" s="43">
        <v>1.188326E9</v>
      </c>
      <c r="U12" s="43">
        <v>1.4401E9</v>
      </c>
      <c r="V12" s="43">
        <v>1.94976E9</v>
      </c>
      <c r="W12" s="43">
        <v>1.784872E9</v>
      </c>
      <c r="X12" s="43">
        <v>2.411E9</v>
      </c>
      <c r="Y12" s="125">
        <v>1.4401E9</v>
      </c>
    </row>
    <row r="13">
      <c r="A13" s="127" t="s">
        <v>72</v>
      </c>
      <c r="B13" s="129"/>
      <c r="C13" s="129">
        <f t="shared" ref="C13:K13" si="13">C11-C12</f>
        <v>45433000</v>
      </c>
      <c r="D13" s="129">
        <f t="shared" si="13"/>
        <v>91130000</v>
      </c>
      <c r="E13" s="129">
        <f t="shared" si="13"/>
        <v>218572000</v>
      </c>
      <c r="F13" s="129">
        <f t="shared" si="13"/>
        <v>186436000</v>
      </c>
      <c r="G13" s="129">
        <f t="shared" si="13"/>
        <v>247218000</v>
      </c>
      <c r="H13" s="129">
        <f t="shared" si="13"/>
        <v>356042000</v>
      </c>
      <c r="I13" s="129">
        <f t="shared" si="13"/>
        <v>716115000</v>
      </c>
      <c r="J13" s="129">
        <f t="shared" si="13"/>
        <v>531510000</v>
      </c>
      <c r="K13" s="129">
        <f t="shared" si="13"/>
        <v>311314000</v>
      </c>
      <c r="L13" s="134"/>
      <c r="M13" s="129">
        <f t="shared" ref="M13:Y13" si="14">M11-M12</f>
        <v>302764000</v>
      </c>
      <c r="N13" s="129">
        <f t="shared" si="14"/>
        <v>395721000</v>
      </c>
      <c r="O13" s="129">
        <f t="shared" si="14"/>
        <v>648074000</v>
      </c>
      <c r="P13" s="129">
        <f t="shared" si="14"/>
        <v>45550000</v>
      </c>
      <c r="Q13" s="129">
        <f t="shared" si="14"/>
        <v>361046000</v>
      </c>
      <c r="R13" s="129">
        <f t="shared" si="14"/>
        <v>222859000</v>
      </c>
      <c r="S13" s="129">
        <f t="shared" si="14"/>
        <v>179588000</v>
      </c>
      <c r="T13" s="129">
        <f t="shared" si="14"/>
        <v>160661000</v>
      </c>
      <c r="U13" s="129">
        <f t="shared" si="14"/>
        <v>337059000</v>
      </c>
      <c r="V13" s="129">
        <f t="shared" si="14"/>
        <v>1196457000</v>
      </c>
      <c r="W13" s="129">
        <f t="shared" si="14"/>
        <v>531571000</v>
      </c>
      <c r="X13" s="129">
        <f t="shared" si="14"/>
        <v>1850885000</v>
      </c>
      <c r="Y13" s="131">
        <f t="shared" si="14"/>
        <v>618183700</v>
      </c>
      <c r="Z13" s="132"/>
      <c r="AA13" s="132"/>
      <c r="AB13" s="132"/>
      <c r="AC13" s="132"/>
      <c r="AD13" s="132"/>
    </row>
    <row r="14">
      <c r="A14" s="2" t="s">
        <v>73</v>
      </c>
      <c r="B14" s="43"/>
      <c r="C14" s="43">
        <v>5.2246E7</v>
      </c>
      <c r="D14" s="43">
        <v>7.6578E7</v>
      </c>
      <c r="E14" s="43">
        <v>6.602E7</v>
      </c>
      <c r="F14" s="53">
        <f>252625000-E14-D14-C14</f>
        <v>57781000</v>
      </c>
      <c r="G14" s="43">
        <v>6.1932E7</v>
      </c>
      <c r="H14" s="43">
        <v>7.7633E7</v>
      </c>
      <c r="I14" s="43">
        <v>7.9967E7</v>
      </c>
      <c r="J14" s="43">
        <f>314449000-I14-H14-G14</f>
        <v>94917000</v>
      </c>
      <c r="K14" s="43">
        <v>6.9514E7</v>
      </c>
      <c r="L14" s="118"/>
      <c r="M14" s="43">
        <v>1.56712E8</v>
      </c>
      <c r="N14" s="43">
        <v>1.60386E8</v>
      </c>
      <c r="O14" s="43">
        <v>1.7776E8</v>
      </c>
      <c r="P14" s="43">
        <v>1.7398E8</v>
      </c>
      <c r="Q14" s="43">
        <v>1.77148E8</v>
      </c>
      <c r="R14" s="43">
        <v>1.74795E8</v>
      </c>
      <c r="S14" s="43">
        <v>1.76237E8</v>
      </c>
      <c r="T14" s="43">
        <v>1.83943E8</v>
      </c>
      <c r="U14" s="43">
        <v>1.98631E8</v>
      </c>
      <c r="V14" s="43">
        <v>2.32207E8</v>
      </c>
      <c r="W14" s="43">
        <v>2.52625E8</v>
      </c>
      <c r="X14" s="2">
        <v>3.14449E8</v>
      </c>
      <c r="Y14" s="52">
        <f t="shared" ref="Y14:Y16" si="15">X14</f>
        <v>314449000</v>
      </c>
    </row>
    <row r="15">
      <c r="A15" s="2" t="s">
        <v>74</v>
      </c>
      <c r="B15" s="43"/>
      <c r="C15" s="43">
        <v>0.0</v>
      </c>
      <c r="D15" s="43">
        <v>0.0</v>
      </c>
      <c r="E15" s="43">
        <v>-9929000.0</v>
      </c>
      <c r="F15" s="43">
        <f>-23532000-E15</f>
        <v>-13603000</v>
      </c>
      <c r="G15" s="43">
        <v>146000.0</v>
      </c>
      <c r="H15" s="43">
        <v>10000.0</v>
      </c>
      <c r="I15" s="43">
        <v>0.0</v>
      </c>
      <c r="J15" s="43">
        <f>156000-I15-H15-G15</f>
        <v>0</v>
      </c>
      <c r="K15" s="43">
        <v>-7488000.0</v>
      </c>
      <c r="L15" s="118"/>
      <c r="M15" s="43">
        <v>0.0</v>
      </c>
      <c r="N15" s="43">
        <v>0.0</v>
      </c>
      <c r="O15" s="43">
        <v>0.0</v>
      </c>
      <c r="P15" s="43">
        <v>0.0</v>
      </c>
      <c r="Q15" s="43">
        <v>0.0</v>
      </c>
      <c r="R15" s="43">
        <v>0.0</v>
      </c>
      <c r="S15" s="43">
        <v>0.0</v>
      </c>
      <c r="T15" s="43">
        <v>0.0</v>
      </c>
      <c r="U15" s="43">
        <v>0.0</v>
      </c>
      <c r="V15" s="43">
        <v>-3345000.0</v>
      </c>
      <c r="W15" s="43">
        <v>-2.3532E7</v>
      </c>
      <c r="X15" s="43">
        <v>156000.0</v>
      </c>
      <c r="Y15" s="52">
        <f t="shared" si="15"/>
        <v>156000</v>
      </c>
    </row>
    <row r="16">
      <c r="A16" s="2" t="s">
        <v>75</v>
      </c>
      <c r="B16" s="43"/>
      <c r="C16" s="43">
        <v>-56000.0</v>
      </c>
      <c r="D16" s="43">
        <v>318000.0</v>
      </c>
      <c r="E16" s="43">
        <v>-306000.0</v>
      </c>
      <c r="F16" s="53">
        <f>26000-E16-D16-C16</f>
        <v>70000</v>
      </c>
      <c r="G16" s="43">
        <v>-1817000.0</v>
      </c>
      <c r="H16" s="43">
        <v>338000.0</v>
      </c>
      <c r="I16" s="43">
        <v>-478000.0</v>
      </c>
      <c r="J16" s="43">
        <f>-259000-I16-H16-G16</f>
        <v>1698000</v>
      </c>
      <c r="K16" s="43">
        <v>104000.0</v>
      </c>
      <c r="L16" s="118"/>
      <c r="M16" s="43">
        <v>0.0</v>
      </c>
      <c r="N16" s="43">
        <v>0.0</v>
      </c>
      <c r="O16" s="43">
        <v>0.0</v>
      </c>
      <c r="P16" s="43">
        <v>3664000.0</v>
      </c>
      <c r="Q16" s="43">
        <v>473000.0</v>
      </c>
      <c r="R16" s="43">
        <v>33000.0</v>
      </c>
      <c r="S16" s="43">
        <v>82000.0</v>
      </c>
      <c r="T16" s="43">
        <v>2982000.0</v>
      </c>
      <c r="U16" s="43">
        <v>-5109000.0</v>
      </c>
      <c r="V16" s="43">
        <v>-131000.0</v>
      </c>
      <c r="W16" s="43">
        <v>26000.0</v>
      </c>
      <c r="X16" s="43">
        <v>-259000.0</v>
      </c>
      <c r="Y16" s="52">
        <f t="shared" si="15"/>
        <v>-259000</v>
      </c>
    </row>
    <row r="17">
      <c r="A17" s="2" t="s">
        <v>76</v>
      </c>
      <c r="B17" s="43"/>
      <c r="C17" s="43"/>
      <c r="D17" s="43"/>
      <c r="E17" s="43"/>
      <c r="F17" s="53"/>
      <c r="G17" s="43"/>
      <c r="H17" s="43"/>
      <c r="I17" s="43"/>
      <c r="J17" s="43"/>
      <c r="K17" s="43"/>
      <c r="L17" s="118"/>
      <c r="M17" s="43">
        <v>0.0</v>
      </c>
      <c r="N17" s="43">
        <v>0.0</v>
      </c>
      <c r="O17" s="43">
        <v>0.0</v>
      </c>
      <c r="P17" s="43">
        <v>0.0</v>
      </c>
      <c r="Q17" s="43">
        <v>8.075E7</v>
      </c>
      <c r="R17" s="43">
        <v>2250000.0</v>
      </c>
      <c r="S17" s="43">
        <v>2000000.0</v>
      </c>
      <c r="T17" s="43">
        <v>0.0</v>
      </c>
      <c r="U17" s="43">
        <v>0.0</v>
      </c>
      <c r="V17" s="43">
        <v>0.0</v>
      </c>
      <c r="W17" s="43"/>
      <c r="X17" s="43"/>
      <c r="Y17" s="52"/>
    </row>
    <row r="18">
      <c r="A18" s="135" t="s">
        <v>77</v>
      </c>
      <c r="B18" s="46"/>
      <c r="C18" s="46">
        <f t="shared" ref="C18:K18" si="16">+C14+C15+C16</f>
        <v>52190000</v>
      </c>
      <c r="D18" s="46">
        <f t="shared" si="16"/>
        <v>76896000</v>
      </c>
      <c r="E18" s="46">
        <f t="shared" si="16"/>
        <v>55785000</v>
      </c>
      <c r="F18" s="46">
        <f t="shared" si="16"/>
        <v>44248000</v>
      </c>
      <c r="G18" s="46">
        <f t="shared" si="16"/>
        <v>60261000</v>
      </c>
      <c r="H18" s="46">
        <f t="shared" si="16"/>
        <v>77981000</v>
      </c>
      <c r="I18" s="46">
        <f t="shared" si="16"/>
        <v>79489000</v>
      </c>
      <c r="J18" s="46">
        <f t="shared" si="16"/>
        <v>96615000</v>
      </c>
      <c r="K18" s="46">
        <f t="shared" si="16"/>
        <v>62130000</v>
      </c>
      <c r="L18" s="136"/>
      <c r="M18" s="46">
        <f t="shared" ref="M18:V18" si="17">SUM(M14:M17)</f>
        <v>156712000</v>
      </c>
      <c r="N18" s="46">
        <f t="shared" si="17"/>
        <v>160386000</v>
      </c>
      <c r="O18" s="46">
        <f t="shared" si="17"/>
        <v>177760000</v>
      </c>
      <c r="P18" s="46">
        <f t="shared" si="17"/>
        <v>177644000</v>
      </c>
      <c r="Q18" s="46">
        <f t="shared" si="17"/>
        <v>258371000</v>
      </c>
      <c r="R18" s="46">
        <f t="shared" si="17"/>
        <v>177078000</v>
      </c>
      <c r="S18" s="46">
        <f t="shared" si="17"/>
        <v>178319000</v>
      </c>
      <c r="T18" s="46">
        <f t="shared" si="17"/>
        <v>186925000</v>
      </c>
      <c r="U18" s="46">
        <f t="shared" si="17"/>
        <v>193522000</v>
      </c>
      <c r="V18" s="46">
        <f t="shared" si="17"/>
        <v>228731000</v>
      </c>
      <c r="W18" s="46">
        <f t="shared" ref="W18:Y18" si="18">SUM(W14:W16)</f>
        <v>229119000</v>
      </c>
      <c r="X18" s="46">
        <f t="shared" si="18"/>
        <v>314346000</v>
      </c>
      <c r="Y18" s="52">
        <f t="shared" si="18"/>
        <v>314346000</v>
      </c>
    </row>
    <row r="19">
      <c r="A19" s="137" t="s">
        <v>78</v>
      </c>
      <c r="B19" s="138"/>
      <c r="C19" s="138">
        <f t="shared" ref="C19:K19" si="19">C13-C18</f>
        <v>-6757000</v>
      </c>
      <c r="D19" s="138">
        <f t="shared" si="19"/>
        <v>14234000</v>
      </c>
      <c r="E19" s="138">
        <f t="shared" si="19"/>
        <v>162787000</v>
      </c>
      <c r="F19" s="138">
        <f t="shared" si="19"/>
        <v>142188000</v>
      </c>
      <c r="G19" s="138">
        <f t="shared" si="19"/>
        <v>186957000</v>
      </c>
      <c r="H19" s="138">
        <f t="shared" si="19"/>
        <v>278061000</v>
      </c>
      <c r="I19" s="138">
        <f t="shared" si="19"/>
        <v>636626000</v>
      </c>
      <c r="J19" s="138">
        <f t="shared" si="19"/>
        <v>434895000</v>
      </c>
      <c r="K19" s="138">
        <f t="shared" si="19"/>
        <v>249184000</v>
      </c>
      <c r="L19" s="130"/>
      <c r="M19" s="139">
        <f t="shared" ref="M19:Y19" si="20">M13-M18</f>
        <v>146052000</v>
      </c>
      <c r="N19" s="139">
        <f t="shared" si="20"/>
        <v>235335000</v>
      </c>
      <c r="O19" s="139">
        <f t="shared" si="20"/>
        <v>470314000</v>
      </c>
      <c r="P19" s="139">
        <f t="shared" si="20"/>
        <v>-132094000</v>
      </c>
      <c r="Q19" s="139">
        <f t="shared" si="20"/>
        <v>102675000</v>
      </c>
      <c r="R19" s="139">
        <f t="shared" si="20"/>
        <v>45781000</v>
      </c>
      <c r="S19" s="139">
        <f t="shared" si="20"/>
        <v>1269000</v>
      </c>
      <c r="T19" s="139">
        <f t="shared" si="20"/>
        <v>-26264000</v>
      </c>
      <c r="U19" s="139">
        <f t="shared" si="20"/>
        <v>143537000</v>
      </c>
      <c r="V19" s="139">
        <f t="shared" si="20"/>
        <v>967726000</v>
      </c>
      <c r="W19" s="139">
        <f t="shared" si="20"/>
        <v>302452000</v>
      </c>
      <c r="X19" s="139">
        <f t="shared" si="20"/>
        <v>1536539000</v>
      </c>
      <c r="Y19" s="131">
        <f t="shared" si="20"/>
        <v>303837700</v>
      </c>
      <c r="Z19" s="132"/>
      <c r="AA19" s="132"/>
      <c r="AB19" s="132"/>
      <c r="AC19" s="132"/>
      <c r="AD19" s="132"/>
    </row>
    <row r="20" ht="15.0" customHeight="1">
      <c r="A20" s="2" t="s">
        <v>79</v>
      </c>
      <c r="B20" s="43"/>
      <c r="C20" s="43">
        <v>0.0</v>
      </c>
      <c r="D20" s="43">
        <v>0.0</v>
      </c>
      <c r="E20" s="43">
        <v>0.0</v>
      </c>
      <c r="F20" s="43">
        <v>-549000.0</v>
      </c>
      <c r="G20" s="43">
        <v>0.0</v>
      </c>
      <c r="H20" s="43">
        <v>0.0</v>
      </c>
      <c r="I20" s="43">
        <v>0.0</v>
      </c>
      <c r="J20" s="43">
        <f>-612000-I20-H20-G20</f>
        <v>-612000</v>
      </c>
      <c r="K20" s="43">
        <v>0.0</v>
      </c>
      <c r="L20" s="118"/>
      <c r="M20" s="43">
        <v>-3755000.0</v>
      </c>
      <c r="N20" s="43">
        <v>-2313000.0</v>
      </c>
      <c r="O20" s="43">
        <v>-1156000.0</v>
      </c>
      <c r="P20" s="43">
        <v>-318000.0</v>
      </c>
      <c r="Q20" s="43">
        <v>-265000.0</v>
      </c>
      <c r="R20" s="43">
        <v>-644000.0</v>
      </c>
      <c r="S20" s="43">
        <v>-498000.0</v>
      </c>
      <c r="T20" s="43">
        <v>-213000.0</v>
      </c>
      <c r="U20" s="43">
        <v>-403000.0</v>
      </c>
      <c r="V20" s="43">
        <v>-583000.0</v>
      </c>
      <c r="W20" s="43">
        <v>-549000.0</v>
      </c>
      <c r="X20" s="43">
        <v>-612000.0</v>
      </c>
      <c r="Y20" s="52">
        <f t="shared" ref="Y20:Y24" si="21">U20</f>
        <v>-403000</v>
      </c>
    </row>
    <row r="21" ht="15.0" customHeight="1">
      <c r="A21" s="2" t="s">
        <v>80</v>
      </c>
      <c r="B21" s="43"/>
      <c r="C21" s="43">
        <v>7346000.0</v>
      </c>
      <c r="D21" s="43">
        <v>6987000.0</v>
      </c>
      <c r="E21" s="43">
        <v>7554000.0</v>
      </c>
      <c r="F21" s="43">
        <f>32275000-E21-D21-C21</f>
        <v>10388000</v>
      </c>
      <c r="G21" s="43">
        <v>9785000.0</v>
      </c>
      <c r="H21" s="43">
        <v>9770000.0</v>
      </c>
      <c r="I21" s="43">
        <v>1.2628E7</v>
      </c>
      <c r="J21" s="43">
        <f>48671000-I21-H21-G21</f>
        <v>16488000</v>
      </c>
      <c r="K21" s="43">
        <v>1.285E7</v>
      </c>
      <c r="L21" s="118"/>
      <c r="M21" s="43">
        <v>1099000.0</v>
      </c>
      <c r="N21" s="43">
        <v>1798000.0</v>
      </c>
      <c r="O21" s="43">
        <v>4314000.0</v>
      </c>
      <c r="P21" s="43">
        <v>3103000.0</v>
      </c>
      <c r="Q21" s="43">
        <v>3697000.0</v>
      </c>
      <c r="R21" s="43">
        <v>7978000.0</v>
      </c>
      <c r="S21" s="43">
        <v>4962000.0</v>
      </c>
      <c r="T21" s="43">
        <v>2928000.0</v>
      </c>
      <c r="U21" s="43">
        <v>988000.0</v>
      </c>
      <c r="V21" s="43">
        <v>1.8553E7</v>
      </c>
      <c r="W21" s="43">
        <v>3.2275E7</v>
      </c>
      <c r="X21" s="43">
        <v>4.8671E7</v>
      </c>
      <c r="Y21" s="52">
        <f t="shared" si="21"/>
        <v>988000</v>
      </c>
    </row>
    <row r="22">
      <c r="A22" s="2" t="s">
        <v>81</v>
      </c>
      <c r="B22" s="43"/>
      <c r="C22" s="43">
        <v>0.0</v>
      </c>
      <c r="D22" s="43">
        <v>0.0</v>
      </c>
      <c r="E22" s="43">
        <v>0.0</v>
      </c>
      <c r="F22" s="43">
        <v>0.0</v>
      </c>
      <c r="G22" s="43">
        <v>0.0</v>
      </c>
      <c r="H22" s="43">
        <v>0.0</v>
      </c>
      <c r="I22" s="43">
        <v>0.0</v>
      </c>
      <c r="J22" s="43">
        <v>6221000.0</v>
      </c>
      <c r="K22" s="2">
        <v>0.0</v>
      </c>
      <c r="L22" s="118"/>
      <c r="M22" s="43">
        <v>3512000.0</v>
      </c>
      <c r="N22" s="43">
        <v>2657000.0</v>
      </c>
      <c r="O22" s="43">
        <v>5016000.0</v>
      </c>
      <c r="P22" s="43">
        <v>1390000.0</v>
      </c>
      <c r="Q22" s="43">
        <v>3517000.0</v>
      </c>
      <c r="R22" s="43">
        <v>4776000.0</v>
      </c>
      <c r="S22" s="43">
        <v>534000.0</v>
      </c>
      <c r="T22" s="43">
        <v>622000.0</v>
      </c>
      <c r="U22" s="43">
        <v>1943000.0</v>
      </c>
      <c r="V22" s="43">
        <v>1.0239E7</v>
      </c>
      <c r="W22" s="43">
        <v>1.1331E7</v>
      </c>
      <c r="X22" s="43">
        <v>1.1197E7</v>
      </c>
      <c r="Y22" s="52">
        <f t="shared" si="21"/>
        <v>1943000</v>
      </c>
    </row>
    <row r="23">
      <c r="A23" s="2" t="s">
        <v>82</v>
      </c>
      <c r="B23" s="43"/>
      <c r="C23" s="43">
        <v>0.0</v>
      </c>
      <c r="D23" s="43">
        <v>0.0</v>
      </c>
      <c r="E23" s="43">
        <v>1.1298E7</v>
      </c>
      <c r="F23" s="43">
        <f>11331000-E23-D23-C23</f>
        <v>33000</v>
      </c>
      <c r="G23" s="43">
        <v>1211000.0</v>
      </c>
      <c r="H23" s="43">
        <v>0.0</v>
      </c>
      <c r="I23" s="43">
        <v>1.1197E7</v>
      </c>
      <c r="J23" s="43">
        <f>11197000-I23-H23-G23</f>
        <v>-1211000</v>
      </c>
      <c r="K23" s="43">
        <v>0.0</v>
      </c>
      <c r="L23" s="118"/>
      <c r="M23" s="43">
        <v>6139000.0</v>
      </c>
      <c r="N23" s="43">
        <v>6893000.0</v>
      </c>
      <c r="O23" s="43">
        <v>6930000.0</v>
      </c>
      <c r="P23" s="43">
        <v>7665000.0</v>
      </c>
      <c r="Q23" s="43">
        <v>8286000.0</v>
      </c>
      <c r="R23" s="43">
        <v>1.0482E7</v>
      </c>
      <c r="S23" s="43">
        <v>1.0096E7</v>
      </c>
      <c r="T23" s="43">
        <v>9004000.0</v>
      </c>
      <c r="U23" s="43">
        <v>1.013E7</v>
      </c>
      <c r="V23" s="43">
        <v>749000.0</v>
      </c>
      <c r="W23" s="43">
        <v>1420000.0</v>
      </c>
      <c r="X23" s="43">
        <v>6221000.0</v>
      </c>
      <c r="Y23" s="52">
        <f t="shared" si="21"/>
        <v>10130000</v>
      </c>
    </row>
    <row r="24">
      <c r="A24" s="2" t="s">
        <v>76</v>
      </c>
      <c r="B24" s="43"/>
      <c r="C24" s="43">
        <v>144000.0</v>
      </c>
      <c r="D24" s="43">
        <v>867000.0</v>
      </c>
      <c r="E24" s="43">
        <v>3520000.0</v>
      </c>
      <c r="F24" s="43">
        <f>3042000-E24-D24-C24</f>
        <v>-1489000</v>
      </c>
      <c r="G24" s="43">
        <v>0.0</v>
      </c>
      <c r="H24" s="43">
        <v>1130000.0</v>
      </c>
      <c r="I24" s="43">
        <v>3534000.0</v>
      </c>
      <c r="J24" s="43">
        <f>1126000-I24-H24-G24</f>
        <v>-3538000</v>
      </c>
      <c r="K24" s="43">
        <v>1231000.0</v>
      </c>
      <c r="L24" s="118"/>
      <c r="M24" s="43">
        <v>8795000.0</v>
      </c>
      <c r="N24" s="43">
        <v>2179000.0</v>
      </c>
      <c r="O24" s="43">
        <v>1831000.0</v>
      </c>
      <c r="P24" s="43">
        <v>5960000.0</v>
      </c>
      <c r="Q24" s="43">
        <v>-573000.0</v>
      </c>
      <c r="R24" s="43">
        <v>2432000.0</v>
      </c>
      <c r="S24" s="43">
        <v>3696000.0</v>
      </c>
      <c r="T24" s="43">
        <v>4074000.0</v>
      </c>
      <c r="U24" s="43">
        <v>9820000.0</v>
      </c>
      <c r="V24" s="43">
        <v>1869000.0</v>
      </c>
      <c r="W24" s="43">
        <v>3042000.0</v>
      </c>
      <c r="X24" s="43">
        <v>1126000.0</v>
      </c>
      <c r="Y24" s="52">
        <f t="shared" si="21"/>
        <v>9820000</v>
      </c>
    </row>
    <row r="25">
      <c r="A25" s="135" t="s">
        <v>83</v>
      </c>
      <c r="B25" s="45">
        <f t="shared" ref="B25:K25" si="22">SUM(B20:B24)</f>
        <v>0</v>
      </c>
      <c r="C25" s="45">
        <f t="shared" si="22"/>
        <v>7490000</v>
      </c>
      <c r="D25" s="45">
        <f t="shared" si="22"/>
        <v>7854000</v>
      </c>
      <c r="E25" s="45">
        <f t="shared" si="22"/>
        <v>22372000</v>
      </c>
      <c r="F25" s="45">
        <f t="shared" si="22"/>
        <v>8383000</v>
      </c>
      <c r="G25" s="45">
        <f t="shared" si="22"/>
        <v>10996000</v>
      </c>
      <c r="H25" s="45">
        <f t="shared" si="22"/>
        <v>10900000</v>
      </c>
      <c r="I25" s="45">
        <f t="shared" si="22"/>
        <v>27359000</v>
      </c>
      <c r="J25" s="45">
        <f t="shared" si="22"/>
        <v>17348000</v>
      </c>
      <c r="K25" s="45">
        <f t="shared" si="22"/>
        <v>14081000</v>
      </c>
      <c r="L25" s="118"/>
      <c r="M25" s="46">
        <f t="shared" ref="M25:X25" si="23">SUM(M20:M24)</f>
        <v>15790000</v>
      </c>
      <c r="N25" s="46">
        <f t="shared" si="23"/>
        <v>11214000</v>
      </c>
      <c r="O25" s="46">
        <f t="shared" si="23"/>
        <v>16935000</v>
      </c>
      <c r="P25" s="46">
        <f t="shared" si="23"/>
        <v>17800000</v>
      </c>
      <c r="Q25" s="46">
        <f t="shared" si="23"/>
        <v>14662000</v>
      </c>
      <c r="R25" s="46">
        <f t="shared" si="23"/>
        <v>25024000</v>
      </c>
      <c r="S25" s="46">
        <f t="shared" si="23"/>
        <v>18790000</v>
      </c>
      <c r="T25" s="46">
        <f t="shared" si="23"/>
        <v>16415000</v>
      </c>
      <c r="U25" s="46">
        <f t="shared" si="23"/>
        <v>22478000</v>
      </c>
      <c r="V25" s="46">
        <f t="shared" si="23"/>
        <v>30827000</v>
      </c>
      <c r="W25" s="46">
        <f t="shared" si="23"/>
        <v>47519000</v>
      </c>
      <c r="X25" s="46">
        <f t="shared" si="23"/>
        <v>66603000</v>
      </c>
      <c r="Y25" s="52"/>
    </row>
    <row r="26">
      <c r="A26" s="140" t="s">
        <v>84</v>
      </c>
      <c r="B26" s="139">
        <f t="shared" ref="B26:K26" si="24">B19+B25</f>
        <v>0</v>
      </c>
      <c r="C26" s="139">
        <f t="shared" si="24"/>
        <v>733000</v>
      </c>
      <c r="D26" s="139">
        <f t="shared" si="24"/>
        <v>22088000</v>
      </c>
      <c r="E26" s="139">
        <f t="shared" si="24"/>
        <v>185159000</v>
      </c>
      <c r="F26" s="139">
        <f t="shared" si="24"/>
        <v>150571000</v>
      </c>
      <c r="G26" s="139">
        <f t="shared" si="24"/>
        <v>197953000</v>
      </c>
      <c r="H26" s="139">
        <f t="shared" si="24"/>
        <v>288961000</v>
      </c>
      <c r="I26" s="139">
        <f t="shared" si="24"/>
        <v>663985000</v>
      </c>
      <c r="J26" s="139">
        <f t="shared" si="24"/>
        <v>452243000</v>
      </c>
      <c r="K26" s="139">
        <f t="shared" si="24"/>
        <v>263265000</v>
      </c>
      <c r="L26" s="134"/>
      <c r="M26" s="139">
        <f t="shared" ref="M26:X26" si="25">M19+M25</f>
        <v>161842000</v>
      </c>
      <c r="N26" s="139">
        <f t="shared" si="25"/>
        <v>246549000</v>
      </c>
      <c r="O26" s="139">
        <f t="shared" si="25"/>
        <v>487249000</v>
      </c>
      <c r="P26" s="139">
        <f t="shared" si="25"/>
        <v>-114294000</v>
      </c>
      <c r="Q26" s="139">
        <f t="shared" si="25"/>
        <v>117337000</v>
      </c>
      <c r="R26" s="139">
        <f t="shared" si="25"/>
        <v>70805000</v>
      </c>
      <c r="S26" s="139">
        <f t="shared" si="25"/>
        <v>20059000</v>
      </c>
      <c r="T26" s="139">
        <f t="shared" si="25"/>
        <v>-9849000</v>
      </c>
      <c r="U26" s="139">
        <f t="shared" si="25"/>
        <v>166015000</v>
      </c>
      <c r="V26" s="139">
        <f t="shared" si="25"/>
        <v>998553000</v>
      </c>
      <c r="W26" s="139">
        <f t="shared" si="25"/>
        <v>349971000</v>
      </c>
      <c r="X26" s="139">
        <f t="shared" si="25"/>
        <v>1603142000</v>
      </c>
      <c r="Y26" s="131">
        <f>Y19-SUM(Y20:Y24)</f>
        <v>281359700</v>
      </c>
      <c r="Z26" s="132"/>
      <c r="AA26" s="132"/>
      <c r="AB26" s="132"/>
      <c r="AC26" s="132"/>
      <c r="AD26" s="132"/>
    </row>
    <row r="27">
      <c r="A27" s="2" t="s">
        <v>85</v>
      </c>
      <c r="B27" s="43"/>
      <c r="C27" s="43">
        <v>322000.0</v>
      </c>
      <c r="D27" s="43">
        <v>5540000.0</v>
      </c>
      <c r="E27" s="43">
        <v>3.8796E7</v>
      </c>
      <c r="F27" s="53">
        <f>83689000-E27-D27-C27</f>
        <v>39031000</v>
      </c>
      <c r="G27" s="43">
        <v>4.8363E7</v>
      </c>
      <c r="H27" s="43">
        <v>7.0602E7</v>
      </c>
      <c r="I27" s="43">
        <v>1.54876E8</v>
      </c>
      <c r="J27" s="43">
        <f>384910000-I27-H27-G27</f>
        <v>111069000</v>
      </c>
      <c r="K27" s="141">
        <v>6.4158E7</v>
      </c>
      <c r="L27" s="118"/>
      <c r="M27" s="43">
        <v>5.2035E7</v>
      </c>
      <c r="N27" s="43">
        <v>8.4268E7</v>
      </c>
      <c r="O27" s="43">
        <v>1.69202E8</v>
      </c>
      <c r="P27" s="43">
        <v>-3.9867E7</v>
      </c>
      <c r="Q27" s="43">
        <v>-8859000.0</v>
      </c>
      <c r="R27" s="43">
        <v>1.5743E7</v>
      </c>
      <c r="S27" s="43">
        <v>1731000.0</v>
      </c>
      <c r="T27" s="43">
        <v>-1.2009E7</v>
      </c>
      <c r="U27" s="43">
        <v>3.3574E7</v>
      </c>
      <c r="V27" s="43">
        <v>2.41818E8</v>
      </c>
      <c r="W27" s="43">
        <v>8.3689E7</v>
      </c>
      <c r="X27" s="43">
        <v>3.8491E8</v>
      </c>
      <c r="Y27" s="125">
        <f>(U27/U26)*Y26</f>
        <v>56900705.16</v>
      </c>
    </row>
    <row r="28">
      <c r="A28" s="127" t="s">
        <v>86</v>
      </c>
      <c r="B28" s="129"/>
      <c r="C28" s="129">
        <f t="shared" ref="C28:K28" si="26">C26-C27</f>
        <v>411000</v>
      </c>
      <c r="D28" s="129">
        <f t="shared" si="26"/>
        <v>16548000</v>
      </c>
      <c r="E28" s="129">
        <f t="shared" si="26"/>
        <v>146363000</v>
      </c>
      <c r="F28" s="129">
        <f t="shared" si="26"/>
        <v>111540000</v>
      </c>
      <c r="G28" s="129">
        <f t="shared" si="26"/>
        <v>149590000</v>
      </c>
      <c r="H28" s="129">
        <f t="shared" si="26"/>
        <v>218359000</v>
      </c>
      <c r="I28" s="129">
        <f t="shared" si="26"/>
        <v>509109000</v>
      </c>
      <c r="J28" s="129">
        <f t="shared" si="26"/>
        <v>341174000</v>
      </c>
      <c r="K28" s="129">
        <f t="shared" si="26"/>
        <v>199107000</v>
      </c>
      <c r="L28" s="142"/>
      <c r="M28" s="129">
        <f t="shared" ref="M28:Y28" si="27">M26-M27</f>
        <v>109807000</v>
      </c>
      <c r="N28" s="129">
        <f t="shared" si="27"/>
        <v>162281000</v>
      </c>
      <c r="O28" s="129">
        <f t="shared" si="27"/>
        <v>318047000</v>
      </c>
      <c r="P28" s="129">
        <f t="shared" si="27"/>
        <v>-74427000</v>
      </c>
      <c r="Q28" s="129">
        <f t="shared" si="27"/>
        <v>126196000</v>
      </c>
      <c r="R28" s="129">
        <f t="shared" si="27"/>
        <v>55062000</v>
      </c>
      <c r="S28" s="129">
        <f t="shared" si="27"/>
        <v>18328000</v>
      </c>
      <c r="T28" s="129">
        <f t="shared" si="27"/>
        <v>2160000</v>
      </c>
      <c r="U28" s="129">
        <f t="shared" si="27"/>
        <v>132441000</v>
      </c>
      <c r="V28" s="129">
        <f t="shared" si="27"/>
        <v>756735000</v>
      </c>
      <c r="W28" s="129">
        <f t="shared" si="27"/>
        <v>266282000</v>
      </c>
      <c r="X28" s="129">
        <f t="shared" si="27"/>
        <v>1218232000</v>
      </c>
      <c r="Y28" s="131">
        <f t="shared" si="27"/>
        <v>224458994.8</v>
      </c>
      <c r="Z28" s="132"/>
      <c r="AA28" s="132"/>
      <c r="AB28" s="132"/>
      <c r="AC28" s="132"/>
      <c r="AD28" s="132"/>
    </row>
    <row r="29">
      <c r="A29" s="2" t="s">
        <v>87</v>
      </c>
      <c r="B29" s="143"/>
      <c r="C29" s="143">
        <f t="shared" ref="C29:K29" si="28">C28/C30</f>
        <v>0.008390732442</v>
      </c>
      <c r="D29" s="143">
        <f t="shared" si="28"/>
        <v>0.3378341617</v>
      </c>
      <c r="E29" s="143">
        <f t="shared" si="28"/>
        <v>3.014685891</v>
      </c>
      <c r="F29" s="143">
        <f t="shared" si="28"/>
        <v>2.274527055</v>
      </c>
      <c r="G29" s="143">
        <f t="shared" si="28"/>
        <v>3.050579667</v>
      </c>
      <c r="H29" s="143">
        <f t="shared" si="28"/>
        <v>4.453117418</v>
      </c>
      <c r="I29" s="143">
        <f t="shared" si="28"/>
        <v>10.38024441</v>
      </c>
      <c r="J29" s="143">
        <f t="shared" si="28"/>
        <v>7.034881423</v>
      </c>
      <c r="K29" s="143">
        <f t="shared" si="28"/>
        <v>4.10533232</v>
      </c>
      <c r="L29" s="144"/>
      <c r="M29" s="53">
        <f t="shared" ref="M29:Y29" si="29">M28/M30</f>
        <v>2.287645833</v>
      </c>
      <c r="N29" s="53">
        <f t="shared" si="29"/>
        <v>3.352913223</v>
      </c>
      <c r="O29" s="145">
        <f t="shared" si="29"/>
        <v>6.571219008</v>
      </c>
      <c r="P29" s="145">
        <f t="shared" si="29"/>
        <v>-1.539019851</v>
      </c>
      <c r="Q29" s="145">
        <f t="shared" si="29"/>
        <v>2.594995846</v>
      </c>
      <c r="R29" s="145">
        <f t="shared" si="29"/>
        <v>1.133196131</v>
      </c>
      <c r="S29" s="145">
        <f t="shared" si="29"/>
        <v>0.3794560569</v>
      </c>
      <c r="T29" s="145">
        <f t="shared" si="29"/>
        <v>0.04421699079</v>
      </c>
      <c r="U29" s="145">
        <f t="shared" si="29"/>
        <v>2.724002468</v>
      </c>
      <c r="V29" s="145">
        <f t="shared" si="29"/>
        <v>15.54189772</v>
      </c>
      <c r="W29" s="145">
        <f t="shared" si="29"/>
        <v>5.430030601</v>
      </c>
      <c r="X29" s="145">
        <f t="shared" si="29"/>
        <v>25.1194923</v>
      </c>
      <c r="Y29" s="146">
        <f t="shared" si="29"/>
        <v>4.628261277</v>
      </c>
    </row>
    <row r="30">
      <c r="A30" s="2" t="s">
        <v>88</v>
      </c>
      <c r="B30" s="143"/>
      <c r="C30" s="143">
        <f>Main!C4</f>
        <v>48982613</v>
      </c>
      <c r="D30" s="143">
        <f>Main!D4</f>
        <v>48982613</v>
      </c>
      <c r="E30" s="143">
        <f>Main!E4</f>
        <v>48550000</v>
      </c>
      <c r="F30" s="143">
        <f>Main!F4</f>
        <v>49038766</v>
      </c>
      <c r="G30" s="143">
        <f>Main!G4</f>
        <v>49036582</v>
      </c>
      <c r="H30" s="143">
        <f>Main!H4</f>
        <v>49035087</v>
      </c>
      <c r="I30" s="143">
        <f>Main!I4</f>
        <v>49045955</v>
      </c>
      <c r="J30" s="143">
        <f>Main!J4</f>
        <v>48497477</v>
      </c>
      <c r="K30" s="143">
        <f>Main!K4</f>
        <v>48499606</v>
      </c>
      <c r="L30" s="144"/>
      <c r="M30" s="53">
        <f>Main!M4</f>
        <v>48000000</v>
      </c>
      <c r="N30" s="53">
        <f>Main!N4</f>
        <v>48400000</v>
      </c>
      <c r="O30" s="53">
        <f>Main!O4</f>
        <v>48400000</v>
      </c>
      <c r="P30" s="53">
        <f>Main!P4</f>
        <v>48360000</v>
      </c>
      <c r="Q30" s="53">
        <f>Main!Q4</f>
        <v>48630521</v>
      </c>
      <c r="R30" s="53">
        <f>Main!R4</f>
        <v>48590000</v>
      </c>
      <c r="S30" s="53">
        <f>Main!S4</f>
        <v>48300718</v>
      </c>
      <c r="T30" s="53">
        <f>Main!T4</f>
        <v>48850000</v>
      </c>
      <c r="U30" s="53">
        <f>Main!U4</f>
        <v>48620000</v>
      </c>
      <c r="V30" s="53">
        <f>Main!V4</f>
        <v>48690000</v>
      </c>
      <c r="W30" s="53">
        <f>Main!W4</f>
        <v>49038766</v>
      </c>
      <c r="X30" s="53">
        <f>Main!X4</f>
        <v>48497477</v>
      </c>
      <c r="Y30" s="125">
        <v>4.8497477E7</v>
      </c>
    </row>
    <row r="31">
      <c r="B31" s="53"/>
      <c r="C31" s="53"/>
      <c r="D31" s="53"/>
      <c r="E31" s="53"/>
      <c r="F31" s="53"/>
      <c r="G31" s="53"/>
      <c r="H31" s="53"/>
      <c r="I31" s="53"/>
      <c r="J31" s="53"/>
      <c r="K31" s="53"/>
      <c r="L31" s="144"/>
      <c r="T31" s="53"/>
      <c r="U31" s="53"/>
      <c r="V31" s="53"/>
      <c r="W31" s="53"/>
      <c r="X31" s="53"/>
      <c r="Y31" s="147"/>
    </row>
    <row r="32">
      <c r="A32" s="148" t="s">
        <v>89</v>
      </c>
      <c r="B32" s="149"/>
      <c r="C32" s="149">
        <f t="shared" ref="C32:K32" si="30">(C11-B11)/ABS(B11)</f>
        <v>-0.3330080734</v>
      </c>
      <c r="D32" s="149">
        <f t="shared" si="30"/>
        <v>0.1390896583</v>
      </c>
      <c r="E32" s="149">
        <f t="shared" si="30"/>
        <v>0.3437123734</v>
      </c>
      <c r="F32" s="149">
        <f t="shared" si="30"/>
        <v>-0.08859212944</v>
      </c>
      <c r="G32" s="149">
        <f t="shared" si="30"/>
        <v>0.2264115021</v>
      </c>
      <c r="H32" s="149">
        <f t="shared" si="30"/>
        <v>0.2147935221</v>
      </c>
      <c r="I32" s="149">
        <f t="shared" si="30"/>
        <v>0.4849984969</v>
      </c>
      <c r="J32" s="149">
        <f t="shared" si="30"/>
        <v>-0.2215068933</v>
      </c>
      <c r="K32" s="149">
        <f t="shared" si="30"/>
        <v>-0.1640508201</v>
      </c>
      <c r="L32" s="150"/>
      <c r="M32" s="149" t="str">
        <f t="shared" ref="M32:Y32" si="31">(M11-L11)/ABS(L11)</f>
        <v>#DIV/0!</v>
      </c>
      <c r="N32" s="149">
        <f t="shared" si="31"/>
        <v>0.09384436331</v>
      </c>
      <c r="O32" s="149">
        <f t="shared" si="31"/>
        <v>0.2109739818</v>
      </c>
      <c r="P32" s="149">
        <f t="shared" si="31"/>
        <v>-0.4370298378</v>
      </c>
      <c r="Q32" s="149">
        <f t="shared" si="31"/>
        <v>0.3987099272</v>
      </c>
      <c r="R32" s="149">
        <f t="shared" si="31"/>
        <v>-0.09431165216</v>
      </c>
      <c r="S32" s="149">
        <f t="shared" si="31"/>
        <v>-0.007037235121</v>
      </c>
      <c r="T32" s="149">
        <f t="shared" si="31"/>
        <v>-0.001939910137</v>
      </c>
      <c r="U32" s="149">
        <f t="shared" si="31"/>
        <v>0.317402614</v>
      </c>
      <c r="V32" s="149">
        <f t="shared" si="31"/>
        <v>0.7703632596</v>
      </c>
      <c r="W32" s="149">
        <f t="shared" si="31"/>
        <v>-0.2637370531</v>
      </c>
      <c r="X32" s="149">
        <f t="shared" si="31"/>
        <v>0.8398402205</v>
      </c>
      <c r="Y32" s="63">
        <f t="shared" si="31"/>
        <v>-0.5170485126</v>
      </c>
    </row>
    <row r="33">
      <c r="A33" s="90" t="s">
        <v>90</v>
      </c>
      <c r="B33" s="61"/>
      <c r="C33" s="61">
        <f t="shared" ref="C33:K33" si="32">C13/C11</f>
        <v>0.09890844335</v>
      </c>
      <c r="D33" s="61">
        <f t="shared" si="32"/>
        <v>0.1741668164</v>
      </c>
      <c r="E33" s="61">
        <f t="shared" si="32"/>
        <v>0.3108796204</v>
      </c>
      <c r="F33" s="61">
        <f t="shared" si="32"/>
        <v>0.2909475662</v>
      </c>
      <c r="G33" s="61">
        <f t="shared" si="32"/>
        <v>0.3145783468</v>
      </c>
      <c r="H33" s="61">
        <f t="shared" si="32"/>
        <v>0.3729473295</v>
      </c>
      <c r="I33" s="61">
        <f t="shared" si="32"/>
        <v>0.505129842</v>
      </c>
      <c r="J33" s="61">
        <f t="shared" si="32"/>
        <v>0.4815894054</v>
      </c>
      <c r="K33" s="61">
        <f t="shared" si="32"/>
        <v>0.3374304413</v>
      </c>
      <c r="L33" s="150"/>
      <c r="M33" s="61">
        <f t="shared" ref="M33:Y33" si="33">M13/M11</f>
        <v>0.2101204311</v>
      </c>
      <c r="N33" s="61">
        <f t="shared" si="33"/>
        <v>0.2510716135</v>
      </c>
      <c r="O33" s="61">
        <f t="shared" si="33"/>
        <v>0.3395457522</v>
      </c>
      <c r="P33" s="61">
        <f t="shared" si="33"/>
        <v>0.04239129727</v>
      </c>
      <c r="Q33" s="61">
        <f t="shared" si="33"/>
        <v>0.2402277681</v>
      </c>
      <c r="R33" s="61">
        <f t="shared" si="33"/>
        <v>0.1637238941</v>
      </c>
      <c r="S33" s="61">
        <f t="shared" si="33"/>
        <v>0.132869787</v>
      </c>
      <c r="T33" s="61">
        <f t="shared" si="33"/>
        <v>0.1190975154</v>
      </c>
      <c r="U33" s="61">
        <f t="shared" si="33"/>
        <v>0.1896617016</v>
      </c>
      <c r="V33" s="61">
        <f t="shared" si="33"/>
        <v>0.3802843224</v>
      </c>
      <c r="W33" s="61">
        <f t="shared" si="33"/>
        <v>0.2294772632</v>
      </c>
      <c r="X33" s="61">
        <f t="shared" si="33"/>
        <v>0.4342878797</v>
      </c>
      <c r="Y33" s="63">
        <f t="shared" si="33"/>
        <v>0.3003394041</v>
      </c>
    </row>
    <row r="34">
      <c r="A34" s="90" t="s">
        <v>91</v>
      </c>
      <c r="B34" s="61"/>
      <c r="C34" s="61">
        <f t="shared" ref="C34:K34" si="34">C19/C11</f>
        <v>-0.01471010833</v>
      </c>
      <c r="D34" s="61">
        <f t="shared" si="34"/>
        <v>0.02720388966</v>
      </c>
      <c r="E34" s="61">
        <f t="shared" si="34"/>
        <v>0.2315354243</v>
      </c>
      <c r="F34" s="61">
        <f t="shared" si="34"/>
        <v>0.2218951948</v>
      </c>
      <c r="G34" s="61">
        <f t="shared" si="34"/>
        <v>0.2378978229</v>
      </c>
      <c r="H34" s="61">
        <f t="shared" si="34"/>
        <v>0.2912636919</v>
      </c>
      <c r="I34" s="61">
        <f t="shared" si="34"/>
        <v>0.4490602637</v>
      </c>
      <c r="J34" s="61">
        <f t="shared" si="34"/>
        <v>0.3940486999</v>
      </c>
      <c r="K34" s="61">
        <f t="shared" si="34"/>
        <v>0.2700882938</v>
      </c>
      <c r="L34" s="150"/>
      <c r="M34" s="61">
        <f t="shared" ref="M34:Y34" si="35">M19/M11</f>
        <v>0.1013611565</v>
      </c>
      <c r="N34" s="61">
        <f t="shared" si="35"/>
        <v>0.1493121117</v>
      </c>
      <c r="O34" s="61">
        <f t="shared" si="35"/>
        <v>0.2464118618</v>
      </c>
      <c r="P34" s="61">
        <f t="shared" si="35"/>
        <v>-0.1229338314</v>
      </c>
      <c r="Q34" s="61">
        <f t="shared" si="35"/>
        <v>0.06831646408</v>
      </c>
      <c r="R34" s="61">
        <f t="shared" si="35"/>
        <v>0.03363312048</v>
      </c>
      <c r="S34" s="61">
        <f t="shared" si="35"/>
        <v>0.0009388809929</v>
      </c>
      <c r="T34" s="61">
        <f t="shared" si="35"/>
        <v>-0.01946942409</v>
      </c>
      <c r="U34" s="61">
        <f t="shared" si="35"/>
        <v>0.0807676747</v>
      </c>
      <c r="V34" s="61">
        <f t="shared" si="35"/>
        <v>0.3075839969</v>
      </c>
      <c r="W34" s="61">
        <f t="shared" si="35"/>
        <v>0.130567426</v>
      </c>
      <c r="X34" s="61">
        <f t="shared" si="35"/>
        <v>0.3605303756</v>
      </c>
      <c r="Y34" s="63">
        <f t="shared" si="35"/>
        <v>0.147617017</v>
      </c>
    </row>
    <row r="35">
      <c r="A35" s="93" t="s">
        <v>92</v>
      </c>
      <c r="B35" s="65"/>
      <c r="C35" s="65">
        <f t="shared" ref="C35:K35" si="36">C28/C11</f>
        <v>0.0008947542582</v>
      </c>
      <c r="D35" s="65">
        <f t="shared" si="36"/>
        <v>0.03162638514</v>
      </c>
      <c r="E35" s="65">
        <f t="shared" si="36"/>
        <v>0.2081752186</v>
      </c>
      <c r="F35" s="65">
        <f t="shared" si="36"/>
        <v>0.1740666584</v>
      </c>
      <c r="G35" s="65">
        <f t="shared" si="36"/>
        <v>0.1903493067</v>
      </c>
      <c r="H35" s="65">
        <f t="shared" si="36"/>
        <v>0.2287269646</v>
      </c>
      <c r="I35" s="65">
        <f t="shared" si="36"/>
        <v>0.35911292</v>
      </c>
      <c r="J35" s="65">
        <f t="shared" si="36"/>
        <v>0.3091301834</v>
      </c>
      <c r="K35" s="65">
        <f t="shared" si="36"/>
        <v>0.2158102844</v>
      </c>
      <c r="L35" s="150"/>
      <c r="M35" s="65">
        <f t="shared" ref="M35:Y35" si="37">M28/M11</f>
        <v>0.07620686137</v>
      </c>
      <c r="N35" s="65">
        <f t="shared" si="37"/>
        <v>0.1029618153</v>
      </c>
      <c r="O35" s="65">
        <f t="shared" si="37"/>
        <v>0.1666345323</v>
      </c>
      <c r="P35" s="65">
        <f t="shared" si="37"/>
        <v>-0.06926579762</v>
      </c>
      <c r="Q35" s="65">
        <f t="shared" si="37"/>
        <v>0.08396654007</v>
      </c>
      <c r="R35" s="65">
        <f t="shared" si="37"/>
        <v>0.04045142919</v>
      </c>
      <c r="S35" s="65">
        <f t="shared" si="37"/>
        <v>0.01356013462</v>
      </c>
      <c r="T35" s="65">
        <f t="shared" si="37"/>
        <v>0.001601201494</v>
      </c>
      <c r="U35" s="65">
        <f t="shared" si="37"/>
        <v>0.07452400151</v>
      </c>
      <c r="V35" s="65">
        <f t="shared" si="37"/>
        <v>0.240522189</v>
      </c>
      <c r="W35" s="65">
        <f t="shared" si="37"/>
        <v>0.1149529688</v>
      </c>
      <c r="X35" s="65">
        <f t="shared" si="37"/>
        <v>0.2858434707</v>
      </c>
      <c r="Y35" s="63">
        <f t="shared" si="37"/>
        <v>0.109051534</v>
      </c>
    </row>
    <row r="36">
      <c r="A36" s="151" t="s">
        <v>93</v>
      </c>
      <c r="B36" s="152"/>
      <c r="C36" s="65"/>
      <c r="D36" s="65">
        <f t="shared" ref="D36:K36" si="38">(D28-C28)/ABS(C28)</f>
        <v>39.26277372</v>
      </c>
      <c r="E36" s="65">
        <f t="shared" si="38"/>
        <v>7.844754653</v>
      </c>
      <c r="F36" s="65">
        <f t="shared" si="38"/>
        <v>-0.2379221525</v>
      </c>
      <c r="G36" s="65">
        <f t="shared" si="38"/>
        <v>0.3411332257</v>
      </c>
      <c r="H36" s="65">
        <f t="shared" si="38"/>
        <v>0.4597165586</v>
      </c>
      <c r="I36" s="65">
        <f t="shared" si="38"/>
        <v>1.331522859</v>
      </c>
      <c r="J36" s="65">
        <f t="shared" si="38"/>
        <v>-0.3298605996</v>
      </c>
      <c r="K36" s="65">
        <f t="shared" si="38"/>
        <v>-0.4164062912</v>
      </c>
      <c r="L36" s="144"/>
      <c r="M36" s="65" t="str">
        <f t="shared" ref="M36:Y36" si="39">(M28-L28)/ABS(L28)</f>
        <v>#DIV/0!</v>
      </c>
      <c r="N36" s="65">
        <f t="shared" si="39"/>
        <v>0.4778748167</v>
      </c>
      <c r="O36" s="65">
        <f t="shared" si="39"/>
        <v>0.9598535873</v>
      </c>
      <c r="P36" s="65">
        <f t="shared" si="39"/>
        <v>-1.234012583</v>
      </c>
      <c r="Q36" s="65">
        <f t="shared" si="39"/>
        <v>2.695567469</v>
      </c>
      <c r="R36" s="65">
        <f t="shared" si="39"/>
        <v>-0.563678722</v>
      </c>
      <c r="S36" s="65">
        <f t="shared" si="39"/>
        <v>-0.6671388616</v>
      </c>
      <c r="T36" s="65">
        <f t="shared" si="39"/>
        <v>-0.8821475338</v>
      </c>
      <c r="U36" s="65">
        <f t="shared" si="39"/>
        <v>60.31527778</v>
      </c>
      <c r="V36" s="65">
        <f t="shared" si="39"/>
        <v>4.713751784</v>
      </c>
      <c r="W36" s="65">
        <f t="shared" si="39"/>
        <v>-0.6481172405</v>
      </c>
      <c r="X36" s="65">
        <f t="shared" si="39"/>
        <v>3.574969393</v>
      </c>
      <c r="Y36" s="63">
        <f t="shared" si="39"/>
        <v>-0.8157502062</v>
      </c>
    </row>
    <row r="37">
      <c r="L37" s="144"/>
      <c r="T37" s="53"/>
      <c r="U37" s="53"/>
      <c r="V37" s="53"/>
      <c r="W37" s="53"/>
      <c r="X37" s="53"/>
      <c r="Y37" s="147"/>
    </row>
    <row r="38">
      <c r="A38" s="153"/>
      <c r="B38" s="153"/>
      <c r="C38" s="153"/>
      <c r="D38" s="153"/>
      <c r="E38" s="153"/>
      <c r="F38" s="153"/>
      <c r="G38" s="153"/>
      <c r="H38" s="153"/>
      <c r="I38" s="153"/>
      <c r="J38" s="153"/>
      <c r="K38" s="153"/>
      <c r="L38" s="144"/>
      <c r="M38" s="153"/>
      <c r="N38" s="153"/>
      <c r="O38" s="153"/>
      <c r="P38" s="153"/>
      <c r="Q38" s="153"/>
      <c r="R38" s="153"/>
      <c r="S38" s="153"/>
      <c r="T38" s="154"/>
      <c r="U38" s="154"/>
      <c r="V38" s="154"/>
      <c r="W38" s="154"/>
      <c r="X38" s="154"/>
      <c r="Y38" s="147"/>
    </row>
    <row r="39">
      <c r="A39" s="97" t="s">
        <v>94</v>
      </c>
      <c r="B39" s="155" t="str">
        <f t="shared" ref="B39:K39" si="40">B28</f>
        <v/>
      </c>
      <c r="C39" s="155">
        <f t="shared" si="40"/>
        <v>411000</v>
      </c>
      <c r="D39" s="155">
        <f t="shared" si="40"/>
        <v>16548000</v>
      </c>
      <c r="E39" s="155">
        <f t="shared" si="40"/>
        <v>146363000</v>
      </c>
      <c r="F39" s="155">
        <f t="shared" si="40"/>
        <v>111540000</v>
      </c>
      <c r="G39" s="155">
        <f t="shared" si="40"/>
        <v>149590000</v>
      </c>
      <c r="H39" s="155">
        <f t="shared" si="40"/>
        <v>218359000</v>
      </c>
      <c r="I39" s="155">
        <f t="shared" si="40"/>
        <v>509109000</v>
      </c>
      <c r="J39" s="155">
        <f t="shared" si="40"/>
        <v>341174000</v>
      </c>
      <c r="K39" s="155">
        <f t="shared" si="40"/>
        <v>199107000</v>
      </c>
      <c r="L39" s="130"/>
      <c r="M39" s="155">
        <f t="shared" ref="M39:S39" si="41">M28</f>
        <v>109807000</v>
      </c>
      <c r="N39" s="155">
        <f t="shared" si="41"/>
        <v>162281000</v>
      </c>
      <c r="O39" s="155">
        <f t="shared" si="41"/>
        <v>318047000</v>
      </c>
      <c r="P39" s="155">
        <f t="shared" si="41"/>
        <v>-74427000</v>
      </c>
      <c r="Q39" s="155">
        <f t="shared" si="41"/>
        <v>126196000</v>
      </c>
      <c r="R39" s="155">
        <f t="shared" si="41"/>
        <v>55062000</v>
      </c>
      <c r="S39" s="155">
        <f t="shared" si="41"/>
        <v>18328000</v>
      </c>
      <c r="T39" s="155">
        <v>2060000.0</v>
      </c>
      <c r="U39" s="155">
        <v>1.32441E8</v>
      </c>
      <c r="V39" s="155">
        <f t="shared" ref="V39:Y39" si="42">V28</f>
        <v>756735000</v>
      </c>
      <c r="W39" s="155">
        <f t="shared" si="42"/>
        <v>266282000</v>
      </c>
      <c r="X39" s="155">
        <f t="shared" si="42"/>
        <v>1218232000</v>
      </c>
      <c r="Y39" s="52">
        <f t="shared" si="42"/>
        <v>224458994.8</v>
      </c>
    </row>
    <row r="40">
      <c r="A40" s="2" t="s">
        <v>95</v>
      </c>
      <c r="B40" s="43"/>
      <c r="C40" s="43">
        <v>1.934E7</v>
      </c>
      <c r="D40" s="43">
        <v>3.9394E7</v>
      </c>
      <c r="E40" s="43">
        <v>5.9151E7</v>
      </c>
      <c r="F40" s="43">
        <f t="shared" ref="F40:F41" si="43">T40-(sum(C40:E40))</f>
        <v>-58408000</v>
      </c>
      <c r="G40" s="43">
        <v>2.2048E7</v>
      </c>
      <c r="H40" s="43">
        <v>4.5818E7</v>
      </c>
      <c r="I40" s="43">
        <v>6.943E7</v>
      </c>
      <c r="J40" s="43">
        <f t="shared" ref="J40:J41" si="44">X40-(sum(G40:I40))</f>
        <v>-43275000</v>
      </c>
      <c r="K40" s="43">
        <v>2.9663E7</v>
      </c>
      <c r="L40" s="118"/>
      <c r="M40" s="43">
        <v>3.7203E7</v>
      </c>
      <c r="N40" s="43">
        <v>4.0708E7</v>
      </c>
      <c r="O40" s="43">
        <v>4.4592E7</v>
      </c>
      <c r="P40" s="43">
        <v>4.9113E7</v>
      </c>
      <c r="Q40" s="43">
        <v>5.4026E7</v>
      </c>
      <c r="R40" s="43">
        <v>5.465E7</v>
      </c>
      <c r="S40" s="43">
        <v>5.8103E7</v>
      </c>
      <c r="T40" s="43">
        <v>5.9477E7</v>
      </c>
      <c r="U40" s="43">
        <v>6.8395E7</v>
      </c>
      <c r="V40" s="43">
        <v>7.2234E7</v>
      </c>
      <c r="W40" s="43">
        <v>8.0241E7</v>
      </c>
      <c r="X40" s="43">
        <v>9.4021E7</v>
      </c>
      <c r="Y40" s="125">
        <v>9.4021E7</v>
      </c>
    </row>
    <row r="41">
      <c r="A41" s="2" t="s">
        <v>96</v>
      </c>
      <c r="B41" s="43"/>
      <c r="C41" s="43">
        <v>322000.0</v>
      </c>
      <c r="D41" s="43">
        <v>5862000.0</v>
      </c>
      <c r="E41" s="43">
        <v>1.3488E7</v>
      </c>
      <c r="F41" s="43">
        <f t="shared" si="43"/>
        <v>2679000</v>
      </c>
      <c r="G41" s="43">
        <v>-1.4605E7</v>
      </c>
      <c r="H41" s="43">
        <v>-1.3825E7</v>
      </c>
      <c r="I41" s="43">
        <v>-1.4749E7</v>
      </c>
      <c r="J41" s="43">
        <f t="shared" si="44"/>
        <v>54749000</v>
      </c>
      <c r="K41" s="43">
        <v>1.3682E7</v>
      </c>
      <c r="L41" s="118"/>
      <c r="M41" s="43">
        <v>7625000.0</v>
      </c>
      <c r="N41" s="43">
        <v>5108000.0</v>
      </c>
      <c r="O41" s="43">
        <v>1.9392E7</v>
      </c>
      <c r="P41" s="43">
        <v>1.4833E7</v>
      </c>
      <c r="Q41" s="43">
        <v>-3.3809E7</v>
      </c>
      <c r="R41" s="43">
        <v>6123000.0</v>
      </c>
      <c r="S41" s="43">
        <v>1.0281E7</v>
      </c>
      <c r="T41" s="43">
        <v>2.2351E7</v>
      </c>
      <c r="U41" s="43">
        <v>5676000.0</v>
      </c>
      <c r="V41" s="43">
        <v>2.4467E7</v>
      </c>
      <c r="W41" s="43">
        <v>-9672000.0</v>
      </c>
      <c r="X41" s="43">
        <v>1.157E7</v>
      </c>
      <c r="Y41" s="52"/>
    </row>
    <row r="42">
      <c r="A42" s="2" t="s">
        <v>97</v>
      </c>
      <c r="B42" s="43"/>
      <c r="C42" s="43"/>
      <c r="D42" s="43"/>
      <c r="E42" s="43"/>
      <c r="F42" s="43"/>
      <c r="G42" s="43"/>
      <c r="H42" s="43"/>
      <c r="I42" s="43"/>
      <c r="J42" s="43"/>
      <c r="K42" s="43"/>
      <c r="L42" s="118"/>
      <c r="M42" s="43">
        <v>-3512000.0</v>
      </c>
      <c r="N42" s="43">
        <v>-2657000.0</v>
      </c>
      <c r="O42" s="43">
        <v>-5016000.0</v>
      </c>
      <c r="P42" s="43">
        <v>-1390000.0</v>
      </c>
      <c r="Q42" s="43">
        <v>-3517000.0</v>
      </c>
      <c r="R42" s="43">
        <v>-4775000.0</v>
      </c>
      <c r="S42" s="43">
        <v>-534000.0</v>
      </c>
      <c r="T42" s="43">
        <v>-622000.0</v>
      </c>
      <c r="U42" s="43">
        <v>-1943000.0</v>
      </c>
      <c r="V42" s="43">
        <v>0.0</v>
      </c>
      <c r="W42" s="43">
        <v>0.0</v>
      </c>
      <c r="X42" s="43">
        <v>0.0</v>
      </c>
      <c r="Y42" s="52"/>
    </row>
    <row r="43">
      <c r="A43" s="2" t="s">
        <v>98</v>
      </c>
      <c r="B43" s="43"/>
      <c r="C43" s="43"/>
      <c r="D43" s="43"/>
      <c r="E43" s="43"/>
      <c r="F43" s="43"/>
      <c r="G43" s="43"/>
      <c r="H43" s="43"/>
      <c r="I43" s="43"/>
      <c r="J43" s="43"/>
      <c r="K43" s="43"/>
      <c r="L43" s="118"/>
      <c r="M43" s="43">
        <v>651000.0</v>
      </c>
      <c r="N43" s="43">
        <v>568000.0</v>
      </c>
      <c r="O43" s="43">
        <v>-1563000.0</v>
      </c>
      <c r="P43" s="43">
        <v>3664000.0</v>
      </c>
      <c r="Q43" s="43">
        <v>473000.0</v>
      </c>
      <c r="R43" s="43">
        <v>33000.0</v>
      </c>
      <c r="S43" s="43">
        <v>82000.0</v>
      </c>
      <c r="T43" s="43">
        <v>2982000.0</v>
      </c>
      <c r="U43" s="43">
        <v>-5109000.0</v>
      </c>
      <c r="V43" s="43">
        <v>0.0</v>
      </c>
      <c r="W43" s="43">
        <v>0.0</v>
      </c>
      <c r="X43" s="43">
        <v>0.0</v>
      </c>
      <c r="Y43" s="52"/>
    </row>
    <row r="44">
      <c r="A44" s="2" t="s">
        <v>99</v>
      </c>
      <c r="B44" s="43"/>
      <c r="C44" s="43"/>
      <c r="D44" s="43"/>
      <c r="E44" s="43"/>
      <c r="F44" s="43"/>
      <c r="G44" s="43"/>
      <c r="H44" s="43"/>
      <c r="I44" s="43"/>
      <c r="J44" s="43"/>
      <c r="K44" s="43"/>
      <c r="L44" s="118"/>
      <c r="M44" s="43">
        <v>0.0</v>
      </c>
      <c r="N44" s="43">
        <v>0.0</v>
      </c>
      <c r="O44" s="43">
        <v>0.0</v>
      </c>
      <c r="P44" s="43">
        <v>0.0</v>
      </c>
      <c r="Q44" s="43">
        <v>0.0</v>
      </c>
      <c r="R44" s="43">
        <v>0.0</v>
      </c>
      <c r="S44" s="43">
        <v>2919000.0</v>
      </c>
      <c r="T44" s="43">
        <v>196000.0</v>
      </c>
      <c r="U44" s="43">
        <v>0.0</v>
      </c>
      <c r="V44" s="43">
        <v>0.0</v>
      </c>
      <c r="W44" s="43">
        <v>0.0</v>
      </c>
      <c r="X44" s="43">
        <v>0.0</v>
      </c>
      <c r="Y44" s="52"/>
    </row>
    <row r="45">
      <c r="A45" s="2" t="s">
        <v>100</v>
      </c>
      <c r="B45" s="43"/>
      <c r="C45" s="43"/>
      <c r="D45" s="43"/>
      <c r="E45" s="43"/>
      <c r="F45" s="43">
        <f>T45-(sum(C45:E45))</f>
        <v>3778000</v>
      </c>
      <c r="G45" s="43"/>
      <c r="H45" s="43"/>
      <c r="I45" s="43"/>
      <c r="J45" s="43">
        <f>X45-(sum(G45:I45))</f>
        <v>4527000</v>
      </c>
      <c r="K45" s="43"/>
      <c r="L45" s="118"/>
      <c r="M45" s="43">
        <v>1273000.0</v>
      </c>
      <c r="N45" s="43">
        <v>2268000.0</v>
      </c>
      <c r="O45" s="43">
        <v>3071000.0</v>
      </c>
      <c r="P45" s="43">
        <v>3427000.0</v>
      </c>
      <c r="Q45" s="43">
        <v>3467000.0</v>
      </c>
      <c r="R45" s="43">
        <v>3619000.0</v>
      </c>
      <c r="S45" s="43">
        <v>3617000.0</v>
      </c>
      <c r="T45" s="43">
        <v>3778000.0</v>
      </c>
      <c r="U45" s="43">
        <v>4063000.0</v>
      </c>
      <c r="V45" s="43">
        <v>4205000.0</v>
      </c>
      <c r="W45" s="43">
        <v>4358000.0</v>
      </c>
      <c r="X45" s="43">
        <v>4527000.0</v>
      </c>
      <c r="Y45" s="52"/>
    </row>
    <row r="46">
      <c r="A46" s="2" t="s">
        <v>101</v>
      </c>
      <c r="B46" s="43"/>
      <c r="C46" s="43"/>
      <c r="D46" s="43"/>
      <c r="E46" s="43"/>
      <c r="F46" s="43"/>
      <c r="G46" s="43"/>
      <c r="H46" s="43"/>
      <c r="I46" s="43"/>
      <c r="J46" s="43"/>
      <c r="K46" s="43"/>
      <c r="L46" s="118"/>
      <c r="M46" s="43">
        <v>0.0</v>
      </c>
      <c r="N46" s="43">
        <v>0.0</v>
      </c>
      <c r="O46" s="43">
        <v>0.0</v>
      </c>
      <c r="P46" s="43">
        <v>0.0</v>
      </c>
      <c r="Q46" s="43">
        <v>0.0</v>
      </c>
      <c r="R46" s="43">
        <v>0.0</v>
      </c>
      <c r="S46" s="43">
        <v>744000.0</v>
      </c>
      <c r="T46" s="43">
        <v>1810000.0</v>
      </c>
      <c r="U46" s="43">
        <v>-745000.0</v>
      </c>
      <c r="V46" s="43">
        <v>0.0</v>
      </c>
      <c r="W46" s="43">
        <v>0.0</v>
      </c>
      <c r="X46" s="43">
        <v>0.0</v>
      </c>
      <c r="Y46" s="52"/>
    </row>
    <row r="47">
      <c r="A47" s="2" t="s">
        <v>102</v>
      </c>
      <c r="B47" s="43"/>
      <c r="C47" s="43"/>
      <c r="D47" s="43"/>
      <c r="E47" s="43"/>
      <c r="F47" s="43"/>
      <c r="G47" s="43"/>
      <c r="H47" s="43"/>
      <c r="I47" s="43"/>
      <c r="J47" s="43"/>
      <c r="K47" s="43"/>
      <c r="L47" s="118"/>
      <c r="M47" s="43">
        <v>0.0</v>
      </c>
      <c r="N47" s="43">
        <v>0.0</v>
      </c>
      <c r="O47" s="43">
        <v>0.0</v>
      </c>
      <c r="P47" s="43">
        <v>0.0</v>
      </c>
      <c r="Q47" s="43">
        <v>0.0</v>
      </c>
      <c r="R47" s="43">
        <v>0.0</v>
      </c>
      <c r="S47" s="43">
        <v>-611000.0</v>
      </c>
      <c r="T47" s="43">
        <v>-22000.0</v>
      </c>
      <c r="U47" s="43">
        <v>-2208000.0</v>
      </c>
      <c r="V47" s="43">
        <v>0.0</v>
      </c>
      <c r="W47" s="43">
        <v>0.0</v>
      </c>
      <c r="X47" s="43">
        <v>0.0</v>
      </c>
      <c r="Y47" s="52"/>
    </row>
    <row r="48">
      <c r="A48" s="2" t="s">
        <v>103</v>
      </c>
      <c r="B48" s="43"/>
      <c r="C48" s="43"/>
      <c r="D48" s="43"/>
      <c r="E48" s="43"/>
      <c r="F48" s="43">
        <f>T48-(sum(C48:E48))</f>
        <v>0</v>
      </c>
      <c r="G48" s="43"/>
      <c r="H48" s="43"/>
      <c r="I48" s="43"/>
      <c r="J48" s="43">
        <f>X48-(sum(G48:I48))</f>
        <v>15000000</v>
      </c>
      <c r="K48" s="43"/>
      <c r="L48" s="118"/>
      <c r="M48" s="43">
        <v>4359000.0</v>
      </c>
      <c r="N48" s="43">
        <v>256000.0</v>
      </c>
      <c r="O48" s="43">
        <v>0.0</v>
      </c>
      <c r="P48" s="43">
        <v>0.0</v>
      </c>
      <c r="Q48" s="2">
        <v>0.0</v>
      </c>
      <c r="R48" s="2">
        <v>0.0</v>
      </c>
      <c r="S48" s="2">
        <v>0.0</v>
      </c>
      <c r="T48" s="53"/>
      <c r="U48" s="53"/>
      <c r="V48" s="43">
        <v>0.0</v>
      </c>
      <c r="W48" s="43">
        <v>5500000.0</v>
      </c>
      <c r="X48" s="43">
        <v>1.5E7</v>
      </c>
      <c r="Y48" s="52"/>
    </row>
    <row r="49">
      <c r="A49" s="2" t="s">
        <v>104</v>
      </c>
      <c r="B49" s="43"/>
      <c r="C49" s="43"/>
      <c r="D49" s="43"/>
      <c r="E49" s="43"/>
      <c r="F49" s="43"/>
      <c r="G49" s="43"/>
      <c r="H49" s="43"/>
      <c r="I49" s="43"/>
      <c r="J49" s="43"/>
      <c r="K49" s="43"/>
      <c r="L49" s="118"/>
      <c r="M49" s="43">
        <v>0.0</v>
      </c>
      <c r="N49" s="43">
        <v>0.0</v>
      </c>
      <c r="O49" s="43">
        <v>0.0</v>
      </c>
      <c r="P49" s="43">
        <v>0.0</v>
      </c>
      <c r="Q49" s="43">
        <v>0.0</v>
      </c>
      <c r="R49" s="43">
        <v>0.0</v>
      </c>
      <c r="S49" s="43">
        <v>-275000.0</v>
      </c>
      <c r="T49" s="43">
        <v>-334000.0</v>
      </c>
      <c r="U49" s="43">
        <v>3469000.0</v>
      </c>
      <c r="V49" s="43">
        <v>0.0</v>
      </c>
      <c r="W49" s="43">
        <v>0.0</v>
      </c>
      <c r="X49" s="43">
        <v>0.0</v>
      </c>
      <c r="Y49" s="52"/>
    </row>
    <row r="50">
      <c r="A50" s="2" t="s">
        <v>105</v>
      </c>
      <c r="B50" s="43"/>
      <c r="C50" s="43"/>
      <c r="D50" s="43"/>
      <c r="E50" s="43"/>
      <c r="F50" s="43"/>
      <c r="G50" s="43"/>
      <c r="H50" s="43"/>
      <c r="I50" s="43"/>
      <c r="J50" s="43"/>
      <c r="K50" s="43"/>
      <c r="L50" s="118"/>
      <c r="M50" s="43">
        <v>0.0</v>
      </c>
      <c r="N50" s="43">
        <v>0.0</v>
      </c>
      <c r="O50" s="43">
        <v>0.0</v>
      </c>
      <c r="P50" s="43">
        <v>0.0</v>
      </c>
      <c r="Q50" s="43">
        <v>0.0</v>
      </c>
      <c r="R50" s="43">
        <v>0.0</v>
      </c>
      <c r="S50" s="43">
        <v>1212000.0</v>
      </c>
      <c r="T50" s="43">
        <v>55000.0</v>
      </c>
      <c r="U50" s="43">
        <v>4939000.0</v>
      </c>
      <c r="V50" s="43">
        <v>0.0</v>
      </c>
      <c r="W50" s="43">
        <v>0.0</v>
      </c>
      <c r="X50" s="43">
        <v>0.0</v>
      </c>
      <c r="Y50" s="52"/>
    </row>
    <row r="51">
      <c r="A51" s="2" t="s">
        <v>106</v>
      </c>
      <c r="B51" s="43"/>
      <c r="C51" s="43"/>
      <c r="D51" s="43"/>
      <c r="E51" s="43"/>
      <c r="F51" s="43"/>
      <c r="G51" s="43"/>
      <c r="H51" s="43"/>
      <c r="I51" s="43"/>
      <c r="J51" s="43"/>
      <c r="K51" s="43"/>
      <c r="L51" s="118"/>
      <c r="M51" s="43">
        <v>0.0</v>
      </c>
      <c r="N51" s="43">
        <v>0.0</v>
      </c>
      <c r="O51" s="43">
        <v>0.0</v>
      </c>
      <c r="P51" s="43">
        <v>3398000.0</v>
      </c>
      <c r="Q51" s="43">
        <v>1680000.0</v>
      </c>
      <c r="R51" s="43">
        <v>962000.0</v>
      </c>
      <c r="S51" s="43">
        <v>316000.0</v>
      </c>
      <c r="T51" s="43">
        <v>890000.0</v>
      </c>
      <c r="U51" s="43">
        <v>977000.0</v>
      </c>
      <c r="V51" s="43">
        <v>0.0</v>
      </c>
      <c r="W51" s="43">
        <v>0.0</v>
      </c>
      <c r="X51" s="43">
        <v>0.0</v>
      </c>
      <c r="Y51" s="52"/>
    </row>
    <row r="52">
      <c r="A52" s="2" t="s">
        <v>107</v>
      </c>
      <c r="B52" s="43"/>
      <c r="C52" s="43"/>
      <c r="D52" s="43"/>
      <c r="E52" s="43"/>
      <c r="F52" s="43"/>
      <c r="G52" s="43"/>
      <c r="H52" s="43"/>
      <c r="I52" s="43"/>
      <c r="J52" s="43"/>
      <c r="K52" s="43"/>
      <c r="L52" s="118"/>
      <c r="M52" s="43"/>
      <c r="N52" s="43"/>
      <c r="O52" s="43"/>
      <c r="P52" s="43"/>
      <c r="Q52" s="43"/>
      <c r="R52" s="43"/>
      <c r="S52" s="43">
        <v>0.0</v>
      </c>
      <c r="T52" s="43">
        <v>0.0</v>
      </c>
      <c r="U52" s="43">
        <v>-4545000.0</v>
      </c>
      <c r="V52" s="43"/>
      <c r="W52" s="43"/>
      <c r="X52" s="43"/>
      <c r="Y52" s="52"/>
    </row>
    <row r="53">
      <c r="A53" s="2" t="s">
        <v>108</v>
      </c>
      <c r="B53" s="43"/>
      <c r="C53" s="43">
        <v>3612000.0</v>
      </c>
      <c r="D53" s="43">
        <v>1.1407E7</v>
      </c>
      <c r="E53" s="43">
        <v>1613000.0</v>
      </c>
      <c r="F53" s="43">
        <f t="shared" ref="F53:F58" si="45">T53-(sum(C53:E53))</f>
        <v>-17059000</v>
      </c>
      <c r="G53" s="43">
        <v>-3.9581E7</v>
      </c>
      <c r="H53" s="43">
        <v>-1.59791E8</v>
      </c>
      <c r="I53" s="43">
        <v>-1.19057E8</v>
      </c>
      <c r="J53" s="43">
        <f t="shared" ref="J53:J58" si="46">X53-(sum(G53:I53))</f>
        <v>303003000</v>
      </c>
      <c r="K53" s="43">
        <v>3.6152E7</v>
      </c>
      <c r="L53" s="118"/>
      <c r="M53" s="43">
        <v>-3976000.0</v>
      </c>
      <c r="N53" s="43">
        <v>-584000.0</v>
      </c>
      <c r="O53" s="43">
        <v>-798000.0</v>
      </c>
      <c r="P53" s="43">
        <v>-209000.0</v>
      </c>
      <c r="Q53" s="43">
        <v>71000.0</v>
      </c>
      <c r="R53" s="43">
        <v>23000.0</v>
      </c>
      <c r="S53" s="43">
        <v>-248000.0</v>
      </c>
      <c r="T53" s="43">
        <v>-427000.0</v>
      </c>
      <c r="U53" s="43">
        <v>-109000.0</v>
      </c>
      <c r="V53" s="43">
        <v>-1491000.0</v>
      </c>
      <c r="W53" s="43">
        <v>-6908000.0</v>
      </c>
      <c r="X53" s="43">
        <v>-1.5426E7</v>
      </c>
      <c r="Y53" s="52"/>
    </row>
    <row r="54">
      <c r="A54" s="2" t="s">
        <v>109</v>
      </c>
      <c r="B54" s="53"/>
      <c r="C54" s="53"/>
      <c r="D54" s="53"/>
      <c r="E54" s="53"/>
      <c r="F54" s="53">
        <f t="shared" si="45"/>
        <v>-33487000</v>
      </c>
      <c r="G54" s="53"/>
      <c r="H54" s="53"/>
      <c r="I54" s="53"/>
      <c r="J54" s="53">
        <f t="shared" si="46"/>
        <v>-104997000</v>
      </c>
      <c r="K54" s="53"/>
      <c r="L54" s="136"/>
      <c r="M54" s="43">
        <v>-2282000.0</v>
      </c>
      <c r="N54" s="43">
        <v>-1.8961E7</v>
      </c>
      <c r="O54" s="43">
        <v>2.116E7</v>
      </c>
      <c r="P54" s="43">
        <v>-3.7222E7</v>
      </c>
      <c r="Q54" s="43">
        <v>3.1402E7</v>
      </c>
      <c r="R54" s="43">
        <v>1.6011E7</v>
      </c>
      <c r="S54" s="43">
        <v>-2.83E7</v>
      </c>
      <c r="T54" s="43">
        <v>-3.3487E7</v>
      </c>
      <c r="U54" s="43">
        <v>-9.7722E7</v>
      </c>
      <c r="V54" s="43">
        <v>5.8129E7</v>
      </c>
      <c r="W54" s="43">
        <v>-2.757E7</v>
      </c>
      <c r="X54" s="43">
        <v>-1.04997E8</v>
      </c>
      <c r="Y54" s="131"/>
      <c r="Z54" s="132"/>
      <c r="AA54" s="132"/>
      <c r="AB54" s="132"/>
      <c r="AC54" s="132"/>
      <c r="AD54" s="132"/>
    </row>
    <row r="55">
      <c r="A55" s="2" t="s">
        <v>110</v>
      </c>
      <c r="B55" s="53"/>
      <c r="C55" s="53"/>
      <c r="D55" s="53"/>
      <c r="E55" s="53"/>
      <c r="F55" s="53">
        <f t="shared" si="45"/>
        <v>-31159000</v>
      </c>
      <c r="G55" s="53"/>
      <c r="H55" s="53"/>
      <c r="I55" s="53"/>
      <c r="J55" s="53">
        <f t="shared" si="46"/>
        <v>-12224000</v>
      </c>
      <c r="K55" s="53"/>
      <c r="L55" s="136"/>
      <c r="M55" s="43">
        <v>8909000.0</v>
      </c>
      <c r="N55" s="43">
        <v>-143000.0</v>
      </c>
      <c r="O55" s="43">
        <v>-8539000.0</v>
      </c>
      <c r="P55" s="43">
        <v>2386000.0</v>
      </c>
      <c r="Q55" s="43">
        <v>-7952000.0</v>
      </c>
      <c r="R55" s="43">
        <v>-2285000.0</v>
      </c>
      <c r="S55" s="43">
        <v>-9704000.0</v>
      </c>
      <c r="T55" s="43">
        <v>-3.1159E7</v>
      </c>
      <c r="U55" s="43">
        <v>-3.6152E7</v>
      </c>
      <c r="V55" s="43">
        <v>-2.1102E7</v>
      </c>
      <c r="W55" s="43">
        <v>2.88E7</v>
      </c>
      <c r="X55" s="43">
        <v>-1.2224E7</v>
      </c>
      <c r="Y55" s="131"/>
      <c r="Z55" s="132"/>
      <c r="AA55" s="132"/>
      <c r="AB55" s="132"/>
      <c r="AC55" s="132"/>
      <c r="AD55" s="132"/>
    </row>
    <row r="56">
      <c r="A56" s="2" t="s">
        <v>111</v>
      </c>
      <c r="B56" s="53"/>
      <c r="C56" s="53"/>
      <c r="D56" s="53"/>
      <c r="E56" s="53"/>
      <c r="F56" s="53">
        <f t="shared" si="45"/>
        <v>0</v>
      </c>
      <c r="G56" s="53"/>
      <c r="H56" s="53"/>
      <c r="I56" s="53"/>
      <c r="J56" s="53">
        <f t="shared" si="46"/>
        <v>-45946000</v>
      </c>
      <c r="K56" s="53"/>
      <c r="L56" s="136"/>
      <c r="M56" s="43">
        <v>0.0</v>
      </c>
      <c r="N56" s="43">
        <v>0.0</v>
      </c>
      <c r="O56" s="43">
        <v>0.0</v>
      </c>
      <c r="P56" s="43">
        <v>0.0</v>
      </c>
      <c r="Q56" s="43">
        <v>0.0</v>
      </c>
      <c r="R56" s="43">
        <v>0.0</v>
      </c>
      <c r="S56" s="43">
        <v>0.0</v>
      </c>
      <c r="T56" s="43">
        <v>0.0</v>
      </c>
      <c r="U56" s="43">
        <v>0.0</v>
      </c>
      <c r="V56" s="43">
        <v>-4.2218E7</v>
      </c>
      <c r="W56" s="43">
        <v>9.1567E7</v>
      </c>
      <c r="X56" s="43">
        <v>-4.5946E7</v>
      </c>
      <c r="Y56" s="131"/>
      <c r="Z56" s="132"/>
      <c r="AA56" s="132"/>
      <c r="AB56" s="132"/>
      <c r="AC56" s="132"/>
      <c r="AD56" s="132"/>
    </row>
    <row r="57">
      <c r="A57" s="2" t="s">
        <v>112</v>
      </c>
      <c r="B57" s="53"/>
      <c r="C57" s="53"/>
      <c r="D57" s="53"/>
      <c r="E57" s="53"/>
      <c r="F57" s="53">
        <f t="shared" si="45"/>
        <v>-1412000</v>
      </c>
      <c r="G57" s="53"/>
      <c r="H57" s="53"/>
      <c r="I57" s="53"/>
      <c r="J57" s="53">
        <f t="shared" si="46"/>
        <v>65311000</v>
      </c>
      <c r="K57" s="53"/>
      <c r="L57" s="136"/>
      <c r="M57" s="43">
        <v>-8137000.0</v>
      </c>
      <c r="N57" s="43">
        <v>6486000.0</v>
      </c>
      <c r="O57" s="43">
        <v>-8508000.0</v>
      </c>
      <c r="P57" s="43">
        <v>-9491000.0</v>
      </c>
      <c r="Q57" s="43">
        <v>2.8378E7</v>
      </c>
      <c r="R57" s="43">
        <v>-1.4338E7</v>
      </c>
      <c r="S57" s="43">
        <v>1.7679E7</v>
      </c>
      <c r="T57" s="43">
        <v>-1412000.0</v>
      </c>
      <c r="U57" s="43">
        <v>5.4782E7</v>
      </c>
      <c r="V57" s="43">
        <v>1.4944E7</v>
      </c>
      <c r="W57" s="43">
        <v>9353000.0</v>
      </c>
      <c r="X57" s="43">
        <v>6.5311E7</v>
      </c>
      <c r="Y57" s="131"/>
      <c r="Z57" s="132"/>
      <c r="AA57" s="132"/>
      <c r="AB57" s="132"/>
      <c r="AC57" s="132"/>
      <c r="AD57" s="132"/>
    </row>
    <row r="58">
      <c r="A58" s="2" t="s">
        <v>113</v>
      </c>
      <c r="B58" s="53"/>
      <c r="C58" s="53"/>
      <c r="D58" s="53"/>
      <c r="E58" s="53"/>
      <c r="F58" s="53">
        <f t="shared" si="45"/>
        <v>0</v>
      </c>
      <c r="G58" s="53"/>
      <c r="H58" s="53"/>
      <c r="I58" s="53"/>
      <c r="J58" s="53">
        <f t="shared" si="46"/>
        <v>-5334000</v>
      </c>
      <c r="K58" s="53"/>
      <c r="L58" s="136"/>
      <c r="M58" s="43">
        <v>0.0</v>
      </c>
      <c r="N58" s="43">
        <v>0.0</v>
      </c>
      <c r="O58" s="43">
        <v>0.0</v>
      </c>
      <c r="P58" s="43">
        <v>0.0</v>
      </c>
      <c r="Q58" s="43">
        <v>0.0</v>
      </c>
      <c r="R58" s="43">
        <v>0.0</v>
      </c>
      <c r="S58" s="43">
        <v>0.0</v>
      </c>
      <c r="T58" s="43">
        <v>0.0</v>
      </c>
      <c r="U58" s="43">
        <v>0.0</v>
      </c>
      <c r="V58" s="43">
        <v>-2890000.0</v>
      </c>
      <c r="W58" s="43">
        <v>-553000.0</v>
      </c>
      <c r="X58" s="43">
        <v>-5334000.0</v>
      </c>
      <c r="Y58" s="131"/>
      <c r="Z58" s="132"/>
      <c r="AA58" s="132"/>
      <c r="AB58" s="132"/>
      <c r="AC58" s="132"/>
      <c r="AD58" s="132"/>
    </row>
    <row r="59">
      <c r="A59" s="2" t="s">
        <v>114</v>
      </c>
      <c r="B59" s="53"/>
      <c r="C59" s="53"/>
      <c r="D59" s="53"/>
      <c r="E59" s="53"/>
      <c r="F59" s="53"/>
      <c r="G59" s="53"/>
      <c r="H59" s="53"/>
      <c r="I59" s="53"/>
      <c r="J59" s="53"/>
      <c r="K59" s="53"/>
      <c r="L59" s="136"/>
      <c r="M59" s="43">
        <v>-2.8E7</v>
      </c>
      <c r="N59" s="43">
        <v>0.0</v>
      </c>
      <c r="O59" s="43">
        <v>0.0</v>
      </c>
      <c r="P59" s="43"/>
      <c r="Q59" s="43"/>
      <c r="R59" s="43"/>
      <c r="S59" s="43"/>
      <c r="T59" s="43"/>
      <c r="U59" s="43"/>
      <c r="V59" s="43"/>
      <c r="W59" s="43"/>
      <c r="X59" s="43"/>
      <c r="Y59" s="131"/>
      <c r="Z59" s="132"/>
      <c r="AA59" s="132"/>
      <c r="AB59" s="132"/>
      <c r="AC59" s="132"/>
      <c r="AD59" s="132"/>
    </row>
    <row r="60">
      <c r="A60" s="127" t="s">
        <v>115</v>
      </c>
      <c r="B60" s="129"/>
      <c r="C60" s="129">
        <f t="shared" ref="C60:K60" si="47">SUM(C39:C58)</f>
        <v>23685000</v>
      </c>
      <c r="D60" s="129">
        <f t="shared" si="47"/>
        <v>73211000</v>
      </c>
      <c r="E60" s="129">
        <f t="shared" si="47"/>
        <v>220615000</v>
      </c>
      <c r="F60" s="129">
        <f t="shared" si="47"/>
        <v>-23528000</v>
      </c>
      <c r="G60" s="129">
        <f t="shared" si="47"/>
        <v>117452000</v>
      </c>
      <c r="H60" s="129">
        <f t="shared" si="47"/>
        <v>90561000</v>
      </c>
      <c r="I60" s="129">
        <f t="shared" si="47"/>
        <v>444733000</v>
      </c>
      <c r="J60" s="129">
        <f t="shared" si="47"/>
        <v>571988000</v>
      </c>
      <c r="K60" s="129">
        <f t="shared" si="47"/>
        <v>278604000</v>
      </c>
      <c r="L60" s="134"/>
      <c r="M60" s="128">
        <v>1.2392E8</v>
      </c>
      <c r="N60" s="128">
        <v>1.9533E8</v>
      </c>
      <c r="O60" s="128">
        <v>3.88437E8</v>
      </c>
      <c r="P60" s="128">
        <v>-4.5918E7</v>
      </c>
      <c r="Q60" s="128">
        <v>2.00415E8</v>
      </c>
      <c r="R60" s="128">
        <v>1.15085E8</v>
      </c>
      <c r="S60" s="128">
        <v>7.3609E7</v>
      </c>
      <c r="T60" s="128">
        <v>2.6136E7</v>
      </c>
      <c r="U60" s="128">
        <v>1.26206E8</v>
      </c>
      <c r="V60" s="128">
        <v>8.6301E8</v>
      </c>
      <c r="W60" s="128">
        <v>4.51398E8</v>
      </c>
      <c r="X60" s="128">
        <v>1.224734E9</v>
      </c>
      <c r="Y60" s="131"/>
      <c r="Z60" s="132"/>
      <c r="AA60" s="132"/>
      <c r="AB60" s="132"/>
      <c r="AC60" s="132"/>
      <c r="AD60" s="132"/>
    </row>
    <row r="61">
      <c r="B61" s="53"/>
      <c r="C61" s="53"/>
      <c r="D61" s="53"/>
      <c r="E61" s="53"/>
      <c r="F61" s="53"/>
      <c r="G61" s="53"/>
      <c r="H61" s="53"/>
      <c r="I61" s="53"/>
      <c r="J61" s="53"/>
      <c r="K61" s="53"/>
      <c r="L61" s="136"/>
      <c r="M61" s="53"/>
      <c r="N61" s="53"/>
      <c r="O61" s="53"/>
      <c r="P61" s="53"/>
      <c r="Q61" s="53"/>
      <c r="R61" s="53"/>
      <c r="S61" s="53"/>
      <c r="T61" s="53"/>
      <c r="U61" s="53"/>
      <c r="V61" s="53"/>
      <c r="W61" s="53"/>
      <c r="X61" s="53"/>
      <c r="Y61" s="52"/>
    </row>
    <row r="62">
      <c r="A62" s="2" t="s">
        <v>116</v>
      </c>
      <c r="B62" s="43"/>
      <c r="C62" s="43">
        <v>-2.8296E7</v>
      </c>
      <c r="D62" s="43">
        <v>-4.3569E7</v>
      </c>
      <c r="E62" s="43">
        <v>-2.43518E8</v>
      </c>
      <c r="F62" s="43">
        <f t="shared" ref="F62:F64" si="48">T62-(sum(C62:E62))</f>
        <v>227100000</v>
      </c>
      <c r="G62" s="43">
        <v>-2.02196E8</v>
      </c>
      <c r="H62" s="43">
        <v>-5.01567E8</v>
      </c>
      <c r="I62" s="43">
        <v>-8.1313E8</v>
      </c>
      <c r="J62" s="43">
        <f t="shared" ref="J62:J64" si="49">X62-(sum(G62:I62))</f>
        <v>303300000</v>
      </c>
      <c r="K62" s="43">
        <v>-2.70315E8</v>
      </c>
      <c r="L62" s="118"/>
      <c r="M62" s="43">
        <v>-1.42585E8</v>
      </c>
      <c r="N62" s="43">
        <v>-2.02506E8</v>
      </c>
      <c r="O62" s="43">
        <v>-4.03204E8</v>
      </c>
      <c r="P62" s="43">
        <v>-2.9849E7</v>
      </c>
      <c r="Q62" s="43">
        <v>-2.75287E8</v>
      </c>
      <c r="R62" s="43">
        <v>-1.76951E8</v>
      </c>
      <c r="S62" s="43">
        <v>-1.07234E8</v>
      </c>
      <c r="T62" s="43">
        <v>-8.8283E7</v>
      </c>
      <c r="U62" s="43">
        <v>-9.8243E7</v>
      </c>
      <c r="V62" s="43">
        <v>-5.30781E8</v>
      </c>
      <c r="W62" s="43">
        <v>-5.73565E8</v>
      </c>
      <c r="X62" s="43">
        <v>-1.213593E9</v>
      </c>
      <c r="Y62" s="52"/>
    </row>
    <row r="63">
      <c r="A63" s="2" t="s">
        <v>117</v>
      </c>
      <c r="B63" s="43"/>
      <c r="C63" s="43">
        <v>1.35768E8</v>
      </c>
      <c r="D63" s="43">
        <v>1.96104E8</v>
      </c>
      <c r="E63" s="43">
        <v>2.73915E8</v>
      </c>
      <c r="F63" s="43">
        <f t="shared" si="48"/>
        <v>-476679000</v>
      </c>
      <c r="G63" s="43">
        <v>2.09673E8</v>
      </c>
      <c r="H63" s="43">
        <v>4.265E8</v>
      </c>
      <c r="I63" s="43">
        <v>6.54392E8</v>
      </c>
      <c r="J63" s="43">
        <f t="shared" si="49"/>
        <v>-382925000</v>
      </c>
      <c r="K63" s="43">
        <v>1.81145E8</v>
      </c>
      <c r="L63" s="118"/>
      <c r="M63" s="43">
        <v>1.08117E8</v>
      </c>
      <c r="N63" s="43">
        <v>1.46779E8</v>
      </c>
      <c r="O63" s="43">
        <v>2.92452E8</v>
      </c>
      <c r="P63" s="43">
        <v>2.48292E8</v>
      </c>
      <c r="Q63" s="43">
        <v>1.27664E8</v>
      </c>
      <c r="R63" s="43">
        <v>2.09806E8</v>
      </c>
      <c r="S63" s="43">
        <v>2.04277E8</v>
      </c>
      <c r="T63" s="43">
        <v>1.29108E8</v>
      </c>
      <c r="U63" s="43">
        <v>9.2703E7</v>
      </c>
      <c r="V63" s="43">
        <v>2.91832E8</v>
      </c>
      <c r="W63" s="43">
        <v>3.58932E8</v>
      </c>
      <c r="X63" s="43">
        <v>9.0764E8</v>
      </c>
      <c r="Y63" s="52"/>
    </row>
    <row r="64">
      <c r="A64" s="2" t="s">
        <v>118</v>
      </c>
      <c r="B64" s="43"/>
      <c r="C64" s="43">
        <v>0.0</v>
      </c>
      <c r="D64" s="43">
        <v>-363000.0</v>
      </c>
      <c r="E64" s="43">
        <v>-363000.0</v>
      </c>
      <c r="F64" s="43">
        <f t="shared" si="48"/>
        <v>726000</v>
      </c>
      <c r="G64" s="43">
        <v>0.0</v>
      </c>
      <c r="H64" s="43">
        <v>0.0</v>
      </c>
      <c r="I64" s="43">
        <v>0.0</v>
      </c>
      <c r="J64" s="43">
        <f t="shared" si="49"/>
        <v>0</v>
      </c>
      <c r="K64" s="2">
        <v>0.0</v>
      </c>
      <c r="L64" s="118"/>
      <c r="M64" s="43">
        <v>0.0</v>
      </c>
      <c r="N64" s="43">
        <v>0.0</v>
      </c>
      <c r="O64" s="43">
        <v>-3.3959E7</v>
      </c>
      <c r="P64" s="43">
        <v>-1.99E7</v>
      </c>
      <c r="Q64" s="43">
        <v>-4100000.0</v>
      </c>
      <c r="R64" s="43">
        <v>-4273000.0</v>
      </c>
      <c r="S64" s="43">
        <v>0.0</v>
      </c>
      <c r="T64" s="43">
        <v>0.0</v>
      </c>
      <c r="U64" s="43">
        <v>-3000000.0</v>
      </c>
      <c r="V64" s="43">
        <v>-1673000.0</v>
      </c>
      <c r="W64" s="43">
        <v>-363000.0</v>
      </c>
      <c r="X64" s="43">
        <v>0.0</v>
      </c>
      <c r="Y64" s="52"/>
    </row>
    <row r="65">
      <c r="A65" s="2" t="s">
        <v>119</v>
      </c>
      <c r="B65" s="2"/>
      <c r="C65" s="2"/>
      <c r="D65" s="43"/>
      <c r="E65" s="43"/>
      <c r="F65" s="43"/>
      <c r="G65" s="43"/>
      <c r="H65" s="43"/>
      <c r="I65" s="43"/>
      <c r="J65" s="43"/>
      <c r="K65" s="43"/>
      <c r="L65" s="118"/>
      <c r="M65" s="43">
        <v>5003000.0</v>
      </c>
      <c r="N65" s="43">
        <v>2019000.0</v>
      </c>
      <c r="O65" s="43">
        <v>5427000.0</v>
      </c>
      <c r="P65" s="43">
        <v>6586000.0</v>
      </c>
      <c r="Q65" s="43">
        <v>6581000.0</v>
      </c>
      <c r="R65" s="43">
        <v>0.0</v>
      </c>
      <c r="S65" s="43">
        <v>0.0</v>
      </c>
      <c r="T65" s="43">
        <v>0.0</v>
      </c>
      <c r="U65" s="43">
        <v>0.0</v>
      </c>
      <c r="V65" s="43">
        <v>0.0</v>
      </c>
      <c r="W65" s="43">
        <v>0.0</v>
      </c>
      <c r="X65" s="43">
        <v>0.0</v>
      </c>
      <c r="Y65" s="52"/>
    </row>
    <row r="66">
      <c r="A66" s="2" t="s">
        <v>120</v>
      </c>
      <c r="B66" s="2"/>
      <c r="C66" s="2">
        <v>0.0</v>
      </c>
      <c r="D66" s="43">
        <v>0.0</v>
      </c>
      <c r="E66" s="43">
        <v>1000000.0</v>
      </c>
      <c r="F66" s="43">
        <f t="shared" ref="F66:F69" si="50">T66-(sum(C66:E66))</f>
        <v>5663000</v>
      </c>
      <c r="G66" s="43">
        <v>0.0</v>
      </c>
      <c r="H66" s="43">
        <v>750000.0</v>
      </c>
      <c r="I66" s="43">
        <v>1550000.0</v>
      </c>
      <c r="J66" s="43">
        <f t="shared" ref="J66:J69" si="51">X66-(sum(G66:I66))</f>
        <v>1750000</v>
      </c>
      <c r="K66" s="43">
        <v>0.0</v>
      </c>
      <c r="L66" s="118"/>
      <c r="M66" s="43">
        <v>0.0</v>
      </c>
      <c r="N66" s="43">
        <v>0.0</v>
      </c>
      <c r="O66" s="43">
        <v>0.0</v>
      </c>
      <c r="P66" s="43">
        <v>0.0</v>
      </c>
      <c r="Q66" s="2">
        <v>0.0</v>
      </c>
      <c r="R66" s="43">
        <v>7904000.0</v>
      </c>
      <c r="S66" s="43">
        <v>7114000.0</v>
      </c>
      <c r="T66" s="43">
        <v>6663000.0</v>
      </c>
      <c r="U66" s="43">
        <v>400000.0</v>
      </c>
      <c r="V66" s="43">
        <v>1500000.0</v>
      </c>
      <c r="W66" s="43">
        <v>3000000.0</v>
      </c>
      <c r="X66" s="43">
        <v>4050000.0</v>
      </c>
      <c r="Y66" s="52"/>
    </row>
    <row r="67">
      <c r="A67" s="2" t="s">
        <v>121</v>
      </c>
      <c r="B67" s="2"/>
      <c r="C67" s="2">
        <v>0.0</v>
      </c>
      <c r="D67" s="43">
        <v>-5.3746E7</v>
      </c>
      <c r="E67" s="43">
        <v>-5.3746E7</v>
      </c>
      <c r="F67" s="43">
        <f t="shared" si="50"/>
        <v>107492000</v>
      </c>
      <c r="G67" s="43">
        <v>-1.11521E8</v>
      </c>
      <c r="H67" s="43">
        <v>-1.11521E8</v>
      </c>
      <c r="I67" s="43">
        <v>-1.16193E8</v>
      </c>
      <c r="J67" s="43">
        <f t="shared" si="51"/>
        <v>223042000</v>
      </c>
      <c r="K67" s="43">
        <v>-2.75291E8</v>
      </c>
      <c r="L67" s="118"/>
      <c r="M67" s="43">
        <v>-1.1548E7</v>
      </c>
      <c r="N67" s="43">
        <v>0.0</v>
      </c>
      <c r="O67" s="43">
        <v>0.0</v>
      </c>
      <c r="P67" s="43">
        <v>-8.5822E7</v>
      </c>
      <c r="Q67" s="43">
        <v>0.0</v>
      </c>
      <c r="R67" s="43">
        <v>-1.7889E7</v>
      </c>
      <c r="S67" s="43">
        <v>-4.465E7</v>
      </c>
      <c r="T67" s="43">
        <v>0.0</v>
      </c>
      <c r="U67" s="43">
        <v>-4.4823E7</v>
      </c>
      <c r="V67" s="43">
        <v>0.0</v>
      </c>
      <c r="W67" s="43">
        <v>-5.3746E7</v>
      </c>
      <c r="X67" s="43">
        <v>-1.16193E8</v>
      </c>
      <c r="Y67" s="52"/>
    </row>
    <row r="68">
      <c r="A68" s="2" t="s">
        <v>122</v>
      </c>
      <c r="B68" s="43"/>
      <c r="C68" s="43">
        <v>-2.6666E7</v>
      </c>
      <c r="D68" s="43">
        <v>-6.5774E7</v>
      </c>
      <c r="E68" s="43">
        <v>-9.5969E7</v>
      </c>
      <c r="F68" s="43">
        <f t="shared" si="50"/>
        <v>93340000</v>
      </c>
      <c r="G68" s="43">
        <v>-3.5773E7</v>
      </c>
      <c r="H68" s="43">
        <v>-6.5588E7</v>
      </c>
      <c r="I68" s="43">
        <v>-1.15395E8</v>
      </c>
      <c r="J68" s="43">
        <f t="shared" si="51"/>
        <v>55501000</v>
      </c>
      <c r="K68" s="43">
        <v>-4.5302E7</v>
      </c>
      <c r="L68" s="118"/>
      <c r="M68" s="43">
        <v>-5.9188E7</v>
      </c>
      <c r="N68" s="43">
        <v>-8.2263E7</v>
      </c>
      <c r="O68" s="43">
        <v>-7.6125E7</v>
      </c>
      <c r="P68" s="43">
        <v>-6.6657E7</v>
      </c>
      <c r="Q68" s="43">
        <v>-1.9671E7</v>
      </c>
      <c r="R68" s="43">
        <v>-6.7989E7</v>
      </c>
      <c r="S68" s="43">
        <v>-1.24178E8</v>
      </c>
      <c r="T68" s="43">
        <v>-9.5069E7</v>
      </c>
      <c r="U68" s="43">
        <v>-7.2399E7</v>
      </c>
      <c r="V68" s="43">
        <v>-1.36569E8</v>
      </c>
      <c r="W68" s="43">
        <v>-1.47116E8</v>
      </c>
      <c r="X68" s="43">
        <v>-1.61255E8</v>
      </c>
      <c r="Y68" s="52"/>
    </row>
    <row r="69">
      <c r="A69" s="2" t="s">
        <v>123</v>
      </c>
      <c r="B69" s="43"/>
      <c r="C69" s="43">
        <v>74000.0</v>
      </c>
      <c r="D69" s="43">
        <v>150000.0</v>
      </c>
      <c r="E69" s="43">
        <v>243000.0</v>
      </c>
      <c r="F69" s="43">
        <f t="shared" si="50"/>
        <v>2923000</v>
      </c>
      <c r="G69" s="43">
        <v>3946000.0</v>
      </c>
      <c r="H69" s="43">
        <v>4004000.0</v>
      </c>
      <c r="I69" s="43">
        <v>3650000.0</v>
      </c>
      <c r="J69" s="43">
        <f t="shared" si="51"/>
        <v>-7718000</v>
      </c>
      <c r="K69" s="43">
        <v>49000.0</v>
      </c>
      <c r="L69" s="118"/>
      <c r="M69" s="43">
        <v>818000.0</v>
      </c>
      <c r="N69" s="43">
        <v>2499000.0</v>
      </c>
      <c r="O69" s="43">
        <v>2860000.0</v>
      </c>
      <c r="P69" s="43">
        <v>84000.0</v>
      </c>
      <c r="Q69" s="43">
        <v>963000.0</v>
      </c>
      <c r="R69" s="43">
        <v>1575000.0</v>
      </c>
      <c r="S69" s="43">
        <v>3306000.0</v>
      </c>
      <c r="T69" s="43">
        <v>3390000.0</v>
      </c>
      <c r="U69" s="43">
        <v>8341000.0</v>
      </c>
      <c r="V69" s="43">
        <v>580000.0</v>
      </c>
      <c r="W69" s="43">
        <v>272000.0</v>
      </c>
      <c r="X69" s="43">
        <v>3882000.0</v>
      </c>
      <c r="Y69" s="52"/>
    </row>
    <row r="70">
      <c r="A70" s="2" t="s">
        <v>76</v>
      </c>
      <c r="B70" s="43"/>
      <c r="C70" s="43"/>
      <c r="D70" s="43"/>
      <c r="E70" s="43"/>
      <c r="F70" s="43"/>
      <c r="G70" s="43"/>
      <c r="H70" s="43"/>
      <c r="I70" s="43"/>
      <c r="J70" s="43"/>
      <c r="K70" s="43"/>
      <c r="L70" s="118"/>
      <c r="M70" s="43">
        <v>0.0</v>
      </c>
      <c r="N70" s="43">
        <v>-8160000.0</v>
      </c>
      <c r="O70" s="43">
        <v>0.0</v>
      </c>
      <c r="P70" s="43"/>
      <c r="Q70" s="43"/>
      <c r="R70" s="43"/>
      <c r="S70" s="43"/>
      <c r="T70" s="53"/>
      <c r="U70" s="53"/>
      <c r="V70" s="43"/>
      <c r="W70" s="43"/>
      <c r="X70" s="43"/>
      <c r="Y70" s="52"/>
    </row>
    <row r="71">
      <c r="A71" s="127" t="s">
        <v>124</v>
      </c>
      <c r="B71" s="129"/>
      <c r="C71" s="129">
        <f t="shared" ref="C71:K71" si="52">SUM(C62:C69)</f>
        <v>80880000</v>
      </c>
      <c r="D71" s="129">
        <f t="shared" si="52"/>
        <v>32802000</v>
      </c>
      <c r="E71" s="129">
        <f t="shared" si="52"/>
        <v>-118438000</v>
      </c>
      <c r="F71" s="129">
        <f t="shared" si="52"/>
        <v>-39435000</v>
      </c>
      <c r="G71" s="129">
        <f t="shared" si="52"/>
        <v>-135871000</v>
      </c>
      <c r="H71" s="129">
        <f t="shared" si="52"/>
        <v>-247422000</v>
      </c>
      <c r="I71" s="129">
        <f t="shared" si="52"/>
        <v>-385126000</v>
      </c>
      <c r="J71" s="129">
        <f t="shared" si="52"/>
        <v>192950000</v>
      </c>
      <c r="K71" s="129">
        <f t="shared" si="52"/>
        <v>-409714000</v>
      </c>
      <c r="L71" s="134"/>
      <c r="M71" s="128">
        <v>-9.9383E7</v>
      </c>
      <c r="N71" s="128">
        <v>-1.41632E8</v>
      </c>
      <c r="O71" s="128">
        <v>-2.19148E8</v>
      </c>
      <c r="P71" s="128">
        <v>5.2734E7</v>
      </c>
      <c r="Q71" s="128">
        <v>-1.6385E8</v>
      </c>
      <c r="R71" s="128">
        <v>-4.7817E7</v>
      </c>
      <c r="S71" s="128">
        <v>-6.1365E7</v>
      </c>
      <c r="T71" s="128">
        <v>-4.4191E7</v>
      </c>
      <c r="U71" s="128">
        <v>-1.17021E8</v>
      </c>
      <c r="V71" s="128">
        <v>-3.75111E8</v>
      </c>
      <c r="W71" s="128">
        <v>-4.12586E8</v>
      </c>
      <c r="X71" s="128">
        <v>-5.75469E8</v>
      </c>
      <c r="Y71" s="131"/>
      <c r="Z71" s="132"/>
      <c r="AA71" s="132"/>
      <c r="AB71" s="132"/>
      <c r="AC71" s="132"/>
      <c r="AD71" s="132"/>
    </row>
    <row r="72">
      <c r="B72" s="53"/>
      <c r="C72" s="53"/>
      <c r="D72" s="53"/>
      <c r="E72" s="53"/>
      <c r="F72" s="53"/>
      <c r="G72" s="53"/>
      <c r="H72" s="53"/>
      <c r="I72" s="53"/>
      <c r="J72" s="53"/>
      <c r="K72" s="53"/>
      <c r="L72" s="136"/>
      <c r="M72" s="53"/>
      <c r="N72" s="53"/>
      <c r="O72" s="53"/>
      <c r="P72" s="53"/>
      <c r="Q72" s="53"/>
      <c r="R72" s="53"/>
      <c r="S72" s="53"/>
      <c r="T72" s="53"/>
      <c r="U72" s="53"/>
      <c r="V72" s="53"/>
      <c r="W72" s="53"/>
      <c r="X72" s="53"/>
      <c r="Y72" s="52"/>
    </row>
    <row r="73">
      <c r="A73" s="2" t="s">
        <v>125</v>
      </c>
      <c r="B73" s="43"/>
      <c r="C73" s="43">
        <v>-3.6983E7</v>
      </c>
      <c r="D73" s="43">
        <v>-3.7276E7</v>
      </c>
      <c r="E73" s="43">
        <v>-4.2965E7</v>
      </c>
      <c r="F73" s="43">
        <f t="shared" ref="F73:F76" si="53">T73-(sum(C73:E73))</f>
        <v>115572000</v>
      </c>
      <c r="G73" s="43">
        <v>-3.7758E7</v>
      </c>
      <c r="H73" s="43">
        <v>-8.7774E7</v>
      </c>
      <c r="I73" s="43">
        <v>-1.60805E8</v>
      </c>
      <c r="J73" s="43">
        <f t="shared" ref="J73:J76" si="54">X73-(sum(G73:I73))</f>
        <v>-43953000</v>
      </c>
      <c r="K73" s="43">
        <v>-1.14163E8</v>
      </c>
      <c r="L73" s="118"/>
      <c r="M73" s="43">
        <v>-2.4534E7</v>
      </c>
      <c r="N73" s="43">
        <v>-4.891E7</v>
      </c>
      <c r="O73" s="43">
        <v>-1.20942E8</v>
      </c>
      <c r="P73" s="43">
        <v>0.0</v>
      </c>
      <c r="Q73" s="43">
        <v>0.0</v>
      </c>
      <c r="R73" s="43">
        <v>-4.1713E7</v>
      </c>
      <c r="S73" s="43">
        <v>0.0</v>
      </c>
      <c r="T73" s="43">
        <v>-1652000.0</v>
      </c>
      <c r="U73" s="43">
        <v>-6117000.0</v>
      </c>
      <c r="V73" s="43">
        <v>-2.52292E8</v>
      </c>
      <c r="W73" s="43">
        <v>-9.1856E7</v>
      </c>
      <c r="X73" s="43">
        <v>-3.3029E8</v>
      </c>
      <c r="Y73" s="52"/>
    </row>
    <row r="74">
      <c r="A74" s="2" t="s">
        <v>126</v>
      </c>
      <c r="B74" s="43"/>
      <c r="C74" s="43">
        <v>-5000.0</v>
      </c>
      <c r="D74" s="43">
        <v>-5000.0</v>
      </c>
      <c r="E74" s="43">
        <v>-1688000.0</v>
      </c>
      <c r="F74" s="43">
        <f t="shared" si="53"/>
        <v>827000</v>
      </c>
      <c r="G74" s="43">
        <v>-34000.0</v>
      </c>
      <c r="H74" s="43">
        <v>-60000.0</v>
      </c>
      <c r="I74" s="43">
        <v>-3953000.0</v>
      </c>
      <c r="J74" s="43">
        <f t="shared" si="54"/>
        <v>-49906000</v>
      </c>
      <c r="K74" s="43">
        <v>-18000.0</v>
      </c>
      <c r="L74" s="118"/>
      <c r="M74" s="43">
        <v>279000.0</v>
      </c>
      <c r="N74" s="43">
        <v>531000.0</v>
      </c>
      <c r="O74" s="43">
        <v>-1760000.0</v>
      </c>
      <c r="P74" s="43">
        <v>-1715000.0</v>
      </c>
      <c r="Q74" s="43">
        <v>-1128000.0</v>
      </c>
      <c r="R74" s="43">
        <v>-985000.0</v>
      </c>
      <c r="S74" s="43">
        <v>-910000.0</v>
      </c>
      <c r="T74" s="43">
        <v>-871000.0</v>
      </c>
      <c r="U74" s="43">
        <v>-1127000.0</v>
      </c>
      <c r="V74" s="43">
        <v>-1643000.0</v>
      </c>
      <c r="W74" s="43">
        <v>-1688000.0</v>
      </c>
      <c r="X74" s="43">
        <v>-5.3953E7</v>
      </c>
      <c r="Y74" s="52"/>
    </row>
    <row r="75">
      <c r="A75" s="2" t="s">
        <v>127</v>
      </c>
      <c r="B75" s="2"/>
      <c r="C75" s="2">
        <v>0.0</v>
      </c>
      <c r="D75" s="43">
        <v>0.0</v>
      </c>
      <c r="E75" s="43">
        <v>0.0</v>
      </c>
      <c r="F75" s="43">
        <f t="shared" si="53"/>
        <v>0</v>
      </c>
      <c r="G75" s="43">
        <v>0.0</v>
      </c>
      <c r="H75" s="43">
        <v>-2477000.0</v>
      </c>
      <c r="I75" s="43">
        <v>-2481000.0</v>
      </c>
      <c r="J75" s="43">
        <f t="shared" si="54"/>
        <v>2477000</v>
      </c>
      <c r="K75" s="43">
        <v>0.0</v>
      </c>
      <c r="L75" s="118"/>
      <c r="M75" s="43">
        <v>-1.0745E7</v>
      </c>
      <c r="N75" s="43">
        <v>-1.0233E7</v>
      </c>
      <c r="O75" s="43">
        <v>-2.529E7</v>
      </c>
      <c r="P75" s="43">
        <v>-1.651E7</v>
      </c>
      <c r="Q75" s="43">
        <v>-4849000.0</v>
      </c>
      <c r="R75" s="43">
        <v>-3754000.0</v>
      </c>
      <c r="S75" s="43">
        <v>-1500000.0</v>
      </c>
      <c r="T75" s="43">
        <v>0.0</v>
      </c>
      <c r="U75" s="43">
        <v>0.0</v>
      </c>
      <c r="V75" s="43">
        <v>0.0</v>
      </c>
      <c r="W75" s="43">
        <v>0.0</v>
      </c>
      <c r="X75" s="43">
        <v>-2481000.0</v>
      </c>
      <c r="Y75" s="52"/>
    </row>
    <row r="76">
      <c r="A76" s="2" t="s">
        <v>128</v>
      </c>
      <c r="B76" s="43"/>
      <c r="C76" s="43">
        <v>-58000.0</v>
      </c>
      <c r="D76" s="43">
        <v>-214000.0</v>
      </c>
      <c r="E76" s="43">
        <v>-214000.0</v>
      </c>
      <c r="F76" s="43">
        <f t="shared" si="53"/>
        <v>281000</v>
      </c>
      <c r="G76" s="43">
        <v>0.0</v>
      </c>
      <c r="H76" s="43">
        <v>0.0</v>
      </c>
      <c r="I76" s="43">
        <v>0.0</v>
      </c>
      <c r="J76" s="43">
        <f t="shared" si="54"/>
        <v>0</v>
      </c>
      <c r="K76" s="43">
        <v>0.0</v>
      </c>
      <c r="L76" s="118"/>
      <c r="M76" s="43">
        <v>0.0</v>
      </c>
      <c r="N76" s="43">
        <v>0.0</v>
      </c>
      <c r="O76" s="43">
        <v>0.0</v>
      </c>
      <c r="P76" s="43">
        <v>0.0</v>
      </c>
      <c r="Q76" s="43">
        <v>0.0</v>
      </c>
      <c r="R76" s="43">
        <v>0.0</v>
      </c>
      <c r="S76" s="43">
        <v>-196000.0</v>
      </c>
      <c r="T76" s="43">
        <v>-205000.0</v>
      </c>
      <c r="U76" s="43">
        <v>-215000.0</v>
      </c>
      <c r="V76" s="43">
        <v>-224000.0</v>
      </c>
      <c r="W76" s="43">
        <v>-214000.0</v>
      </c>
      <c r="X76" s="43">
        <v>0.0</v>
      </c>
      <c r="Y76" s="52"/>
    </row>
    <row r="77">
      <c r="A77" s="2" t="s">
        <v>129</v>
      </c>
      <c r="B77" s="43"/>
      <c r="C77" s="43"/>
      <c r="D77" s="43"/>
      <c r="E77" s="43"/>
      <c r="F77" s="43"/>
      <c r="G77" s="43"/>
      <c r="H77" s="43"/>
      <c r="I77" s="43"/>
      <c r="J77" s="43"/>
      <c r="K77" s="43"/>
      <c r="L77" s="118"/>
      <c r="M77" s="43">
        <v>0.0</v>
      </c>
      <c r="N77" s="43">
        <v>-940000.0</v>
      </c>
      <c r="O77" s="43">
        <v>-918000.0</v>
      </c>
      <c r="P77" s="43">
        <v>-73000.0</v>
      </c>
      <c r="Q77" s="43">
        <v>279000.0</v>
      </c>
      <c r="R77" s="43">
        <v>0.0</v>
      </c>
      <c r="S77" s="43">
        <v>-755000.0</v>
      </c>
      <c r="T77" s="43">
        <v>0.0</v>
      </c>
      <c r="U77" s="43">
        <v>0.0</v>
      </c>
      <c r="V77" s="43"/>
      <c r="W77" s="43"/>
      <c r="X77" s="43"/>
      <c r="Y77" s="52"/>
    </row>
    <row r="78">
      <c r="A78" s="2" t="s">
        <v>130</v>
      </c>
      <c r="B78" s="53"/>
      <c r="C78" s="53"/>
      <c r="D78" s="53"/>
      <c r="E78" s="53"/>
      <c r="F78" s="53"/>
      <c r="G78" s="53"/>
      <c r="H78" s="53"/>
      <c r="I78" s="53"/>
      <c r="J78" s="53"/>
      <c r="K78" s="53"/>
      <c r="L78" s="136"/>
      <c r="M78" s="43"/>
      <c r="N78" s="43"/>
      <c r="O78" s="43"/>
      <c r="P78" s="43"/>
      <c r="Q78" s="43"/>
      <c r="R78" s="43"/>
      <c r="S78" s="43">
        <v>0.0</v>
      </c>
      <c r="T78" s="43">
        <v>5000.0</v>
      </c>
      <c r="U78" s="43">
        <v>3000.0</v>
      </c>
      <c r="V78" s="43"/>
      <c r="W78" s="43"/>
      <c r="X78" s="43"/>
      <c r="Y78" s="52"/>
    </row>
    <row r="79">
      <c r="A79" s="127" t="s">
        <v>131</v>
      </c>
      <c r="B79" s="129"/>
      <c r="C79" s="129">
        <f t="shared" ref="C79:K79" si="55">SUM(C73:C76)</f>
        <v>-37046000</v>
      </c>
      <c r="D79" s="129">
        <f t="shared" si="55"/>
        <v>-37495000</v>
      </c>
      <c r="E79" s="129">
        <f t="shared" si="55"/>
        <v>-44867000</v>
      </c>
      <c r="F79" s="129">
        <f t="shared" si="55"/>
        <v>116680000</v>
      </c>
      <c r="G79" s="129">
        <f t="shared" si="55"/>
        <v>-37792000</v>
      </c>
      <c r="H79" s="129">
        <f t="shared" si="55"/>
        <v>-90311000</v>
      </c>
      <c r="I79" s="129">
        <f t="shared" si="55"/>
        <v>-167239000</v>
      </c>
      <c r="J79" s="129">
        <f t="shared" si="55"/>
        <v>-91382000</v>
      </c>
      <c r="K79" s="129">
        <f t="shared" si="55"/>
        <v>-114181000</v>
      </c>
      <c r="L79" s="134"/>
      <c r="M79" s="128">
        <v>-3.5E7</v>
      </c>
      <c r="N79" s="128">
        <v>-5.9552E7</v>
      </c>
      <c r="O79" s="128">
        <v>-1.4891E8</v>
      </c>
      <c r="P79" s="128">
        <v>-1.8298E7</v>
      </c>
      <c r="Q79" s="128">
        <v>-5698000.0</v>
      </c>
      <c r="R79" s="128">
        <v>-4.6452E7</v>
      </c>
      <c r="S79" s="128">
        <v>-3361000.0</v>
      </c>
      <c r="T79" s="128">
        <v>-2723000.0</v>
      </c>
      <c r="U79" s="128">
        <v>-7456000.0</v>
      </c>
      <c r="V79" s="128">
        <v>-2.54159E8</v>
      </c>
      <c r="W79" s="128">
        <v>-9.3758E7</v>
      </c>
      <c r="X79" s="128">
        <v>-3.86724E8</v>
      </c>
      <c r="Y79" s="131"/>
      <c r="Z79" s="132"/>
      <c r="AA79" s="132"/>
      <c r="AB79" s="132"/>
      <c r="AC79" s="132"/>
      <c r="AD79" s="132"/>
    </row>
    <row r="80">
      <c r="B80" s="53"/>
      <c r="C80" s="53"/>
      <c r="D80" s="53"/>
      <c r="E80" s="53"/>
      <c r="F80" s="53"/>
      <c r="G80" s="53"/>
      <c r="H80" s="53"/>
      <c r="I80" s="53"/>
      <c r="J80" s="53"/>
      <c r="K80" s="53"/>
      <c r="L80" s="136"/>
      <c r="M80" s="53"/>
      <c r="N80" s="53"/>
      <c r="O80" s="53"/>
      <c r="P80" s="53"/>
      <c r="Q80" s="53"/>
      <c r="R80" s="53"/>
      <c r="S80" s="53"/>
      <c r="T80" s="53"/>
      <c r="U80" s="53"/>
      <c r="V80" s="53"/>
      <c r="W80" s="53"/>
      <c r="X80" s="53"/>
      <c r="Y80" s="52"/>
    </row>
    <row r="81">
      <c r="A81" s="127" t="s">
        <v>132</v>
      </c>
      <c r="B81" s="128"/>
      <c r="C81" s="128">
        <f t="shared" ref="C81:K81" si="56">+C60+C71+C79</f>
        <v>67519000</v>
      </c>
      <c r="D81" s="128">
        <f t="shared" si="56"/>
        <v>68518000</v>
      </c>
      <c r="E81" s="128">
        <f t="shared" si="56"/>
        <v>57310000</v>
      </c>
      <c r="F81" s="128">
        <f t="shared" si="56"/>
        <v>53717000</v>
      </c>
      <c r="G81" s="128">
        <f t="shared" si="56"/>
        <v>-56211000</v>
      </c>
      <c r="H81" s="128">
        <f t="shared" si="56"/>
        <v>-247172000</v>
      </c>
      <c r="I81" s="128">
        <f t="shared" si="56"/>
        <v>-107632000</v>
      </c>
      <c r="J81" s="128">
        <f t="shared" si="56"/>
        <v>673556000</v>
      </c>
      <c r="K81" s="128">
        <f t="shared" si="56"/>
        <v>-245291000</v>
      </c>
      <c r="L81" s="130"/>
      <c r="M81" s="128">
        <f t="shared" ref="M81:X81" si="57">M60+M71+M79</f>
        <v>-10463000</v>
      </c>
      <c r="N81" s="128">
        <f t="shared" si="57"/>
        <v>-5854000</v>
      </c>
      <c r="O81" s="128">
        <f t="shared" si="57"/>
        <v>20379000</v>
      </c>
      <c r="P81" s="128">
        <f t="shared" si="57"/>
        <v>-11482000</v>
      </c>
      <c r="Q81" s="128">
        <f t="shared" si="57"/>
        <v>30867000</v>
      </c>
      <c r="R81" s="128">
        <f t="shared" si="57"/>
        <v>20816000</v>
      </c>
      <c r="S81" s="128">
        <f t="shared" si="57"/>
        <v>8883000</v>
      </c>
      <c r="T81" s="128">
        <f t="shared" si="57"/>
        <v>-20778000</v>
      </c>
      <c r="U81" s="128">
        <f t="shared" si="57"/>
        <v>1729000</v>
      </c>
      <c r="V81" s="128">
        <f t="shared" si="57"/>
        <v>233740000</v>
      </c>
      <c r="W81" s="128">
        <f t="shared" si="57"/>
        <v>-54946000</v>
      </c>
      <c r="X81" s="128">
        <f t="shared" si="57"/>
        <v>262541000</v>
      </c>
      <c r="Y81" s="131"/>
      <c r="Z81" s="132"/>
      <c r="AA81" s="132"/>
      <c r="AB81" s="132"/>
      <c r="AC81" s="132"/>
      <c r="AD81" s="132"/>
    </row>
    <row r="82">
      <c r="B82" s="53"/>
      <c r="C82" s="53"/>
      <c r="D82" s="53"/>
      <c r="E82" s="53"/>
      <c r="F82" s="53"/>
      <c r="G82" s="53"/>
      <c r="H82" s="53"/>
      <c r="I82" s="53"/>
      <c r="J82" s="53"/>
      <c r="K82" s="53"/>
      <c r="L82" s="136"/>
      <c r="M82" s="53"/>
      <c r="N82" s="53"/>
      <c r="O82" s="53"/>
      <c r="P82" s="53"/>
      <c r="Q82" s="53"/>
      <c r="R82" s="53"/>
      <c r="S82" s="53"/>
      <c r="T82" s="53"/>
      <c r="U82" s="53"/>
      <c r="V82" s="53"/>
      <c r="W82" s="53"/>
      <c r="X82" s="43"/>
      <c r="Y82" s="52"/>
    </row>
    <row r="83">
      <c r="A83" s="86" t="s">
        <v>133</v>
      </c>
      <c r="B83" s="45"/>
      <c r="C83" s="45">
        <v>2.92824E8</v>
      </c>
      <c r="D83" s="45">
        <v>2.92824E8</v>
      </c>
      <c r="E83" s="46">
        <v>2.92824E8</v>
      </c>
      <c r="F83" s="45">
        <v>2.37878E8</v>
      </c>
      <c r="G83" s="45">
        <v>2.37878E8</v>
      </c>
      <c r="H83" s="45">
        <v>2.37878E8</v>
      </c>
      <c r="I83" s="46">
        <f>237878000</f>
        <v>237878000</v>
      </c>
      <c r="J83" s="46"/>
      <c r="K83" s="45">
        <v>4.99392E8</v>
      </c>
      <c r="L83" s="136"/>
      <c r="M83" s="45">
        <v>2.4984E7</v>
      </c>
      <c r="N83" s="45">
        <v>1.4521E7</v>
      </c>
      <c r="O83" s="45">
        <v>8667000.0</v>
      </c>
      <c r="P83" s="45">
        <v>2.9046E7</v>
      </c>
      <c r="Q83" s="45">
        <v>1.7564E7</v>
      </c>
      <c r="R83" s="45">
        <v>4.8431E7</v>
      </c>
      <c r="S83" s="45">
        <v>6.9247E7</v>
      </c>
      <c r="T83" s="45">
        <v>7.813E7</v>
      </c>
      <c r="U83" s="45">
        <v>5.7352E7</v>
      </c>
      <c r="V83" s="45">
        <v>5.9084E7</v>
      </c>
      <c r="W83" s="45">
        <v>2.92824E8</v>
      </c>
      <c r="X83" s="45">
        <v>2.37878E8</v>
      </c>
      <c r="Y83" s="52"/>
    </row>
    <row r="84">
      <c r="A84" s="93" t="s">
        <v>134</v>
      </c>
      <c r="B84" s="156"/>
      <c r="C84" s="156">
        <f t="shared" ref="C84:K84" si="58">+C81+C83</f>
        <v>360343000</v>
      </c>
      <c r="D84" s="156">
        <f t="shared" si="58"/>
        <v>361342000</v>
      </c>
      <c r="E84" s="156">
        <f t="shared" si="58"/>
        <v>350134000</v>
      </c>
      <c r="F84" s="156">
        <f t="shared" si="58"/>
        <v>291595000</v>
      </c>
      <c r="G84" s="156">
        <f t="shared" si="58"/>
        <v>181667000</v>
      </c>
      <c r="H84" s="156">
        <f t="shared" si="58"/>
        <v>-9294000</v>
      </c>
      <c r="I84" s="156">
        <f t="shared" si="58"/>
        <v>130246000</v>
      </c>
      <c r="J84" s="156">
        <f t="shared" si="58"/>
        <v>673556000</v>
      </c>
      <c r="K84" s="156">
        <f t="shared" si="58"/>
        <v>254101000</v>
      </c>
      <c r="L84" s="136"/>
      <c r="M84" s="156">
        <f t="shared" ref="M84:X84" si="59">+M81+M83</f>
        <v>14521000</v>
      </c>
      <c r="N84" s="156">
        <f t="shared" si="59"/>
        <v>8667000</v>
      </c>
      <c r="O84" s="156">
        <f t="shared" si="59"/>
        <v>29046000</v>
      </c>
      <c r="P84" s="156">
        <f t="shared" si="59"/>
        <v>17564000</v>
      </c>
      <c r="Q84" s="156">
        <f t="shared" si="59"/>
        <v>48431000</v>
      </c>
      <c r="R84" s="156">
        <f t="shared" si="59"/>
        <v>69247000</v>
      </c>
      <c r="S84" s="156">
        <f t="shared" si="59"/>
        <v>78130000</v>
      </c>
      <c r="T84" s="156">
        <f t="shared" si="59"/>
        <v>57352000</v>
      </c>
      <c r="U84" s="156">
        <f t="shared" si="59"/>
        <v>59081000</v>
      </c>
      <c r="V84" s="156">
        <f t="shared" si="59"/>
        <v>292824000</v>
      </c>
      <c r="W84" s="156">
        <f t="shared" si="59"/>
        <v>237878000</v>
      </c>
      <c r="X84" s="156">
        <f t="shared" si="59"/>
        <v>500419000</v>
      </c>
      <c r="Y84" s="52"/>
    </row>
    <row r="85">
      <c r="L85" s="144"/>
      <c r="M85" s="53"/>
      <c r="N85" s="53"/>
      <c r="O85" s="53"/>
      <c r="P85" s="53"/>
      <c r="Q85" s="53"/>
      <c r="R85" s="53"/>
      <c r="S85" s="53"/>
      <c r="T85" s="53"/>
      <c r="U85" s="53"/>
      <c r="V85" s="53"/>
      <c r="W85" s="53"/>
      <c r="X85" s="53"/>
      <c r="Y85" s="52"/>
    </row>
    <row r="86">
      <c r="A86" s="157" t="s">
        <v>135</v>
      </c>
      <c r="B86" s="158"/>
      <c r="C86" s="46">
        <f t="shared" ref="C86:K86" si="60">+C68</f>
        <v>-26666000</v>
      </c>
      <c r="D86" s="46">
        <f t="shared" si="60"/>
        <v>-65774000</v>
      </c>
      <c r="E86" s="46">
        <f t="shared" si="60"/>
        <v>-95969000</v>
      </c>
      <c r="F86" s="46">
        <f t="shared" si="60"/>
        <v>93340000</v>
      </c>
      <c r="G86" s="46">
        <f t="shared" si="60"/>
        <v>-35773000</v>
      </c>
      <c r="H86" s="46">
        <f t="shared" si="60"/>
        <v>-65588000</v>
      </c>
      <c r="I86" s="46">
        <f t="shared" si="60"/>
        <v>-115395000</v>
      </c>
      <c r="J86" s="46">
        <f t="shared" si="60"/>
        <v>55501000</v>
      </c>
      <c r="K86" s="46">
        <f t="shared" si="60"/>
        <v>-45302000</v>
      </c>
      <c r="L86" s="136"/>
      <c r="M86" s="46">
        <f t="shared" ref="M86:X86" si="61">+M68</f>
        <v>-59188000</v>
      </c>
      <c r="N86" s="46">
        <f t="shared" si="61"/>
        <v>-82263000</v>
      </c>
      <c r="O86" s="46">
        <f t="shared" si="61"/>
        <v>-76125000</v>
      </c>
      <c r="P86" s="46">
        <f t="shared" si="61"/>
        <v>-66657000</v>
      </c>
      <c r="Q86" s="46">
        <f t="shared" si="61"/>
        <v>-19671000</v>
      </c>
      <c r="R86" s="46">
        <f t="shared" si="61"/>
        <v>-67989000</v>
      </c>
      <c r="S86" s="46">
        <f t="shared" si="61"/>
        <v>-124178000</v>
      </c>
      <c r="T86" s="46">
        <f t="shared" si="61"/>
        <v>-95069000</v>
      </c>
      <c r="U86" s="46">
        <f t="shared" si="61"/>
        <v>-72399000</v>
      </c>
      <c r="V86" s="46">
        <f t="shared" si="61"/>
        <v>-136569000</v>
      </c>
      <c r="W86" s="46">
        <f t="shared" si="61"/>
        <v>-147116000</v>
      </c>
      <c r="X86" s="46">
        <f t="shared" si="61"/>
        <v>-161255000</v>
      </c>
      <c r="Y86" s="52"/>
    </row>
    <row r="87">
      <c r="A87" s="159" t="s">
        <v>136</v>
      </c>
      <c r="C87" s="53">
        <f t="shared" ref="C87:K87" si="62">+C60+C86</f>
        <v>-2981000</v>
      </c>
      <c r="D87" s="53">
        <f t="shared" si="62"/>
        <v>7437000</v>
      </c>
      <c r="E87" s="53">
        <f t="shared" si="62"/>
        <v>124646000</v>
      </c>
      <c r="F87" s="53">
        <f t="shared" si="62"/>
        <v>69812000</v>
      </c>
      <c r="G87" s="53">
        <f t="shared" si="62"/>
        <v>81679000</v>
      </c>
      <c r="H87" s="53">
        <f t="shared" si="62"/>
        <v>24973000</v>
      </c>
      <c r="I87" s="53">
        <f t="shared" si="62"/>
        <v>329338000</v>
      </c>
      <c r="J87" s="53">
        <f t="shared" si="62"/>
        <v>627489000</v>
      </c>
      <c r="K87" s="53">
        <f t="shared" si="62"/>
        <v>233302000</v>
      </c>
      <c r="L87" s="136"/>
      <c r="M87" s="53">
        <f t="shared" ref="M87:X87" si="63">+M60+M86</f>
        <v>64732000</v>
      </c>
      <c r="N87" s="53">
        <f t="shared" si="63"/>
        <v>113067000</v>
      </c>
      <c r="O87" s="53">
        <f t="shared" si="63"/>
        <v>312312000</v>
      </c>
      <c r="P87" s="53">
        <f t="shared" si="63"/>
        <v>-112575000</v>
      </c>
      <c r="Q87" s="53">
        <f t="shared" si="63"/>
        <v>180744000</v>
      </c>
      <c r="R87" s="53">
        <f t="shared" si="63"/>
        <v>47096000</v>
      </c>
      <c r="S87" s="53">
        <f t="shared" si="63"/>
        <v>-50569000</v>
      </c>
      <c r="T87" s="53">
        <f t="shared" si="63"/>
        <v>-68933000</v>
      </c>
      <c r="U87" s="53">
        <f t="shared" si="63"/>
        <v>53807000</v>
      </c>
      <c r="V87" s="53">
        <f t="shared" si="63"/>
        <v>726441000</v>
      </c>
      <c r="W87" s="53">
        <f t="shared" si="63"/>
        <v>304282000</v>
      </c>
      <c r="X87" s="53">
        <f t="shared" si="63"/>
        <v>1063479000</v>
      </c>
      <c r="Y87" s="125">
        <v>3.0E8</v>
      </c>
    </row>
    <row r="88">
      <c r="A88" s="160" t="s">
        <v>137</v>
      </c>
      <c r="B88" s="149"/>
      <c r="C88" s="149" t="str">
        <f t="shared" ref="C88:K88" si="64">(C87-B87)/ABS(B87)</f>
        <v>#DIV/0!</v>
      </c>
      <c r="D88" s="149">
        <f t="shared" si="64"/>
        <v>3.494800403</v>
      </c>
      <c r="E88" s="149">
        <f t="shared" si="64"/>
        <v>15.76025279</v>
      </c>
      <c r="F88" s="149">
        <f t="shared" si="64"/>
        <v>-0.4399178473</v>
      </c>
      <c r="G88" s="149">
        <f t="shared" si="64"/>
        <v>0.1699851028</v>
      </c>
      <c r="H88" s="149">
        <f t="shared" si="64"/>
        <v>-0.6942543371</v>
      </c>
      <c r="I88" s="149">
        <f t="shared" si="64"/>
        <v>12.18776278</v>
      </c>
      <c r="J88" s="149">
        <f t="shared" si="64"/>
        <v>0.9053039734</v>
      </c>
      <c r="K88" s="149">
        <f t="shared" si="64"/>
        <v>-0.6281974664</v>
      </c>
      <c r="L88" s="150"/>
      <c r="M88" s="149" t="str">
        <f t="shared" ref="M88:X88" si="65">(M87-L87)/ABS(L87)</f>
        <v>#DIV/0!</v>
      </c>
      <c r="N88" s="149">
        <f t="shared" si="65"/>
        <v>0.7466940617</v>
      </c>
      <c r="O88" s="149">
        <f t="shared" si="65"/>
        <v>1.762185253</v>
      </c>
      <c r="P88" s="149">
        <f t="shared" si="65"/>
        <v>-1.360456851</v>
      </c>
      <c r="Q88" s="149">
        <f t="shared" si="65"/>
        <v>2.605542971</v>
      </c>
      <c r="R88" s="149">
        <f t="shared" si="65"/>
        <v>-0.7394325676</v>
      </c>
      <c r="S88" s="149">
        <f t="shared" si="65"/>
        <v>-2.073742993</v>
      </c>
      <c r="T88" s="149">
        <f t="shared" si="65"/>
        <v>-0.3631473828</v>
      </c>
      <c r="U88" s="149">
        <f t="shared" si="65"/>
        <v>1.780569539</v>
      </c>
      <c r="V88" s="149">
        <f t="shared" si="65"/>
        <v>12.5008642</v>
      </c>
      <c r="W88" s="149">
        <f t="shared" si="65"/>
        <v>-0.5811332235</v>
      </c>
      <c r="X88" s="149">
        <f t="shared" si="65"/>
        <v>2.495044071</v>
      </c>
      <c r="Y88" s="52"/>
    </row>
    <row r="89">
      <c r="A89" s="161" t="s">
        <v>138</v>
      </c>
      <c r="B89" s="65"/>
      <c r="C89" s="65">
        <f>C87/Main!C3</f>
        <v>-0.001064642857</v>
      </c>
      <c r="D89" s="65">
        <f>D87/Main!D3</f>
        <v>0.002656071429</v>
      </c>
      <c r="E89" s="65">
        <f>E87/Main!E3</f>
        <v>0.038951875</v>
      </c>
      <c r="F89" s="65">
        <f>F87/Main!F3</f>
        <v>0.02566617647</v>
      </c>
      <c r="G89" s="65">
        <f>G87/Main!G3</f>
        <v>0.0252095679</v>
      </c>
      <c r="H89" s="65">
        <f>H87/Main!H3</f>
        <v>0.005611910112</v>
      </c>
      <c r="I89" s="65">
        <f>I87/Main!I3</f>
        <v>0.07878899522</v>
      </c>
      <c r="J89" s="65">
        <f>J87/Main!J3</f>
        <v>0.134943871</v>
      </c>
      <c r="K89" s="65">
        <f>K87/Main!K3</f>
        <v>0.05196035635</v>
      </c>
      <c r="L89" s="150"/>
      <c r="M89" s="65">
        <f>M87/Main!M3</f>
        <v>0.03443191489</v>
      </c>
      <c r="N89" s="65">
        <f>N87/Main!N3</f>
        <v>0.05047633929</v>
      </c>
      <c r="O89" s="65">
        <f>O87/Main!O3</f>
        <v>0.1459401869</v>
      </c>
      <c r="P89" s="65">
        <f>P87/Main!P3</f>
        <v>-0.05236046512</v>
      </c>
      <c r="Q89" s="65">
        <f>Q87/Main!Q3</f>
        <v>0.08816780488</v>
      </c>
      <c r="R89" s="65">
        <f>R87/Main!R3</f>
        <v>0.02264230769</v>
      </c>
      <c r="S89" s="65">
        <f>S87/Main!S3</f>
        <v>-0.02763333333</v>
      </c>
      <c r="T89" s="65">
        <f>T87/Main!T3</f>
        <v>-0.03766830601</v>
      </c>
      <c r="U89" s="65">
        <f>U87/Main!U3</f>
        <v>0.02989277778</v>
      </c>
      <c r="V89" s="65">
        <f>V87/Main!V3</f>
        <v>0.2585199288</v>
      </c>
      <c r="W89" s="65">
        <f>W87/Main!W3</f>
        <v>0.1118683824</v>
      </c>
      <c r="X89" s="65">
        <f>X87/Main!X3</f>
        <v>0.2287051613</v>
      </c>
      <c r="Y89" s="52"/>
    </row>
    <row r="90">
      <c r="L90" s="43"/>
    </row>
    <row r="91">
      <c r="L91" s="43"/>
    </row>
    <row r="92">
      <c r="L92" s="43"/>
    </row>
    <row r="93">
      <c r="L93" s="43"/>
    </row>
    <row r="94">
      <c r="L94" s="43"/>
    </row>
    <row r="95">
      <c r="L95" s="43"/>
    </row>
    <row r="96">
      <c r="L96" s="43"/>
    </row>
    <row r="97">
      <c r="L97" s="43"/>
    </row>
    <row r="98">
      <c r="L98" s="43"/>
    </row>
    <row r="99">
      <c r="L99" s="43"/>
    </row>
    <row r="100">
      <c r="L100" s="43"/>
    </row>
    <row r="101">
      <c r="L101" s="43"/>
    </row>
    <row r="102">
      <c r="L102" s="43"/>
    </row>
    <row r="103">
      <c r="L103" s="43"/>
    </row>
    <row r="104">
      <c r="J104" s="43"/>
      <c r="K104" s="43"/>
      <c r="L104" s="43"/>
    </row>
    <row r="105">
      <c r="J105" s="43"/>
      <c r="K105" s="43"/>
      <c r="L105" s="43"/>
    </row>
    <row r="106">
      <c r="J106" s="43"/>
      <c r="K106" s="43"/>
      <c r="L106" s="43"/>
    </row>
    <row r="107">
      <c r="J107" s="43"/>
      <c r="K107" s="43"/>
      <c r="L107" s="43"/>
    </row>
    <row r="161">
      <c r="J161" s="147"/>
      <c r="K161" s="147"/>
      <c r="L161" s="144"/>
    </row>
    <row r="162">
      <c r="J162" s="147"/>
      <c r="K162" s="147"/>
      <c r="L162" s="144"/>
    </row>
    <row r="163">
      <c r="J163" s="147"/>
      <c r="K163" s="147"/>
      <c r="L163" s="144"/>
    </row>
    <row r="164">
      <c r="J164" s="147"/>
      <c r="K164" s="147"/>
      <c r="L164" s="144"/>
    </row>
    <row r="165">
      <c r="J165" s="147"/>
      <c r="K165" s="147"/>
      <c r="L165" s="144"/>
    </row>
    <row r="166">
      <c r="J166" s="147"/>
      <c r="K166" s="147"/>
      <c r="L166" s="144"/>
    </row>
    <row r="167">
      <c r="J167" s="147"/>
      <c r="K167" s="147"/>
      <c r="L167" s="144"/>
    </row>
    <row r="168">
      <c r="J168" s="147"/>
      <c r="K168" s="147"/>
      <c r="L168" s="144"/>
    </row>
    <row r="169">
      <c r="J169" s="147"/>
      <c r="K169" s="147"/>
      <c r="L169" s="144"/>
    </row>
    <row r="170">
      <c r="J170" s="147"/>
      <c r="K170" s="147"/>
      <c r="L170" s="144"/>
    </row>
    <row r="171">
      <c r="J171" s="147"/>
      <c r="K171" s="147"/>
      <c r="L171" s="144"/>
    </row>
    <row r="172">
      <c r="J172" s="147"/>
      <c r="K172" s="147"/>
      <c r="L172" s="144"/>
    </row>
    <row r="173">
      <c r="J173" s="147"/>
      <c r="K173" s="147"/>
      <c r="L173" s="144"/>
    </row>
    <row r="174">
      <c r="J174" s="147"/>
      <c r="K174" s="147"/>
      <c r="L174" s="144"/>
    </row>
    <row r="175">
      <c r="J175" s="147"/>
      <c r="K175" s="147"/>
      <c r="L175" s="144"/>
    </row>
    <row r="176">
      <c r="J176" s="147"/>
      <c r="K176" s="147"/>
      <c r="L176" s="144"/>
    </row>
    <row r="177">
      <c r="J177" s="147"/>
      <c r="K177" s="147"/>
      <c r="L177" s="144"/>
    </row>
    <row r="178">
      <c r="J178" s="147"/>
      <c r="K178" s="147"/>
      <c r="L178" s="144"/>
    </row>
    <row r="179">
      <c r="J179" s="147"/>
      <c r="K179" s="147"/>
      <c r="L179" s="144"/>
    </row>
    <row r="180">
      <c r="J180" s="147"/>
      <c r="K180" s="147"/>
      <c r="L180" s="144"/>
    </row>
    <row r="181">
      <c r="J181" s="147"/>
      <c r="K181" s="147"/>
      <c r="L181" s="144"/>
    </row>
    <row r="182">
      <c r="J182" s="147"/>
      <c r="K182" s="147"/>
      <c r="L182" s="144"/>
    </row>
    <row r="183">
      <c r="J183" s="147"/>
      <c r="K183" s="147"/>
      <c r="L183" s="144"/>
    </row>
    <row r="184">
      <c r="J184" s="147"/>
      <c r="K184" s="147"/>
      <c r="L184" s="144"/>
    </row>
    <row r="185">
      <c r="J185" s="147"/>
      <c r="K185" s="147"/>
      <c r="L185" s="144"/>
    </row>
    <row r="186">
      <c r="J186" s="147"/>
      <c r="K186" s="147"/>
      <c r="L186" s="144"/>
    </row>
    <row r="187">
      <c r="J187" s="147"/>
      <c r="K187" s="147"/>
      <c r="L187" s="144"/>
    </row>
    <row r="188">
      <c r="J188" s="147"/>
      <c r="K188" s="147"/>
      <c r="L188" s="144"/>
    </row>
    <row r="189">
      <c r="J189" s="147"/>
      <c r="K189" s="147"/>
      <c r="L189" s="144"/>
    </row>
    <row r="190">
      <c r="J190" s="147"/>
      <c r="K190" s="147"/>
      <c r="L190" s="144"/>
    </row>
    <row r="191">
      <c r="J191" s="147"/>
      <c r="K191" s="147"/>
      <c r="L191" s="144"/>
    </row>
    <row r="192">
      <c r="J192" s="147"/>
      <c r="K192" s="147"/>
      <c r="L192" s="144"/>
    </row>
    <row r="193">
      <c r="J193" s="147"/>
      <c r="K193" s="147"/>
      <c r="L193" s="144"/>
    </row>
    <row r="194">
      <c r="J194" s="147"/>
      <c r="K194" s="147"/>
      <c r="L194" s="144"/>
    </row>
    <row r="195">
      <c r="J195" s="147"/>
      <c r="K195" s="147"/>
      <c r="L195" s="144"/>
    </row>
    <row r="196">
      <c r="J196" s="147"/>
      <c r="K196" s="147"/>
      <c r="L196" s="144"/>
    </row>
    <row r="197">
      <c r="J197" s="147"/>
      <c r="K197" s="147"/>
      <c r="L197" s="144"/>
    </row>
    <row r="198">
      <c r="J198" s="147"/>
      <c r="K198" s="147"/>
      <c r="L198" s="144"/>
    </row>
    <row r="199">
      <c r="J199" s="147"/>
      <c r="K199" s="147"/>
      <c r="L199" s="144"/>
    </row>
    <row r="200">
      <c r="J200" s="147"/>
      <c r="K200" s="147"/>
      <c r="L200" s="144"/>
    </row>
    <row r="201">
      <c r="J201" s="147"/>
      <c r="K201" s="147"/>
      <c r="L201" s="144"/>
    </row>
    <row r="202">
      <c r="J202" s="147"/>
      <c r="K202" s="147"/>
      <c r="L202" s="144"/>
    </row>
    <row r="203">
      <c r="J203" s="147"/>
      <c r="K203" s="147"/>
      <c r="L203" s="144"/>
    </row>
    <row r="204">
      <c r="J204" s="147"/>
      <c r="K204" s="147"/>
      <c r="L204" s="144"/>
    </row>
    <row r="205">
      <c r="J205" s="147"/>
      <c r="K205" s="147"/>
      <c r="L205" s="144"/>
    </row>
    <row r="206">
      <c r="J206" s="147"/>
      <c r="K206" s="147"/>
      <c r="L206" s="144"/>
    </row>
    <row r="207">
      <c r="J207" s="147"/>
      <c r="K207" s="147"/>
      <c r="L207" s="144"/>
    </row>
    <row r="208">
      <c r="J208" s="147"/>
      <c r="K208" s="147"/>
      <c r="L208" s="144"/>
    </row>
    <row r="209">
      <c r="J209" s="147"/>
      <c r="K209" s="147"/>
      <c r="L209" s="144"/>
    </row>
    <row r="210">
      <c r="J210" s="147"/>
      <c r="K210" s="147"/>
      <c r="L210" s="144"/>
    </row>
    <row r="211">
      <c r="J211" s="147"/>
      <c r="K211" s="147"/>
      <c r="L211" s="144"/>
    </row>
    <row r="212">
      <c r="J212" s="147"/>
      <c r="K212" s="147"/>
      <c r="L212" s="144"/>
    </row>
    <row r="213">
      <c r="J213" s="147"/>
      <c r="K213" s="147"/>
      <c r="L213" s="144"/>
    </row>
    <row r="214">
      <c r="J214" s="147"/>
      <c r="K214" s="147"/>
      <c r="L214" s="144"/>
    </row>
    <row r="215">
      <c r="J215" s="147"/>
      <c r="K215" s="147"/>
      <c r="L215" s="144"/>
    </row>
    <row r="216">
      <c r="J216" s="147"/>
      <c r="K216" s="147"/>
      <c r="L216" s="144"/>
    </row>
    <row r="217">
      <c r="J217" s="147"/>
      <c r="K217" s="147"/>
      <c r="L217" s="144"/>
    </row>
    <row r="218">
      <c r="J218" s="147"/>
      <c r="K218" s="147"/>
      <c r="L218" s="144"/>
    </row>
    <row r="219">
      <c r="J219" s="147"/>
      <c r="K219" s="147"/>
      <c r="L219" s="144"/>
    </row>
    <row r="220">
      <c r="J220" s="147"/>
      <c r="K220" s="147"/>
      <c r="L220" s="144"/>
    </row>
    <row r="221">
      <c r="J221" s="147"/>
      <c r="K221" s="147"/>
      <c r="L221" s="144"/>
    </row>
    <row r="222">
      <c r="J222" s="147"/>
      <c r="K222" s="147"/>
      <c r="L222" s="144"/>
    </row>
    <row r="223">
      <c r="J223" s="147"/>
      <c r="K223" s="147"/>
      <c r="L223" s="144"/>
    </row>
    <row r="224">
      <c r="J224" s="147"/>
      <c r="K224" s="147"/>
      <c r="L224" s="144"/>
    </row>
    <row r="225">
      <c r="J225" s="147"/>
      <c r="K225" s="147"/>
      <c r="L225" s="144"/>
    </row>
    <row r="226">
      <c r="J226" s="147"/>
      <c r="K226" s="147"/>
      <c r="L226" s="144"/>
    </row>
    <row r="227">
      <c r="J227" s="147"/>
      <c r="K227" s="147"/>
      <c r="L227" s="144"/>
    </row>
    <row r="228">
      <c r="J228" s="147"/>
      <c r="K228" s="147"/>
      <c r="L228" s="144"/>
    </row>
    <row r="229">
      <c r="J229" s="147"/>
      <c r="K229" s="147"/>
      <c r="L229" s="144"/>
    </row>
    <row r="230">
      <c r="J230" s="147"/>
      <c r="K230" s="147"/>
      <c r="L230" s="144"/>
    </row>
    <row r="231">
      <c r="J231" s="147"/>
      <c r="K231" s="147"/>
      <c r="L231" s="144"/>
    </row>
    <row r="232">
      <c r="J232" s="147"/>
      <c r="K232" s="147"/>
      <c r="L232" s="144"/>
    </row>
    <row r="233">
      <c r="J233" s="147"/>
      <c r="K233" s="147"/>
      <c r="L233" s="144"/>
    </row>
    <row r="234">
      <c r="J234" s="147"/>
      <c r="K234" s="147"/>
      <c r="L234" s="144"/>
    </row>
    <row r="235">
      <c r="J235" s="147"/>
      <c r="K235" s="147"/>
      <c r="L235" s="144"/>
    </row>
    <row r="236">
      <c r="J236" s="147"/>
      <c r="K236" s="147"/>
      <c r="L236" s="144"/>
    </row>
    <row r="237">
      <c r="J237" s="147"/>
      <c r="K237" s="147"/>
      <c r="L237" s="144"/>
    </row>
    <row r="238">
      <c r="J238" s="147"/>
      <c r="K238" s="147"/>
      <c r="L238" s="144"/>
    </row>
    <row r="239">
      <c r="J239" s="147"/>
      <c r="K239" s="147"/>
      <c r="L239" s="144"/>
    </row>
    <row r="240">
      <c r="J240" s="147"/>
      <c r="K240" s="147"/>
      <c r="L240" s="144"/>
    </row>
    <row r="241">
      <c r="J241" s="147"/>
      <c r="K241" s="147"/>
      <c r="L241" s="144"/>
    </row>
    <row r="242">
      <c r="J242" s="147"/>
      <c r="K242" s="147"/>
      <c r="L242" s="144"/>
    </row>
    <row r="243">
      <c r="J243" s="147"/>
      <c r="K243" s="147"/>
      <c r="L243" s="144"/>
    </row>
    <row r="244">
      <c r="J244" s="147"/>
      <c r="K244" s="147"/>
      <c r="L244" s="144"/>
    </row>
    <row r="245">
      <c r="J245" s="147"/>
      <c r="K245" s="147"/>
      <c r="L245" s="144"/>
    </row>
    <row r="246">
      <c r="J246" s="147"/>
      <c r="K246" s="147"/>
      <c r="L246" s="144"/>
    </row>
    <row r="247">
      <c r="J247" s="147"/>
      <c r="K247" s="147"/>
      <c r="L247" s="144"/>
    </row>
    <row r="248">
      <c r="J248" s="147"/>
      <c r="K248" s="147"/>
      <c r="L248" s="144"/>
    </row>
    <row r="249">
      <c r="J249" s="147"/>
      <c r="K249" s="147"/>
      <c r="L249" s="144"/>
    </row>
    <row r="250">
      <c r="J250" s="147"/>
      <c r="K250" s="147"/>
      <c r="L250" s="144"/>
    </row>
    <row r="251">
      <c r="J251" s="147"/>
      <c r="K251" s="147"/>
      <c r="L251" s="144"/>
    </row>
    <row r="252">
      <c r="J252" s="147"/>
      <c r="K252" s="147"/>
      <c r="L252" s="144"/>
    </row>
    <row r="253">
      <c r="J253" s="147"/>
      <c r="K253" s="147"/>
      <c r="L253" s="144"/>
    </row>
    <row r="254">
      <c r="J254" s="147"/>
      <c r="K254" s="147"/>
      <c r="L254" s="144"/>
    </row>
    <row r="255">
      <c r="J255" s="147"/>
      <c r="K255" s="147"/>
      <c r="L255" s="144"/>
    </row>
    <row r="256">
      <c r="J256" s="147"/>
      <c r="K256" s="147"/>
      <c r="L256" s="144"/>
    </row>
    <row r="257">
      <c r="J257" s="147"/>
      <c r="K257" s="147"/>
      <c r="L257" s="144"/>
    </row>
    <row r="258">
      <c r="J258" s="147"/>
      <c r="K258" s="147"/>
      <c r="L258" s="144"/>
    </row>
    <row r="259">
      <c r="J259" s="147"/>
      <c r="K259" s="147"/>
      <c r="L259" s="144"/>
    </row>
    <row r="260">
      <c r="J260" s="147"/>
      <c r="K260" s="147"/>
      <c r="L260" s="144"/>
    </row>
    <row r="261">
      <c r="J261" s="147"/>
      <c r="K261" s="147"/>
      <c r="L261" s="144"/>
    </row>
    <row r="262">
      <c r="J262" s="147"/>
      <c r="K262" s="147"/>
      <c r="L262" s="144"/>
    </row>
    <row r="263">
      <c r="J263" s="147"/>
      <c r="K263" s="147"/>
      <c r="L263" s="144"/>
    </row>
    <row r="264">
      <c r="J264" s="147"/>
      <c r="K264" s="147"/>
      <c r="L264" s="144"/>
    </row>
    <row r="265">
      <c r="J265" s="147"/>
      <c r="K265" s="147"/>
      <c r="L265" s="144"/>
    </row>
    <row r="266">
      <c r="J266" s="147"/>
      <c r="K266" s="147"/>
      <c r="L266" s="144"/>
    </row>
    <row r="267">
      <c r="J267" s="147"/>
      <c r="K267" s="147"/>
      <c r="L267" s="144"/>
    </row>
    <row r="268">
      <c r="J268" s="147"/>
      <c r="K268" s="147"/>
      <c r="L268" s="144"/>
    </row>
    <row r="269">
      <c r="J269" s="147"/>
      <c r="K269" s="147"/>
      <c r="L269" s="144"/>
    </row>
    <row r="270">
      <c r="J270" s="147"/>
      <c r="K270" s="147"/>
      <c r="L270" s="144"/>
    </row>
    <row r="271">
      <c r="J271" s="147"/>
      <c r="K271" s="147"/>
      <c r="L271" s="144"/>
    </row>
    <row r="272">
      <c r="J272" s="147"/>
      <c r="K272" s="147"/>
      <c r="L272" s="144"/>
    </row>
    <row r="273">
      <c r="J273" s="147"/>
      <c r="K273" s="147"/>
      <c r="L273" s="144"/>
    </row>
    <row r="274">
      <c r="J274" s="147"/>
      <c r="K274" s="147"/>
      <c r="L274" s="144"/>
    </row>
    <row r="275">
      <c r="J275" s="147"/>
      <c r="K275" s="147"/>
      <c r="L275" s="144"/>
    </row>
    <row r="276">
      <c r="J276" s="147"/>
      <c r="K276" s="147"/>
      <c r="L276" s="144"/>
    </row>
    <row r="277">
      <c r="J277" s="147"/>
      <c r="K277" s="147"/>
      <c r="L277" s="144"/>
    </row>
    <row r="278">
      <c r="J278" s="147"/>
      <c r="K278" s="147"/>
      <c r="L278" s="144"/>
    </row>
    <row r="279">
      <c r="J279" s="147"/>
      <c r="K279" s="147"/>
      <c r="L279" s="144"/>
    </row>
    <row r="280">
      <c r="J280" s="147"/>
      <c r="K280" s="147"/>
      <c r="L280" s="144"/>
    </row>
    <row r="281">
      <c r="J281" s="147"/>
      <c r="K281" s="147"/>
      <c r="L281" s="144"/>
    </row>
    <row r="282">
      <c r="J282" s="147"/>
      <c r="K282" s="147"/>
      <c r="L282" s="144"/>
    </row>
    <row r="283">
      <c r="J283" s="147"/>
      <c r="K283" s="147"/>
      <c r="L283" s="144"/>
    </row>
    <row r="284">
      <c r="J284" s="147"/>
      <c r="K284" s="147"/>
      <c r="L284" s="144"/>
    </row>
    <row r="285">
      <c r="J285" s="147"/>
      <c r="K285" s="147"/>
      <c r="L285" s="144"/>
    </row>
    <row r="286">
      <c r="J286" s="147"/>
      <c r="K286" s="147"/>
      <c r="L286" s="144"/>
    </row>
    <row r="287">
      <c r="J287" s="147"/>
      <c r="K287" s="147"/>
      <c r="L287" s="144"/>
    </row>
    <row r="288">
      <c r="J288" s="147"/>
      <c r="K288" s="147"/>
      <c r="L288" s="144"/>
    </row>
    <row r="289">
      <c r="J289" s="147"/>
      <c r="K289" s="147"/>
      <c r="L289" s="144"/>
    </row>
    <row r="290">
      <c r="J290" s="147"/>
      <c r="K290" s="147"/>
      <c r="L290" s="144"/>
    </row>
    <row r="291">
      <c r="J291" s="147"/>
      <c r="K291" s="147"/>
      <c r="L291" s="144"/>
    </row>
    <row r="292">
      <c r="J292" s="147"/>
      <c r="K292" s="147"/>
      <c r="L292" s="144"/>
    </row>
    <row r="293">
      <c r="J293" s="147"/>
      <c r="K293" s="147"/>
      <c r="L293" s="144"/>
    </row>
    <row r="294">
      <c r="J294" s="147"/>
      <c r="K294" s="147"/>
      <c r="L294" s="144"/>
    </row>
    <row r="295">
      <c r="J295" s="147"/>
      <c r="K295" s="147"/>
      <c r="L295" s="144"/>
    </row>
    <row r="296">
      <c r="J296" s="147"/>
      <c r="K296" s="147"/>
      <c r="L296" s="144"/>
    </row>
    <row r="297">
      <c r="J297" s="147"/>
      <c r="K297" s="147"/>
      <c r="L297" s="144"/>
    </row>
    <row r="298">
      <c r="J298" s="147"/>
      <c r="K298" s="147"/>
      <c r="L298" s="144"/>
    </row>
    <row r="299">
      <c r="J299" s="147"/>
      <c r="K299" s="147"/>
      <c r="L299" s="144"/>
    </row>
    <row r="300">
      <c r="J300" s="147"/>
      <c r="K300" s="147"/>
      <c r="L300" s="144"/>
    </row>
    <row r="301">
      <c r="J301" s="147"/>
      <c r="K301" s="147"/>
      <c r="L301" s="144"/>
    </row>
    <row r="302">
      <c r="J302" s="147"/>
      <c r="K302" s="147"/>
      <c r="L302" s="144"/>
    </row>
    <row r="303">
      <c r="J303" s="147"/>
      <c r="K303" s="147"/>
      <c r="L303" s="144"/>
    </row>
    <row r="304">
      <c r="J304" s="147"/>
      <c r="K304" s="147"/>
      <c r="L304" s="144"/>
    </row>
    <row r="305">
      <c r="J305" s="147"/>
      <c r="K305" s="147"/>
      <c r="L305" s="144"/>
    </row>
    <row r="306">
      <c r="J306" s="147"/>
      <c r="K306" s="147"/>
      <c r="L306" s="144"/>
    </row>
    <row r="307">
      <c r="J307" s="147"/>
      <c r="K307" s="147"/>
      <c r="L307" s="144"/>
    </row>
    <row r="308">
      <c r="J308" s="147"/>
      <c r="K308" s="147"/>
      <c r="L308" s="144"/>
    </row>
    <row r="309">
      <c r="J309" s="147"/>
      <c r="K309" s="147"/>
      <c r="L309" s="144"/>
    </row>
    <row r="310">
      <c r="J310" s="147"/>
      <c r="K310" s="147"/>
      <c r="L310" s="144"/>
    </row>
    <row r="311">
      <c r="J311" s="147"/>
      <c r="K311" s="147"/>
      <c r="L311" s="144"/>
    </row>
    <row r="312">
      <c r="J312" s="147"/>
      <c r="K312" s="147"/>
      <c r="L312" s="144"/>
    </row>
    <row r="313">
      <c r="J313" s="147"/>
      <c r="K313" s="147"/>
      <c r="L313" s="144"/>
    </row>
    <row r="314">
      <c r="J314" s="147"/>
      <c r="K314" s="147"/>
      <c r="L314" s="144"/>
    </row>
    <row r="315">
      <c r="J315" s="147"/>
      <c r="K315" s="147"/>
      <c r="L315" s="144"/>
    </row>
    <row r="316">
      <c r="J316" s="147"/>
      <c r="K316" s="147"/>
      <c r="L316" s="144"/>
    </row>
    <row r="317">
      <c r="J317" s="147"/>
      <c r="K317" s="147"/>
      <c r="L317" s="144"/>
    </row>
    <row r="318">
      <c r="J318" s="147"/>
      <c r="K318" s="147"/>
      <c r="L318" s="144"/>
    </row>
    <row r="319">
      <c r="J319" s="147"/>
      <c r="K319" s="147"/>
      <c r="L319" s="144"/>
    </row>
    <row r="320">
      <c r="J320" s="147"/>
      <c r="K320" s="147"/>
      <c r="L320" s="144"/>
    </row>
    <row r="321">
      <c r="J321" s="147"/>
      <c r="K321" s="147"/>
      <c r="L321" s="144"/>
    </row>
    <row r="322">
      <c r="J322" s="147"/>
      <c r="K322" s="147"/>
      <c r="L322" s="144"/>
    </row>
    <row r="323">
      <c r="J323" s="147"/>
      <c r="K323" s="147"/>
      <c r="L323" s="144"/>
    </row>
    <row r="324">
      <c r="J324" s="147"/>
      <c r="K324" s="147"/>
      <c r="L324" s="144"/>
    </row>
    <row r="325">
      <c r="J325" s="147"/>
      <c r="K325" s="147"/>
      <c r="L325" s="144"/>
    </row>
    <row r="326">
      <c r="J326" s="147"/>
      <c r="K326" s="147"/>
      <c r="L326" s="144"/>
    </row>
    <row r="327">
      <c r="J327" s="147"/>
      <c r="K327" s="147"/>
      <c r="L327" s="144"/>
    </row>
    <row r="328">
      <c r="J328" s="147"/>
      <c r="K328" s="147"/>
      <c r="L328" s="144"/>
    </row>
    <row r="329">
      <c r="J329" s="147"/>
      <c r="K329" s="147"/>
      <c r="L329" s="144"/>
    </row>
    <row r="330">
      <c r="J330" s="147"/>
      <c r="K330" s="147"/>
      <c r="L330" s="144"/>
    </row>
    <row r="331">
      <c r="J331" s="147"/>
      <c r="K331" s="147"/>
      <c r="L331" s="144"/>
    </row>
    <row r="332">
      <c r="J332" s="147"/>
      <c r="K332" s="147"/>
      <c r="L332" s="144"/>
    </row>
    <row r="333">
      <c r="J333" s="147"/>
      <c r="K333" s="147"/>
      <c r="L333" s="144"/>
    </row>
    <row r="334">
      <c r="J334" s="147"/>
      <c r="K334" s="147"/>
      <c r="L334" s="144"/>
    </row>
    <row r="335">
      <c r="J335" s="147"/>
      <c r="K335" s="147"/>
      <c r="L335" s="144"/>
    </row>
    <row r="336">
      <c r="J336" s="147"/>
      <c r="K336" s="147"/>
      <c r="L336" s="144"/>
    </row>
    <row r="337">
      <c r="J337" s="147"/>
      <c r="K337" s="147"/>
      <c r="L337" s="144"/>
    </row>
    <row r="338">
      <c r="J338" s="147"/>
      <c r="K338" s="147"/>
      <c r="L338" s="144"/>
    </row>
    <row r="339">
      <c r="J339" s="147"/>
      <c r="K339" s="147"/>
      <c r="L339" s="144"/>
    </row>
    <row r="340">
      <c r="J340" s="147"/>
      <c r="K340" s="147"/>
      <c r="L340" s="144"/>
    </row>
    <row r="341">
      <c r="J341" s="147"/>
      <c r="K341" s="147"/>
      <c r="L341" s="144"/>
    </row>
    <row r="342">
      <c r="J342" s="147"/>
      <c r="K342" s="147"/>
      <c r="L342" s="144"/>
    </row>
    <row r="343">
      <c r="J343" s="147"/>
      <c r="K343" s="147"/>
      <c r="L343" s="144"/>
    </row>
    <row r="344">
      <c r="J344" s="147"/>
      <c r="K344" s="147"/>
      <c r="L344" s="144"/>
    </row>
    <row r="345">
      <c r="J345" s="147"/>
      <c r="K345" s="147"/>
      <c r="L345" s="144"/>
    </row>
    <row r="346">
      <c r="J346" s="147"/>
      <c r="K346" s="147"/>
      <c r="L346" s="144"/>
    </row>
    <row r="347">
      <c r="J347" s="147"/>
      <c r="K347" s="147"/>
      <c r="L347" s="144"/>
    </row>
    <row r="348">
      <c r="J348" s="147"/>
      <c r="K348" s="147"/>
      <c r="L348" s="144"/>
    </row>
    <row r="349">
      <c r="J349" s="147"/>
      <c r="K349" s="147"/>
      <c r="L349" s="144"/>
    </row>
    <row r="350">
      <c r="J350" s="147"/>
      <c r="K350" s="147"/>
      <c r="L350" s="144"/>
    </row>
    <row r="351">
      <c r="J351" s="147"/>
      <c r="K351" s="147"/>
      <c r="L351" s="144"/>
    </row>
    <row r="352">
      <c r="J352" s="147"/>
      <c r="K352" s="147"/>
      <c r="L352" s="144"/>
    </row>
    <row r="353">
      <c r="J353" s="147"/>
      <c r="K353" s="147"/>
      <c r="L353" s="144"/>
    </row>
    <row r="354">
      <c r="J354" s="147"/>
      <c r="K354" s="147"/>
      <c r="L354" s="144"/>
    </row>
    <row r="355">
      <c r="J355" s="147"/>
      <c r="K355" s="147"/>
      <c r="L355" s="144"/>
    </row>
    <row r="356">
      <c r="J356" s="147"/>
      <c r="K356" s="147"/>
      <c r="L356" s="144"/>
    </row>
    <row r="357">
      <c r="J357" s="147"/>
      <c r="K357" s="147"/>
      <c r="L357" s="144"/>
    </row>
    <row r="358">
      <c r="J358" s="147"/>
      <c r="K358" s="147"/>
      <c r="L358" s="144"/>
    </row>
    <row r="359">
      <c r="J359" s="147"/>
      <c r="K359" s="147"/>
      <c r="L359" s="144"/>
    </row>
    <row r="360">
      <c r="J360" s="147"/>
      <c r="K360" s="147"/>
      <c r="L360" s="144"/>
    </row>
    <row r="361">
      <c r="J361" s="147"/>
      <c r="K361" s="147"/>
      <c r="L361" s="144"/>
    </row>
    <row r="362">
      <c r="J362" s="147"/>
      <c r="K362" s="147"/>
      <c r="L362" s="144"/>
    </row>
    <row r="363">
      <c r="J363" s="147"/>
      <c r="K363" s="147"/>
      <c r="L363" s="144"/>
    </row>
    <row r="364">
      <c r="J364" s="147"/>
      <c r="K364" s="147"/>
      <c r="L364" s="144"/>
    </row>
    <row r="365">
      <c r="J365" s="147"/>
      <c r="K365" s="147"/>
      <c r="L365" s="144"/>
    </row>
    <row r="366">
      <c r="J366" s="147"/>
      <c r="K366" s="147"/>
      <c r="L366" s="144"/>
    </row>
    <row r="367">
      <c r="J367" s="147"/>
      <c r="K367" s="147"/>
      <c r="L367" s="144"/>
    </row>
    <row r="368">
      <c r="J368" s="147"/>
      <c r="K368" s="147"/>
      <c r="L368" s="144"/>
    </row>
    <row r="369">
      <c r="J369" s="147"/>
      <c r="K369" s="147"/>
      <c r="L369" s="144"/>
    </row>
    <row r="370">
      <c r="J370" s="147"/>
      <c r="K370" s="147"/>
      <c r="L370" s="144"/>
    </row>
    <row r="371">
      <c r="J371" s="147"/>
      <c r="K371" s="147"/>
      <c r="L371" s="144"/>
    </row>
    <row r="372">
      <c r="J372" s="147"/>
      <c r="K372" s="147"/>
      <c r="L372" s="144"/>
    </row>
    <row r="373">
      <c r="J373" s="147"/>
      <c r="K373" s="147"/>
      <c r="L373" s="144"/>
    </row>
    <row r="374">
      <c r="J374" s="147"/>
      <c r="K374" s="147"/>
      <c r="L374" s="144"/>
    </row>
    <row r="375">
      <c r="J375" s="147"/>
      <c r="K375" s="147"/>
      <c r="L375" s="144"/>
    </row>
    <row r="376">
      <c r="J376" s="147"/>
      <c r="K376" s="147"/>
      <c r="L376" s="144"/>
    </row>
    <row r="377">
      <c r="J377" s="147"/>
      <c r="K377" s="147"/>
      <c r="L377" s="144"/>
    </row>
    <row r="378">
      <c r="J378" s="147"/>
      <c r="K378" s="147"/>
      <c r="L378" s="144"/>
    </row>
    <row r="379">
      <c r="J379" s="147"/>
      <c r="K379" s="147"/>
      <c r="L379" s="144"/>
    </row>
    <row r="380">
      <c r="J380" s="147"/>
      <c r="K380" s="147"/>
      <c r="L380" s="144"/>
    </row>
    <row r="381">
      <c r="J381" s="147"/>
      <c r="K381" s="147"/>
      <c r="L381" s="144"/>
    </row>
    <row r="382">
      <c r="J382" s="147"/>
      <c r="K382" s="147"/>
      <c r="L382" s="144"/>
    </row>
    <row r="383">
      <c r="J383" s="147"/>
      <c r="K383" s="147"/>
      <c r="L383" s="144"/>
    </row>
    <row r="384">
      <c r="J384" s="147"/>
      <c r="K384" s="147"/>
      <c r="L384" s="144"/>
    </row>
    <row r="385">
      <c r="J385" s="147"/>
      <c r="K385" s="147"/>
      <c r="L385" s="144"/>
    </row>
    <row r="386">
      <c r="J386" s="147"/>
      <c r="K386" s="147"/>
      <c r="L386" s="144"/>
    </row>
    <row r="387">
      <c r="J387" s="147"/>
      <c r="K387" s="147"/>
      <c r="L387" s="144"/>
    </row>
    <row r="388">
      <c r="J388" s="147"/>
      <c r="K388" s="147"/>
      <c r="L388" s="144"/>
    </row>
    <row r="389">
      <c r="J389" s="147"/>
      <c r="K389" s="147"/>
      <c r="L389" s="144"/>
    </row>
    <row r="390">
      <c r="J390" s="147"/>
      <c r="K390" s="147"/>
      <c r="L390" s="144"/>
    </row>
    <row r="391">
      <c r="J391" s="147"/>
      <c r="K391" s="147"/>
      <c r="L391" s="144"/>
    </row>
    <row r="392">
      <c r="J392" s="147"/>
      <c r="K392" s="147"/>
      <c r="L392" s="144"/>
    </row>
    <row r="393">
      <c r="J393" s="147"/>
      <c r="K393" s="147"/>
      <c r="L393" s="144"/>
    </row>
    <row r="394">
      <c r="J394" s="147"/>
      <c r="K394" s="147"/>
      <c r="L394" s="144"/>
    </row>
    <row r="395">
      <c r="J395" s="147"/>
      <c r="K395" s="147"/>
      <c r="L395" s="144"/>
    </row>
    <row r="396">
      <c r="J396" s="147"/>
      <c r="K396" s="147"/>
      <c r="L396" s="144"/>
    </row>
    <row r="397">
      <c r="J397" s="147"/>
      <c r="K397" s="147"/>
      <c r="L397" s="144"/>
    </row>
    <row r="398">
      <c r="J398" s="147"/>
      <c r="K398" s="147"/>
      <c r="L398" s="144"/>
    </row>
    <row r="399">
      <c r="J399" s="147"/>
      <c r="K399" s="147"/>
      <c r="L399" s="144"/>
    </row>
    <row r="400">
      <c r="J400" s="147"/>
      <c r="K400" s="147"/>
      <c r="L400" s="144"/>
    </row>
    <row r="401">
      <c r="J401" s="147"/>
      <c r="K401" s="147"/>
      <c r="L401" s="144"/>
    </row>
    <row r="402">
      <c r="J402" s="147"/>
      <c r="K402" s="147"/>
      <c r="L402" s="144"/>
    </row>
    <row r="403">
      <c r="J403" s="147"/>
      <c r="K403" s="147"/>
      <c r="L403" s="144"/>
    </row>
    <row r="404">
      <c r="J404" s="147"/>
      <c r="K404" s="147"/>
      <c r="L404" s="144"/>
    </row>
    <row r="405">
      <c r="J405" s="147"/>
      <c r="K405" s="147"/>
      <c r="L405" s="144"/>
    </row>
    <row r="406">
      <c r="J406" s="147"/>
      <c r="K406" s="147"/>
      <c r="L406" s="144"/>
    </row>
    <row r="407">
      <c r="J407" s="147"/>
      <c r="K407" s="147"/>
      <c r="L407" s="144"/>
    </row>
    <row r="408">
      <c r="J408" s="147"/>
      <c r="K408" s="147"/>
      <c r="L408" s="144"/>
    </row>
    <row r="409">
      <c r="J409" s="147"/>
      <c r="K409" s="147"/>
      <c r="L409" s="144"/>
    </row>
    <row r="410">
      <c r="J410" s="147"/>
      <c r="K410" s="147"/>
      <c r="L410" s="144"/>
    </row>
    <row r="411">
      <c r="J411" s="147"/>
      <c r="K411" s="147"/>
      <c r="L411" s="144"/>
    </row>
    <row r="412">
      <c r="J412" s="147"/>
      <c r="K412" s="147"/>
      <c r="L412" s="144"/>
    </row>
    <row r="413">
      <c r="J413" s="147"/>
      <c r="K413" s="147"/>
      <c r="L413" s="144"/>
    </row>
    <row r="414">
      <c r="J414" s="147"/>
      <c r="K414" s="147"/>
      <c r="L414" s="144"/>
    </row>
    <row r="415">
      <c r="J415" s="147"/>
      <c r="K415" s="147"/>
      <c r="L415" s="144"/>
    </row>
    <row r="416">
      <c r="J416" s="147"/>
      <c r="K416" s="147"/>
      <c r="L416" s="144"/>
    </row>
    <row r="417">
      <c r="J417" s="147"/>
      <c r="K417" s="147"/>
      <c r="L417" s="144"/>
    </row>
    <row r="418">
      <c r="J418" s="147"/>
      <c r="K418" s="147"/>
      <c r="L418" s="144"/>
    </row>
    <row r="419">
      <c r="J419" s="147"/>
      <c r="K419" s="147"/>
      <c r="L419" s="144"/>
    </row>
    <row r="420">
      <c r="J420" s="147"/>
      <c r="K420" s="147"/>
      <c r="L420" s="144"/>
    </row>
    <row r="421">
      <c r="J421" s="147"/>
      <c r="K421" s="147"/>
      <c r="L421" s="144"/>
    </row>
    <row r="422">
      <c r="J422" s="147"/>
      <c r="K422" s="147"/>
      <c r="L422" s="144"/>
    </row>
    <row r="423">
      <c r="J423" s="147"/>
      <c r="K423" s="147"/>
      <c r="L423" s="144"/>
    </row>
    <row r="424">
      <c r="J424" s="147"/>
      <c r="K424" s="147"/>
      <c r="L424" s="144"/>
    </row>
    <row r="425">
      <c r="J425" s="147"/>
      <c r="K425" s="147"/>
      <c r="L425" s="144"/>
    </row>
    <row r="426">
      <c r="J426" s="147"/>
      <c r="K426" s="147"/>
      <c r="L426" s="144"/>
    </row>
    <row r="427">
      <c r="J427" s="147"/>
      <c r="K427" s="147"/>
      <c r="L427" s="144"/>
    </row>
    <row r="428">
      <c r="J428" s="147"/>
      <c r="K428" s="147"/>
      <c r="L428" s="144"/>
    </row>
    <row r="429">
      <c r="J429" s="147"/>
      <c r="K429" s="147"/>
      <c r="L429" s="144"/>
    </row>
    <row r="430">
      <c r="J430" s="147"/>
      <c r="K430" s="147"/>
      <c r="L430" s="144"/>
    </row>
    <row r="431">
      <c r="J431" s="147"/>
      <c r="K431" s="147"/>
      <c r="L431" s="144"/>
    </row>
    <row r="432">
      <c r="J432" s="147"/>
      <c r="K432" s="147"/>
      <c r="L432" s="144"/>
    </row>
    <row r="433">
      <c r="J433" s="147"/>
      <c r="K433" s="147"/>
      <c r="L433" s="144"/>
    </row>
    <row r="434">
      <c r="J434" s="147"/>
      <c r="K434" s="147"/>
      <c r="L434" s="144"/>
    </row>
    <row r="435">
      <c r="J435" s="147"/>
      <c r="K435" s="147"/>
      <c r="L435" s="144"/>
    </row>
    <row r="436">
      <c r="J436" s="147"/>
      <c r="K436" s="147"/>
      <c r="L436" s="144"/>
    </row>
    <row r="437">
      <c r="J437" s="147"/>
      <c r="K437" s="147"/>
      <c r="L437" s="144"/>
    </row>
    <row r="438">
      <c r="J438" s="147"/>
      <c r="K438" s="147"/>
      <c r="L438" s="144"/>
    </row>
    <row r="439">
      <c r="J439" s="147"/>
      <c r="K439" s="147"/>
      <c r="L439" s="144"/>
    </row>
    <row r="440">
      <c r="J440" s="147"/>
      <c r="K440" s="147"/>
      <c r="L440" s="144"/>
    </row>
    <row r="441">
      <c r="J441" s="147"/>
      <c r="K441" s="147"/>
      <c r="L441" s="144"/>
    </row>
    <row r="442">
      <c r="J442" s="147"/>
      <c r="K442" s="147"/>
      <c r="L442" s="144"/>
    </row>
    <row r="443">
      <c r="J443" s="147"/>
      <c r="K443" s="147"/>
      <c r="L443" s="144"/>
    </row>
    <row r="444">
      <c r="J444" s="147"/>
      <c r="K444" s="147"/>
      <c r="L444" s="144"/>
    </row>
    <row r="445">
      <c r="J445" s="147"/>
      <c r="K445" s="147"/>
      <c r="L445" s="144"/>
    </row>
    <row r="446">
      <c r="J446" s="147"/>
      <c r="K446" s="147"/>
      <c r="L446" s="144"/>
    </row>
    <row r="447">
      <c r="J447" s="147"/>
      <c r="K447" s="147"/>
      <c r="L447" s="144"/>
    </row>
    <row r="448">
      <c r="J448" s="147"/>
      <c r="K448" s="147"/>
      <c r="L448" s="144"/>
    </row>
    <row r="449">
      <c r="J449" s="147"/>
      <c r="K449" s="147"/>
      <c r="L449" s="144"/>
    </row>
    <row r="450">
      <c r="J450" s="147"/>
      <c r="K450" s="147"/>
      <c r="L450" s="144"/>
    </row>
    <row r="451">
      <c r="J451" s="147"/>
      <c r="K451" s="147"/>
      <c r="L451" s="144"/>
    </row>
    <row r="452">
      <c r="J452" s="147"/>
      <c r="K452" s="147"/>
      <c r="L452" s="144"/>
    </row>
    <row r="453">
      <c r="J453" s="147"/>
      <c r="K453" s="147"/>
      <c r="L453" s="144"/>
    </row>
    <row r="454">
      <c r="J454" s="147"/>
      <c r="K454" s="147"/>
      <c r="L454" s="144"/>
    </row>
    <row r="455">
      <c r="J455" s="147"/>
      <c r="K455" s="147"/>
      <c r="L455" s="144"/>
    </row>
    <row r="456">
      <c r="J456" s="147"/>
      <c r="K456" s="147"/>
      <c r="L456" s="144"/>
    </row>
    <row r="457">
      <c r="J457" s="147"/>
      <c r="K457" s="147"/>
      <c r="L457" s="144"/>
    </row>
    <row r="458">
      <c r="J458" s="147"/>
      <c r="K458" s="147"/>
      <c r="L458" s="144"/>
    </row>
    <row r="459">
      <c r="J459" s="147"/>
      <c r="K459" s="147"/>
      <c r="L459" s="144"/>
    </row>
    <row r="460">
      <c r="J460" s="147"/>
      <c r="K460" s="147"/>
      <c r="L460" s="144"/>
    </row>
    <row r="461">
      <c r="J461" s="147"/>
      <c r="K461" s="147"/>
      <c r="L461" s="144"/>
    </row>
    <row r="462">
      <c r="J462" s="147"/>
      <c r="K462" s="147"/>
      <c r="L462" s="144"/>
    </row>
    <row r="463">
      <c r="J463" s="147"/>
      <c r="K463" s="147"/>
      <c r="L463" s="144"/>
    </row>
    <row r="464">
      <c r="J464" s="147"/>
      <c r="K464" s="147"/>
      <c r="L464" s="144"/>
    </row>
    <row r="465">
      <c r="J465" s="147"/>
      <c r="K465" s="147"/>
      <c r="L465" s="144"/>
    </row>
    <row r="466">
      <c r="J466" s="147"/>
      <c r="K466" s="147"/>
      <c r="L466" s="144"/>
    </row>
    <row r="467">
      <c r="J467" s="147"/>
      <c r="K467" s="147"/>
      <c r="L467" s="144"/>
    </row>
    <row r="468">
      <c r="J468" s="147"/>
      <c r="K468" s="147"/>
      <c r="L468" s="144"/>
    </row>
    <row r="469">
      <c r="J469" s="147"/>
      <c r="K469" s="147"/>
      <c r="L469" s="144"/>
    </row>
    <row r="470">
      <c r="J470" s="147"/>
      <c r="K470" s="147"/>
      <c r="L470" s="144"/>
    </row>
    <row r="471">
      <c r="J471" s="147"/>
      <c r="K471" s="147"/>
      <c r="L471" s="144"/>
    </row>
    <row r="472">
      <c r="J472" s="147"/>
      <c r="K472" s="147"/>
      <c r="L472" s="144"/>
    </row>
    <row r="473">
      <c r="J473" s="147"/>
      <c r="K473" s="147"/>
      <c r="L473" s="144"/>
    </row>
    <row r="474">
      <c r="J474" s="147"/>
      <c r="K474" s="147"/>
      <c r="L474" s="144"/>
    </row>
    <row r="475">
      <c r="J475" s="147"/>
      <c r="K475" s="147"/>
      <c r="L475" s="144"/>
    </row>
    <row r="476">
      <c r="J476" s="147"/>
      <c r="K476" s="147"/>
      <c r="L476" s="144"/>
    </row>
    <row r="477">
      <c r="J477" s="147"/>
      <c r="K477" s="147"/>
      <c r="L477" s="144"/>
    </row>
    <row r="478">
      <c r="J478" s="147"/>
      <c r="K478" s="147"/>
      <c r="L478" s="144"/>
    </row>
    <row r="479">
      <c r="J479" s="147"/>
      <c r="K479" s="147"/>
      <c r="L479" s="144"/>
    </row>
    <row r="480">
      <c r="J480" s="147"/>
      <c r="K480" s="147"/>
      <c r="L480" s="144"/>
    </row>
    <row r="481">
      <c r="J481" s="147"/>
      <c r="K481" s="147"/>
      <c r="L481" s="144"/>
    </row>
    <row r="482">
      <c r="J482" s="147"/>
      <c r="K482" s="147"/>
      <c r="L482" s="144"/>
    </row>
    <row r="483">
      <c r="J483" s="147"/>
      <c r="K483" s="147"/>
      <c r="L483" s="144"/>
    </row>
    <row r="484">
      <c r="J484" s="147"/>
      <c r="K484" s="147"/>
      <c r="L484" s="144"/>
    </row>
    <row r="485">
      <c r="J485" s="147"/>
      <c r="K485" s="147"/>
      <c r="L485" s="144"/>
    </row>
    <row r="486">
      <c r="J486" s="147"/>
      <c r="K486" s="147"/>
      <c r="L486" s="144"/>
    </row>
    <row r="487">
      <c r="J487" s="147"/>
      <c r="K487" s="147"/>
      <c r="L487" s="144"/>
    </row>
    <row r="488">
      <c r="J488" s="147"/>
      <c r="K488" s="147"/>
      <c r="L488" s="144"/>
    </row>
    <row r="489">
      <c r="J489" s="147"/>
      <c r="K489" s="147"/>
      <c r="L489" s="144"/>
    </row>
    <row r="490">
      <c r="J490" s="147"/>
      <c r="K490" s="147"/>
      <c r="L490" s="144"/>
    </row>
    <row r="491">
      <c r="J491" s="147"/>
      <c r="K491" s="147"/>
      <c r="L491" s="144"/>
    </row>
    <row r="492">
      <c r="J492" s="147"/>
      <c r="K492" s="147"/>
      <c r="L492" s="144"/>
    </row>
    <row r="493">
      <c r="J493" s="147"/>
      <c r="K493" s="147"/>
      <c r="L493" s="144"/>
    </row>
    <row r="494">
      <c r="J494" s="147"/>
      <c r="K494" s="147"/>
      <c r="L494" s="144"/>
    </row>
    <row r="495">
      <c r="J495" s="147"/>
      <c r="K495" s="147"/>
      <c r="L495" s="144"/>
    </row>
    <row r="496">
      <c r="J496" s="147"/>
      <c r="K496" s="147"/>
      <c r="L496" s="144"/>
    </row>
    <row r="497">
      <c r="J497" s="147"/>
      <c r="K497" s="147"/>
      <c r="L497" s="144"/>
    </row>
    <row r="498">
      <c r="J498" s="147"/>
      <c r="K498" s="147"/>
      <c r="L498" s="144"/>
    </row>
    <row r="499">
      <c r="J499" s="147"/>
      <c r="K499" s="147"/>
      <c r="L499" s="144"/>
    </row>
    <row r="500">
      <c r="J500" s="147"/>
      <c r="K500" s="147"/>
      <c r="L500" s="144"/>
    </row>
    <row r="501">
      <c r="J501" s="147"/>
      <c r="K501" s="147"/>
      <c r="L501" s="144"/>
    </row>
    <row r="502">
      <c r="J502" s="147"/>
      <c r="K502" s="147"/>
      <c r="L502" s="144"/>
    </row>
    <row r="503">
      <c r="J503" s="147"/>
      <c r="K503" s="147"/>
      <c r="L503" s="144"/>
    </row>
    <row r="504">
      <c r="J504" s="147"/>
      <c r="K504" s="147"/>
      <c r="L504" s="144"/>
    </row>
    <row r="505">
      <c r="J505" s="147"/>
      <c r="K505" s="147"/>
      <c r="L505" s="144"/>
    </row>
    <row r="506">
      <c r="J506" s="147"/>
      <c r="K506" s="147"/>
      <c r="L506" s="144"/>
    </row>
    <row r="507">
      <c r="J507" s="147"/>
      <c r="K507" s="147"/>
      <c r="L507" s="144"/>
    </row>
    <row r="508">
      <c r="J508" s="147"/>
      <c r="K508" s="147"/>
      <c r="L508" s="144"/>
    </row>
    <row r="509">
      <c r="J509" s="147"/>
      <c r="K509" s="147"/>
      <c r="L509" s="144"/>
    </row>
    <row r="510">
      <c r="J510" s="147"/>
      <c r="K510" s="147"/>
      <c r="L510" s="144"/>
    </row>
    <row r="511">
      <c r="J511" s="147"/>
      <c r="K511" s="147"/>
      <c r="L511" s="144"/>
    </row>
    <row r="512">
      <c r="J512" s="147"/>
      <c r="K512" s="147"/>
      <c r="L512" s="144"/>
    </row>
    <row r="513">
      <c r="J513" s="147"/>
      <c r="K513" s="147"/>
      <c r="L513" s="144"/>
    </row>
    <row r="514">
      <c r="J514" s="147"/>
      <c r="K514" s="147"/>
      <c r="L514" s="144"/>
    </row>
    <row r="515">
      <c r="J515" s="147"/>
      <c r="K515" s="147"/>
      <c r="L515" s="144"/>
    </row>
    <row r="516">
      <c r="J516" s="147"/>
      <c r="K516" s="147"/>
      <c r="L516" s="144"/>
    </row>
    <row r="517">
      <c r="J517" s="147"/>
      <c r="K517" s="147"/>
      <c r="L517" s="144"/>
    </row>
    <row r="518">
      <c r="J518" s="147"/>
      <c r="K518" s="147"/>
      <c r="L518" s="144"/>
    </row>
    <row r="519">
      <c r="J519" s="147"/>
      <c r="K519" s="147"/>
      <c r="L519" s="144"/>
    </row>
    <row r="520">
      <c r="J520" s="147"/>
      <c r="K520" s="147"/>
      <c r="L520" s="144"/>
    </row>
    <row r="521">
      <c r="J521" s="147"/>
      <c r="K521" s="147"/>
      <c r="L521" s="144"/>
    </row>
    <row r="522">
      <c r="J522" s="147"/>
      <c r="K522" s="147"/>
      <c r="L522" s="144"/>
    </row>
    <row r="523">
      <c r="J523" s="147"/>
      <c r="K523" s="147"/>
      <c r="L523" s="144"/>
    </row>
    <row r="524">
      <c r="J524" s="147"/>
      <c r="K524" s="147"/>
      <c r="L524" s="144"/>
    </row>
    <row r="525">
      <c r="J525" s="147"/>
      <c r="K525" s="147"/>
      <c r="L525" s="144"/>
    </row>
    <row r="526">
      <c r="J526" s="147"/>
      <c r="K526" s="147"/>
      <c r="L526" s="144"/>
    </row>
    <row r="527">
      <c r="J527" s="147"/>
      <c r="K527" s="147"/>
      <c r="L527" s="144"/>
    </row>
    <row r="528">
      <c r="J528" s="147"/>
      <c r="K528" s="147"/>
      <c r="L528" s="144"/>
    </row>
    <row r="529">
      <c r="J529" s="147"/>
      <c r="K529" s="147"/>
      <c r="L529" s="144"/>
    </row>
    <row r="530">
      <c r="J530" s="147"/>
      <c r="K530" s="147"/>
      <c r="L530" s="144"/>
    </row>
    <row r="531">
      <c r="J531" s="147"/>
      <c r="K531" s="147"/>
      <c r="L531" s="144"/>
    </row>
    <row r="532">
      <c r="J532" s="147"/>
      <c r="K532" s="147"/>
      <c r="L532" s="144"/>
    </row>
    <row r="533">
      <c r="J533" s="147"/>
      <c r="K533" s="147"/>
      <c r="L533" s="144"/>
    </row>
    <row r="534">
      <c r="J534" s="147"/>
      <c r="K534" s="147"/>
      <c r="L534" s="144"/>
    </row>
    <row r="535">
      <c r="J535" s="147"/>
      <c r="K535" s="147"/>
      <c r="L535" s="144"/>
    </row>
    <row r="536">
      <c r="J536" s="147"/>
      <c r="K536" s="147"/>
      <c r="L536" s="144"/>
    </row>
    <row r="537">
      <c r="J537" s="147"/>
      <c r="K537" s="147"/>
      <c r="L537" s="144"/>
    </row>
    <row r="538">
      <c r="J538" s="147"/>
      <c r="K538" s="147"/>
      <c r="L538" s="144"/>
    </row>
    <row r="539">
      <c r="J539" s="147"/>
      <c r="K539" s="147"/>
      <c r="L539" s="144"/>
    </row>
    <row r="540">
      <c r="J540" s="147"/>
      <c r="K540" s="147"/>
      <c r="L540" s="144"/>
    </row>
    <row r="541">
      <c r="J541" s="147"/>
      <c r="K541" s="147"/>
      <c r="L541" s="144"/>
    </row>
    <row r="542">
      <c r="J542" s="147"/>
      <c r="K542" s="147"/>
      <c r="L542" s="144"/>
    </row>
    <row r="543">
      <c r="J543" s="147"/>
      <c r="K543" s="147"/>
      <c r="L543" s="144"/>
    </row>
    <row r="544">
      <c r="J544" s="147"/>
      <c r="K544" s="147"/>
      <c r="L544" s="144"/>
    </row>
    <row r="545">
      <c r="J545" s="147"/>
      <c r="K545" s="147"/>
      <c r="L545" s="144"/>
    </row>
    <row r="546">
      <c r="J546" s="147"/>
      <c r="K546" s="147"/>
      <c r="L546" s="144"/>
    </row>
    <row r="547">
      <c r="J547" s="147"/>
      <c r="K547" s="147"/>
      <c r="L547" s="144"/>
    </row>
    <row r="548">
      <c r="J548" s="147"/>
      <c r="K548" s="147"/>
      <c r="L548" s="144"/>
    </row>
    <row r="549">
      <c r="J549" s="147"/>
      <c r="K549" s="147"/>
      <c r="L549" s="144"/>
    </row>
    <row r="550">
      <c r="J550" s="147"/>
      <c r="K550" s="147"/>
      <c r="L550" s="144"/>
    </row>
    <row r="551">
      <c r="J551" s="147"/>
      <c r="K551" s="147"/>
      <c r="L551" s="144"/>
    </row>
    <row r="552">
      <c r="J552" s="147"/>
      <c r="K552" s="147"/>
      <c r="L552" s="144"/>
    </row>
    <row r="553">
      <c r="J553" s="147"/>
      <c r="K553" s="147"/>
      <c r="L553" s="144"/>
    </row>
    <row r="554">
      <c r="J554" s="147"/>
      <c r="K554" s="147"/>
      <c r="L554" s="144"/>
    </row>
    <row r="555">
      <c r="J555" s="147"/>
      <c r="K555" s="147"/>
      <c r="L555" s="144"/>
    </row>
    <row r="556">
      <c r="J556" s="147"/>
      <c r="K556" s="147"/>
      <c r="L556" s="144"/>
    </row>
    <row r="557">
      <c r="J557" s="147"/>
      <c r="K557" s="147"/>
      <c r="L557" s="144"/>
    </row>
    <row r="558">
      <c r="J558" s="147"/>
      <c r="K558" s="147"/>
      <c r="L558" s="144"/>
    </row>
    <row r="559">
      <c r="J559" s="147"/>
      <c r="K559" s="147"/>
      <c r="L559" s="144"/>
    </row>
    <row r="560">
      <c r="J560" s="147"/>
      <c r="K560" s="147"/>
      <c r="L560" s="144"/>
    </row>
    <row r="561">
      <c r="J561" s="147"/>
      <c r="K561" s="147"/>
      <c r="L561" s="144"/>
    </row>
    <row r="562">
      <c r="J562" s="147"/>
      <c r="K562" s="147"/>
      <c r="L562" s="144"/>
    </row>
    <row r="563">
      <c r="J563" s="147"/>
      <c r="K563" s="147"/>
      <c r="L563" s="144"/>
    </row>
    <row r="564">
      <c r="J564" s="147"/>
      <c r="K564" s="147"/>
      <c r="L564" s="144"/>
    </row>
    <row r="565">
      <c r="J565" s="147"/>
      <c r="K565" s="147"/>
      <c r="L565" s="144"/>
    </row>
    <row r="566">
      <c r="J566" s="147"/>
      <c r="K566" s="147"/>
      <c r="L566" s="144"/>
    </row>
    <row r="567">
      <c r="J567" s="147"/>
      <c r="K567" s="147"/>
      <c r="L567" s="144"/>
    </row>
    <row r="568">
      <c r="J568" s="147"/>
      <c r="K568" s="147"/>
      <c r="L568" s="144"/>
    </row>
    <row r="569">
      <c r="J569" s="147"/>
      <c r="K569" s="147"/>
      <c r="L569" s="144"/>
    </row>
    <row r="570">
      <c r="J570" s="147"/>
      <c r="K570" s="147"/>
      <c r="L570" s="144"/>
    </row>
    <row r="571">
      <c r="J571" s="147"/>
      <c r="K571" s="147"/>
      <c r="L571" s="144"/>
    </row>
    <row r="572">
      <c r="J572" s="147"/>
      <c r="K572" s="147"/>
      <c r="L572" s="144"/>
    </row>
    <row r="573">
      <c r="J573" s="147"/>
      <c r="K573" s="147"/>
      <c r="L573" s="144"/>
    </row>
    <row r="574">
      <c r="J574" s="147"/>
      <c r="K574" s="147"/>
      <c r="L574" s="144"/>
    </row>
    <row r="575">
      <c r="J575" s="147"/>
      <c r="K575" s="147"/>
      <c r="L575" s="144"/>
    </row>
    <row r="576">
      <c r="J576" s="147"/>
      <c r="K576" s="147"/>
      <c r="L576" s="144"/>
    </row>
    <row r="577">
      <c r="J577" s="147"/>
      <c r="K577" s="147"/>
      <c r="L577" s="144"/>
    </row>
    <row r="578">
      <c r="J578" s="147"/>
      <c r="K578" s="147"/>
      <c r="L578" s="144"/>
    </row>
    <row r="579">
      <c r="J579" s="147"/>
      <c r="K579" s="147"/>
      <c r="L579" s="144"/>
    </row>
    <row r="580">
      <c r="J580" s="147"/>
      <c r="K580" s="147"/>
      <c r="L580" s="144"/>
    </row>
    <row r="581">
      <c r="J581" s="147"/>
      <c r="K581" s="147"/>
      <c r="L581" s="144"/>
    </row>
    <row r="582">
      <c r="J582" s="147"/>
      <c r="K582" s="147"/>
      <c r="L582" s="144"/>
    </row>
    <row r="583">
      <c r="J583" s="147"/>
      <c r="K583" s="147"/>
      <c r="L583" s="144"/>
    </row>
    <row r="584">
      <c r="J584" s="147"/>
      <c r="K584" s="147"/>
      <c r="L584" s="144"/>
    </row>
    <row r="585">
      <c r="J585" s="147"/>
      <c r="K585" s="147"/>
      <c r="L585" s="144"/>
    </row>
    <row r="586">
      <c r="J586" s="147"/>
      <c r="K586" s="147"/>
      <c r="L586" s="144"/>
    </row>
    <row r="587">
      <c r="J587" s="147"/>
      <c r="K587" s="147"/>
      <c r="L587" s="144"/>
    </row>
    <row r="588">
      <c r="J588" s="147"/>
      <c r="K588" s="147"/>
      <c r="L588" s="144"/>
    </row>
    <row r="589">
      <c r="J589" s="147"/>
      <c r="K589" s="147"/>
      <c r="L589" s="144"/>
    </row>
    <row r="590">
      <c r="J590" s="147"/>
      <c r="K590" s="147"/>
      <c r="L590" s="144"/>
    </row>
    <row r="591">
      <c r="J591" s="147"/>
      <c r="K591" s="147"/>
      <c r="L591" s="144"/>
    </row>
    <row r="592">
      <c r="J592" s="147"/>
      <c r="K592" s="147"/>
      <c r="L592" s="144"/>
    </row>
    <row r="593">
      <c r="J593" s="147"/>
      <c r="K593" s="147"/>
      <c r="L593" s="144"/>
    </row>
    <row r="594">
      <c r="J594" s="147"/>
      <c r="K594" s="147"/>
      <c r="L594" s="144"/>
    </row>
    <row r="595">
      <c r="J595" s="147"/>
      <c r="K595" s="147"/>
      <c r="L595" s="144"/>
    </row>
    <row r="596">
      <c r="J596" s="147"/>
      <c r="K596" s="147"/>
      <c r="L596" s="144"/>
    </row>
    <row r="597">
      <c r="J597" s="147"/>
      <c r="K597" s="147"/>
      <c r="L597" s="144"/>
    </row>
    <row r="598">
      <c r="J598" s="147"/>
      <c r="K598" s="147"/>
      <c r="L598" s="144"/>
    </row>
    <row r="599">
      <c r="J599" s="147"/>
      <c r="K599" s="147"/>
      <c r="L599" s="144"/>
    </row>
    <row r="600">
      <c r="J600" s="147"/>
      <c r="K600" s="147"/>
      <c r="L600" s="144"/>
    </row>
    <row r="601">
      <c r="J601" s="147"/>
      <c r="K601" s="147"/>
      <c r="L601" s="144"/>
    </row>
    <row r="602">
      <c r="J602" s="147"/>
      <c r="K602" s="147"/>
      <c r="L602" s="144"/>
    </row>
    <row r="603">
      <c r="J603" s="147"/>
      <c r="K603" s="147"/>
      <c r="L603" s="144"/>
    </row>
    <row r="604">
      <c r="J604" s="147"/>
      <c r="K604" s="147"/>
      <c r="L604" s="144"/>
    </row>
    <row r="605">
      <c r="J605" s="147"/>
      <c r="K605" s="147"/>
      <c r="L605" s="144"/>
    </row>
    <row r="606">
      <c r="J606" s="147"/>
      <c r="K606" s="147"/>
      <c r="L606" s="144"/>
    </row>
    <row r="607">
      <c r="J607" s="147"/>
      <c r="K607" s="147"/>
      <c r="L607" s="144"/>
    </row>
    <row r="608">
      <c r="J608" s="147"/>
      <c r="K608" s="147"/>
      <c r="L608" s="144"/>
    </row>
    <row r="609">
      <c r="J609" s="147"/>
      <c r="K609" s="147"/>
      <c r="L609" s="144"/>
    </row>
    <row r="610">
      <c r="J610" s="147"/>
      <c r="K610" s="147"/>
      <c r="L610" s="144"/>
    </row>
    <row r="611">
      <c r="J611" s="147"/>
      <c r="K611" s="147"/>
      <c r="L611" s="144"/>
    </row>
    <row r="612">
      <c r="J612" s="147"/>
      <c r="K612" s="147"/>
      <c r="L612" s="144"/>
    </row>
    <row r="613">
      <c r="J613" s="147"/>
      <c r="K613" s="147"/>
      <c r="L613" s="144"/>
    </row>
    <row r="614">
      <c r="J614" s="147"/>
      <c r="K614" s="147"/>
      <c r="L614" s="144"/>
    </row>
    <row r="615">
      <c r="J615" s="147"/>
      <c r="K615" s="147"/>
      <c r="L615" s="144"/>
    </row>
    <row r="616">
      <c r="J616" s="147"/>
      <c r="K616" s="147"/>
      <c r="L616" s="144"/>
    </row>
    <row r="617">
      <c r="J617" s="147"/>
      <c r="K617" s="147"/>
      <c r="L617" s="144"/>
    </row>
    <row r="618">
      <c r="J618" s="147"/>
      <c r="K618" s="147"/>
      <c r="L618" s="144"/>
    </row>
    <row r="619">
      <c r="J619" s="147"/>
      <c r="K619" s="147"/>
      <c r="L619" s="144"/>
    </row>
    <row r="620">
      <c r="J620" s="147"/>
      <c r="K620" s="147"/>
      <c r="L620" s="144"/>
    </row>
    <row r="621">
      <c r="J621" s="147"/>
      <c r="K621" s="147"/>
      <c r="L621" s="144"/>
    </row>
    <row r="622">
      <c r="J622" s="147"/>
      <c r="K622" s="147"/>
      <c r="L622" s="144"/>
    </row>
    <row r="623">
      <c r="J623" s="147"/>
      <c r="K623" s="147"/>
      <c r="L623" s="144"/>
    </row>
    <row r="624">
      <c r="J624" s="147"/>
      <c r="K624" s="147"/>
      <c r="L624" s="144"/>
    </row>
    <row r="625">
      <c r="J625" s="147"/>
      <c r="K625" s="147"/>
      <c r="L625" s="144"/>
    </row>
    <row r="626">
      <c r="J626" s="147"/>
      <c r="K626" s="147"/>
      <c r="L626" s="144"/>
    </row>
    <row r="627">
      <c r="J627" s="147"/>
      <c r="K627" s="147"/>
      <c r="L627" s="144"/>
    </row>
    <row r="628">
      <c r="J628" s="147"/>
      <c r="K628" s="147"/>
      <c r="L628" s="144"/>
    </row>
    <row r="629">
      <c r="J629" s="147"/>
      <c r="K629" s="147"/>
      <c r="L629" s="144"/>
    </row>
    <row r="630">
      <c r="J630" s="147"/>
      <c r="K630" s="147"/>
      <c r="L630" s="144"/>
    </row>
    <row r="631">
      <c r="J631" s="147"/>
      <c r="K631" s="147"/>
      <c r="L631" s="144"/>
    </row>
    <row r="632">
      <c r="J632" s="147"/>
      <c r="K632" s="147"/>
      <c r="L632" s="144"/>
    </row>
    <row r="633">
      <c r="J633" s="147"/>
      <c r="K633" s="147"/>
      <c r="L633" s="144"/>
    </row>
    <row r="634">
      <c r="J634" s="147"/>
      <c r="K634" s="147"/>
      <c r="L634" s="144"/>
    </row>
    <row r="635">
      <c r="J635" s="147"/>
      <c r="K635" s="147"/>
      <c r="L635" s="144"/>
    </row>
    <row r="636">
      <c r="J636" s="147"/>
      <c r="K636" s="147"/>
      <c r="L636" s="144"/>
    </row>
    <row r="637">
      <c r="J637" s="147"/>
      <c r="K637" s="147"/>
      <c r="L637" s="144"/>
    </row>
    <row r="638">
      <c r="J638" s="147"/>
      <c r="K638" s="147"/>
      <c r="L638" s="144"/>
    </row>
    <row r="639">
      <c r="J639" s="147"/>
      <c r="K639" s="147"/>
      <c r="L639" s="144"/>
    </row>
    <row r="640">
      <c r="J640" s="147"/>
      <c r="K640" s="147"/>
      <c r="L640" s="144"/>
    </row>
    <row r="641">
      <c r="J641" s="147"/>
      <c r="K641" s="147"/>
      <c r="L641" s="144"/>
    </row>
    <row r="642">
      <c r="J642" s="147"/>
      <c r="K642" s="147"/>
      <c r="L642" s="144"/>
    </row>
    <row r="643">
      <c r="J643" s="147"/>
      <c r="K643" s="147"/>
      <c r="L643" s="144"/>
    </row>
    <row r="644">
      <c r="J644" s="147"/>
      <c r="K644" s="147"/>
      <c r="L644" s="144"/>
    </row>
    <row r="645">
      <c r="J645" s="147"/>
      <c r="K645" s="147"/>
      <c r="L645" s="144"/>
    </row>
    <row r="646">
      <c r="J646" s="147"/>
      <c r="K646" s="147"/>
      <c r="L646" s="144"/>
    </row>
    <row r="647">
      <c r="J647" s="147"/>
      <c r="K647" s="147"/>
      <c r="L647" s="144"/>
    </row>
    <row r="648">
      <c r="J648" s="147"/>
      <c r="K648" s="147"/>
      <c r="L648" s="144"/>
    </row>
    <row r="649">
      <c r="J649" s="147"/>
      <c r="K649" s="147"/>
      <c r="L649" s="144"/>
    </row>
    <row r="650">
      <c r="J650" s="147"/>
      <c r="K650" s="147"/>
      <c r="L650" s="144"/>
    </row>
    <row r="651">
      <c r="J651" s="147"/>
      <c r="K651" s="147"/>
      <c r="L651" s="144"/>
    </row>
    <row r="652">
      <c r="J652" s="147"/>
      <c r="K652" s="147"/>
      <c r="L652" s="144"/>
    </row>
    <row r="653">
      <c r="J653" s="147"/>
      <c r="K653" s="147"/>
      <c r="L653" s="144"/>
    </row>
    <row r="654">
      <c r="J654" s="147"/>
      <c r="K654" s="147"/>
      <c r="L654" s="144"/>
    </row>
    <row r="655">
      <c r="J655" s="147"/>
      <c r="K655" s="147"/>
      <c r="L655" s="144"/>
    </row>
    <row r="656">
      <c r="J656" s="147"/>
      <c r="K656" s="147"/>
      <c r="L656" s="144"/>
    </row>
    <row r="657">
      <c r="J657" s="147"/>
      <c r="K657" s="147"/>
      <c r="L657" s="144"/>
    </row>
    <row r="658">
      <c r="J658" s="147"/>
      <c r="K658" s="147"/>
      <c r="L658" s="144"/>
    </row>
    <row r="659">
      <c r="J659" s="147"/>
      <c r="K659" s="147"/>
      <c r="L659" s="144"/>
    </row>
    <row r="660">
      <c r="J660" s="147"/>
      <c r="K660" s="147"/>
      <c r="L660" s="144"/>
    </row>
    <row r="661">
      <c r="J661" s="147"/>
      <c r="K661" s="147"/>
      <c r="L661" s="144"/>
    </row>
    <row r="662">
      <c r="J662" s="147"/>
      <c r="K662" s="147"/>
      <c r="L662" s="144"/>
    </row>
    <row r="663">
      <c r="J663" s="147"/>
      <c r="K663" s="147"/>
      <c r="L663" s="144"/>
    </row>
    <row r="664">
      <c r="J664" s="147"/>
      <c r="K664" s="147"/>
      <c r="L664" s="144"/>
    </row>
    <row r="665">
      <c r="J665" s="147"/>
      <c r="K665" s="147"/>
      <c r="L665" s="144"/>
    </row>
    <row r="666">
      <c r="J666" s="147"/>
      <c r="K666" s="147"/>
      <c r="L666" s="144"/>
    </row>
    <row r="667">
      <c r="J667" s="147"/>
      <c r="K667" s="147"/>
      <c r="L667" s="144"/>
    </row>
    <row r="668">
      <c r="J668" s="147"/>
      <c r="K668" s="147"/>
      <c r="L668" s="144"/>
    </row>
    <row r="669">
      <c r="J669" s="147"/>
      <c r="K669" s="147"/>
      <c r="L669" s="144"/>
    </row>
    <row r="670">
      <c r="J670" s="147"/>
      <c r="K670" s="147"/>
      <c r="L670" s="144"/>
    </row>
    <row r="671">
      <c r="J671" s="147"/>
      <c r="K671" s="147"/>
      <c r="L671" s="144"/>
    </row>
    <row r="672">
      <c r="J672" s="147"/>
      <c r="K672" s="147"/>
      <c r="L672" s="144"/>
    </row>
    <row r="673">
      <c r="J673" s="147"/>
      <c r="K673" s="147"/>
      <c r="L673" s="144"/>
    </row>
    <row r="674">
      <c r="J674" s="147"/>
      <c r="K674" s="147"/>
      <c r="L674" s="144"/>
    </row>
    <row r="675">
      <c r="J675" s="147"/>
      <c r="K675" s="147"/>
      <c r="L675" s="144"/>
    </row>
    <row r="676">
      <c r="J676" s="147"/>
      <c r="K676" s="147"/>
      <c r="L676" s="144"/>
    </row>
    <row r="677">
      <c r="J677" s="147"/>
      <c r="K677" s="147"/>
      <c r="L677" s="144"/>
    </row>
    <row r="678">
      <c r="J678" s="147"/>
      <c r="K678" s="147"/>
      <c r="L678" s="144"/>
    </row>
    <row r="679">
      <c r="J679" s="147"/>
      <c r="K679" s="147"/>
      <c r="L679" s="144"/>
    </row>
    <row r="680">
      <c r="J680" s="147"/>
      <c r="K680" s="147"/>
      <c r="L680" s="144"/>
    </row>
    <row r="681">
      <c r="J681" s="147"/>
      <c r="K681" s="147"/>
      <c r="L681" s="144"/>
    </row>
    <row r="682">
      <c r="J682" s="147"/>
      <c r="K682" s="147"/>
      <c r="L682" s="144"/>
    </row>
    <row r="683">
      <c r="J683" s="147"/>
      <c r="K683" s="147"/>
      <c r="L683" s="144"/>
    </row>
    <row r="684">
      <c r="J684" s="147"/>
      <c r="K684" s="147"/>
      <c r="L684" s="144"/>
    </row>
    <row r="685">
      <c r="J685" s="147"/>
      <c r="K685" s="147"/>
      <c r="L685" s="144"/>
    </row>
    <row r="686">
      <c r="J686" s="147"/>
      <c r="K686" s="147"/>
      <c r="L686" s="144"/>
    </row>
    <row r="687">
      <c r="J687" s="147"/>
      <c r="K687" s="147"/>
      <c r="L687" s="144"/>
    </row>
    <row r="688">
      <c r="J688" s="147"/>
      <c r="K688" s="147"/>
      <c r="L688" s="144"/>
    </row>
    <row r="689">
      <c r="J689" s="147"/>
      <c r="K689" s="147"/>
      <c r="L689" s="144"/>
    </row>
    <row r="690">
      <c r="J690" s="147"/>
      <c r="K690" s="147"/>
      <c r="L690" s="144"/>
    </row>
    <row r="691">
      <c r="J691" s="147"/>
      <c r="K691" s="147"/>
      <c r="L691" s="144"/>
    </row>
    <row r="692">
      <c r="J692" s="147"/>
      <c r="K692" s="147"/>
      <c r="L692" s="144"/>
    </row>
    <row r="693">
      <c r="J693" s="147"/>
      <c r="K693" s="147"/>
      <c r="L693" s="144"/>
    </row>
    <row r="694">
      <c r="J694" s="147"/>
      <c r="K694" s="147"/>
      <c r="L694" s="144"/>
    </row>
    <row r="695">
      <c r="J695" s="147"/>
      <c r="K695" s="147"/>
      <c r="L695" s="144"/>
    </row>
    <row r="696">
      <c r="J696" s="147"/>
      <c r="K696" s="147"/>
      <c r="L696" s="144"/>
    </row>
    <row r="697">
      <c r="J697" s="147"/>
      <c r="K697" s="147"/>
      <c r="L697" s="144"/>
    </row>
    <row r="698">
      <c r="J698" s="147"/>
      <c r="K698" s="147"/>
      <c r="L698" s="144"/>
    </row>
    <row r="699">
      <c r="J699" s="147"/>
      <c r="K699" s="147"/>
      <c r="L699" s="144"/>
    </row>
    <row r="700">
      <c r="J700" s="147"/>
      <c r="K700" s="147"/>
      <c r="L700" s="144"/>
    </row>
    <row r="701">
      <c r="J701" s="147"/>
      <c r="K701" s="147"/>
      <c r="L701" s="144"/>
    </row>
    <row r="702">
      <c r="J702" s="147"/>
      <c r="K702" s="147"/>
      <c r="L702" s="144"/>
    </row>
    <row r="703">
      <c r="J703" s="147"/>
      <c r="K703" s="147"/>
      <c r="L703" s="144"/>
    </row>
    <row r="704">
      <c r="J704" s="147"/>
      <c r="K704" s="147"/>
      <c r="L704" s="144"/>
    </row>
    <row r="705">
      <c r="J705" s="147"/>
      <c r="K705" s="147"/>
      <c r="L705" s="144"/>
    </row>
    <row r="706">
      <c r="J706" s="147"/>
      <c r="K706" s="147"/>
      <c r="L706" s="144"/>
    </row>
    <row r="707">
      <c r="J707" s="147"/>
      <c r="K707" s="147"/>
      <c r="L707" s="144"/>
    </row>
    <row r="708">
      <c r="J708" s="147"/>
      <c r="K708" s="147"/>
      <c r="L708" s="144"/>
    </row>
    <row r="709">
      <c r="J709" s="147"/>
      <c r="K709" s="147"/>
      <c r="L709" s="144"/>
    </row>
    <row r="710">
      <c r="J710" s="147"/>
      <c r="K710" s="147"/>
      <c r="L710" s="144"/>
    </row>
    <row r="711">
      <c r="J711" s="147"/>
      <c r="K711" s="147"/>
      <c r="L711" s="144"/>
    </row>
    <row r="712">
      <c r="J712" s="147"/>
      <c r="K712" s="147"/>
      <c r="L712" s="144"/>
    </row>
    <row r="713">
      <c r="J713" s="147"/>
      <c r="K713" s="147"/>
      <c r="L713" s="144"/>
    </row>
    <row r="714">
      <c r="J714" s="147"/>
      <c r="K714" s="147"/>
      <c r="L714" s="144"/>
    </row>
    <row r="715">
      <c r="J715" s="147"/>
      <c r="K715" s="147"/>
      <c r="L715" s="144"/>
    </row>
    <row r="716">
      <c r="J716" s="147"/>
      <c r="K716" s="147"/>
      <c r="L716" s="144"/>
    </row>
    <row r="717">
      <c r="J717" s="147"/>
      <c r="K717" s="147"/>
      <c r="L717" s="144"/>
    </row>
    <row r="718">
      <c r="J718" s="147"/>
      <c r="K718" s="147"/>
      <c r="L718" s="144"/>
    </row>
    <row r="719">
      <c r="J719" s="147"/>
      <c r="K719" s="147"/>
      <c r="L719" s="144"/>
    </row>
    <row r="720">
      <c r="J720" s="147"/>
      <c r="K720" s="147"/>
      <c r="L720" s="144"/>
    </row>
    <row r="721">
      <c r="J721" s="147"/>
      <c r="K721" s="147"/>
      <c r="L721" s="144"/>
    </row>
    <row r="722">
      <c r="J722" s="147"/>
      <c r="K722" s="147"/>
      <c r="L722" s="144"/>
    </row>
    <row r="723">
      <c r="J723" s="147"/>
      <c r="K723" s="147"/>
      <c r="L723" s="144"/>
    </row>
    <row r="724">
      <c r="J724" s="147"/>
      <c r="K724" s="147"/>
      <c r="L724" s="144"/>
    </row>
    <row r="725">
      <c r="J725" s="147"/>
      <c r="K725" s="147"/>
      <c r="L725" s="144"/>
    </row>
    <row r="726">
      <c r="J726" s="147"/>
      <c r="K726" s="147"/>
      <c r="L726" s="144"/>
    </row>
    <row r="727">
      <c r="J727" s="147"/>
      <c r="K727" s="147"/>
      <c r="L727" s="144"/>
    </row>
    <row r="728">
      <c r="J728" s="147"/>
      <c r="K728" s="147"/>
      <c r="L728" s="144"/>
    </row>
    <row r="729">
      <c r="J729" s="147"/>
      <c r="K729" s="147"/>
      <c r="L729" s="144"/>
    </row>
    <row r="730">
      <c r="J730" s="147"/>
      <c r="K730" s="147"/>
      <c r="L730" s="144"/>
    </row>
    <row r="731">
      <c r="J731" s="147"/>
      <c r="K731" s="147"/>
      <c r="L731" s="144"/>
    </row>
    <row r="732">
      <c r="J732" s="147"/>
      <c r="K732" s="147"/>
      <c r="L732" s="144"/>
    </row>
    <row r="733">
      <c r="J733" s="147"/>
      <c r="K733" s="147"/>
      <c r="L733" s="144"/>
    </row>
    <row r="734">
      <c r="J734" s="147"/>
      <c r="K734" s="147"/>
      <c r="L734" s="144"/>
    </row>
    <row r="735">
      <c r="J735" s="147"/>
      <c r="K735" s="147"/>
      <c r="L735" s="144"/>
    </row>
    <row r="736">
      <c r="J736" s="147"/>
      <c r="K736" s="147"/>
      <c r="L736" s="144"/>
    </row>
    <row r="737">
      <c r="J737" s="147"/>
      <c r="K737" s="147"/>
      <c r="L737" s="144"/>
    </row>
    <row r="738">
      <c r="J738" s="147"/>
      <c r="K738" s="147"/>
      <c r="L738" s="144"/>
    </row>
    <row r="739">
      <c r="J739" s="147"/>
      <c r="K739" s="147"/>
      <c r="L739" s="144"/>
    </row>
    <row r="740">
      <c r="J740" s="147"/>
      <c r="K740" s="147"/>
      <c r="L740" s="144"/>
    </row>
    <row r="741">
      <c r="J741" s="147"/>
      <c r="K741" s="147"/>
      <c r="L741" s="144"/>
    </row>
    <row r="742">
      <c r="J742" s="147"/>
      <c r="K742" s="147"/>
      <c r="L742" s="144"/>
    </row>
    <row r="743">
      <c r="J743" s="147"/>
      <c r="K743" s="147"/>
      <c r="L743" s="144"/>
    </row>
    <row r="744">
      <c r="J744" s="147"/>
      <c r="K744" s="147"/>
      <c r="L744" s="144"/>
    </row>
    <row r="745">
      <c r="J745" s="147"/>
      <c r="K745" s="147"/>
      <c r="L745" s="144"/>
    </row>
    <row r="746">
      <c r="J746" s="147"/>
      <c r="K746" s="147"/>
      <c r="L746" s="144"/>
    </row>
    <row r="747">
      <c r="J747" s="147"/>
      <c r="K747" s="147"/>
      <c r="L747" s="144"/>
    </row>
    <row r="748">
      <c r="J748" s="147"/>
      <c r="K748" s="147"/>
      <c r="L748" s="144"/>
    </row>
    <row r="749">
      <c r="J749" s="147"/>
      <c r="K749" s="147"/>
      <c r="L749" s="144"/>
    </row>
    <row r="750">
      <c r="J750" s="147"/>
      <c r="K750" s="147"/>
      <c r="L750" s="144"/>
    </row>
    <row r="751">
      <c r="J751" s="147"/>
      <c r="K751" s="147"/>
      <c r="L751" s="144"/>
    </row>
    <row r="752">
      <c r="J752" s="147"/>
      <c r="K752" s="147"/>
      <c r="L752" s="144"/>
    </row>
    <row r="753">
      <c r="J753" s="147"/>
      <c r="K753" s="147"/>
      <c r="L753" s="144"/>
    </row>
    <row r="754">
      <c r="J754" s="147"/>
      <c r="K754" s="147"/>
      <c r="L754" s="144"/>
    </row>
    <row r="755">
      <c r="J755" s="147"/>
      <c r="K755" s="147"/>
      <c r="L755" s="144"/>
    </row>
    <row r="756">
      <c r="J756" s="147"/>
      <c r="K756" s="147"/>
      <c r="L756" s="144"/>
    </row>
    <row r="757">
      <c r="J757" s="147"/>
      <c r="K757" s="147"/>
      <c r="L757" s="144"/>
    </row>
    <row r="758">
      <c r="J758" s="147"/>
      <c r="K758" s="147"/>
      <c r="L758" s="144"/>
    </row>
    <row r="759">
      <c r="J759" s="147"/>
      <c r="K759" s="147"/>
      <c r="L759" s="144"/>
    </row>
    <row r="760">
      <c r="J760" s="147"/>
      <c r="K760" s="147"/>
      <c r="L760" s="144"/>
    </row>
    <row r="761">
      <c r="J761" s="147"/>
      <c r="K761" s="147"/>
      <c r="L761" s="144"/>
    </row>
    <row r="762">
      <c r="J762" s="147"/>
      <c r="K762" s="147"/>
      <c r="L762" s="144"/>
    </row>
    <row r="763">
      <c r="J763" s="147"/>
      <c r="K763" s="147"/>
      <c r="L763" s="144"/>
    </row>
    <row r="764">
      <c r="J764" s="147"/>
      <c r="K764" s="147"/>
      <c r="L764" s="144"/>
    </row>
    <row r="765">
      <c r="J765" s="147"/>
      <c r="K765" s="147"/>
      <c r="L765" s="144"/>
    </row>
    <row r="766">
      <c r="J766" s="147"/>
      <c r="K766" s="147"/>
      <c r="L766" s="144"/>
    </row>
    <row r="767">
      <c r="J767" s="147"/>
      <c r="K767" s="147"/>
      <c r="L767" s="144"/>
    </row>
    <row r="768">
      <c r="J768" s="147"/>
      <c r="K768" s="147"/>
      <c r="L768" s="144"/>
    </row>
    <row r="769">
      <c r="J769" s="147"/>
      <c r="K769" s="147"/>
      <c r="L769" s="144"/>
    </row>
    <row r="770">
      <c r="J770" s="147"/>
      <c r="K770" s="147"/>
      <c r="L770" s="144"/>
    </row>
    <row r="771">
      <c r="J771" s="147"/>
      <c r="K771" s="147"/>
      <c r="L771" s="144"/>
    </row>
    <row r="772">
      <c r="J772" s="147"/>
      <c r="K772" s="147"/>
      <c r="L772" s="144"/>
    </row>
    <row r="773">
      <c r="J773" s="147"/>
      <c r="K773" s="147"/>
      <c r="L773" s="144"/>
    </row>
    <row r="774">
      <c r="J774" s="147"/>
      <c r="K774" s="147"/>
      <c r="L774" s="144"/>
    </row>
    <row r="775">
      <c r="J775" s="147"/>
      <c r="K775" s="147"/>
      <c r="L775" s="144"/>
    </row>
    <row r="776">
      <c r="J776" s="147"/>
      <c r="K776" s="147"/>
      <c r="L776" s="144"/>
    </row>
    <row r="777">
      <c r="J777" s="147"/>
      <c r="K777" s="147"/>
      <c r="L777" s="144"/>
    </row>
    <row r="778">
      <c r="J778" s="147"/>
      <c r="K778" s="147"/>
      <c r="L778" s="144"/>
    </row>
    <row r="779">
      <c r="J779" s="147"/>
      <c r="K779" s="147"/>
      <c r="L779" s="144"/>
    </row>
    <row r="780">
      <c r="J780" s="147"/>
      <c r="K780" s="147"/>
      <c r="L780" s="144"/>
    </row>
    <row r="781">
      <c r="J781" s="147"/>
      <c r="K781" s="147"/>
      <c r="L781" s="144"/>
    </row>
    <row r="782">
      <c r="J782" s="147"/>
      <c r="K782" s="147"/>
      <c r="L782" s="144"/>
    </row>
    <row r="783">
      <c r="J783" s="147"/>
      <c r="K783" s="147"/>
      <c r="L783" s="144"/>
    </row>
    <row r="784">
      <c r="J784" s="147"/>
      <c r="K784" s="147"/>
      <c r="L784" s="144"/>
    </row>
    <row r="785">
      <c r="J785" s="147"/>
      <c r="K785" s="147"/>
      <c r="L785" s="144"/>
    </row>
    <row r="786">
      <c r="J786" s="147"/>
      <c r="K786" s="147"/>
      <c r="L786" s="144"/>
    </row>
    <row r="787">
      <c r="J787" s="147"/>
      <c r="K787" s="147"/>
      <c r="L787" s="144"/>
    </row>
    <row r="788">
      <c r="J788" s="147"/>
      <c r="K788" s="147"/>
      <c r="L788" s="144"/>
    </row>
    <row r="789">
      <c r="J789" s="147"/>
      <c r="K789" s="147"/>
      <c r="L789" s="144"/>
    </row>
    <row r="790">
      <c r="J790" s="147"/>
      <c r="K790" s="147"/>
      <c r="L790" s="144"/>
    </row>
    <row r="791">
      <c r="J791" s="147"/>
      <c r="K791" s="147"/>
      <c r="L791" s="144"/>
    </row>
    <row r="792">
      <c r="J792" s="147"/>
      <c r="K792" s="147"/>
      <c r="L792" s="144"/>
    </row>
    <row r="793">
      <c r="J793" s="147"/>
      <c r="K793" s="147"/>
      <c r="L793" s="144"/>
    </row>
    <row r="794">
      <c r="J794" s="147"/>
      <c r="K794" s="147"/>
      <c r="L794" s="144"/>
    </row>
    <row r="795">
      <c r="J795" s="147"/>
      <c r="K795" s="147"/>
      <c r="L795" s="144"/>
    </row>
    <row r="796">
      <c r="J796" s="147"/>
      <c r="K796" s="147"/>
      <c r="L796" s="144"/>
    </row>
    <row r="797">
      <c r="J797" s="147"/>
      <c r="K797" s="147"/>
      <c r="L797" s="144"/>
    </row>
    <row r="798">
      <c r="J798" s="147"/>
      <c r="K798" s="147"/>
      <c r="L798" s="144"/>
    </row>
    <row r="799">
      <c r="J799" s="147"/>
      <c r="K799" s="147"/>
      <c r="L799" s="144"/>
    </row>
    <row r="800">
      <c r="J800" s="147"/>
      <c r="K800" s="147"/>
      <c r="L800" s="144"/>
    </row>
    <row r="801">
      <c r="J801" s="147"/>
      <c r="K801" s="147"/>
      <c r="L801" s="144"/>
    </row>
    <row r="802">
      <c r="J802" s="147"/>
      <c r="K802" s="147"/>
      <c r="L802" s="144"/>
    </row>
    <row r="803">
      <c r="J803" s="147"/>
      <c r="K803" s="147"/>
      <c r="L803" s="144"/>
    </row>
    <row r="804">
      <c r="J804" s="147"/>
      <c r="K804" s="147"/>
      <c r="L804" s="144"/>
    </row>
    <row r="805">
      <c r="J805" s="147"/>
      <c r="K805" s="147"/>
      <c r="L805" s="144"/>
    </row>
    <row r="806">
      <c r="J806" s="147"/>
      <c r="K806" s="147"/>
      <c r="L806" s="144"/>
    </row>
    <row r="807">
      <c r="J807" s="147"/>
      <c r="K807" s="147"/>
      <c r="L807" s="144"/>
    </row>
    <row r="808">
      <c r="J808" s="147"/>
      <c r="K808" s="147"/>
      <c r="L808" s="144"/>
    </row>
    <row r="809">
      <c r="J809" s="147"/>
      <c r="K809" s="147"/>
      <c r="L809" s="144"/>
    </row>
    <row r="810">
      <c r="J810" s="147"/>
      <c r="K810" s="147"/>
      <c r="L810" s="144"/>
    </row>
    <row r="811">
      <c r="J811" s="147"/>
      <c r="K811" s="147"/>
      <c r="L811" s="144"/>
    </row>
    <row r="812">
      <c r="J812" s="147"/>
      <c r="K812" s="147"/>
      <c r="L812" s="144"/>
    </row>
    <row r="813">
      <c r="J813" s="147"/>
      <c r="K813" s="147"/>
      <c r="L813" s="144"/>
    </row>
    <row r="814">
      <c r="J814" s="147"/>
      <c r="K814" s="147"/>
      <c r="L814" s="144"/>
    </row>
    <row r="815">
      <c r="J815" s="147"/>
      <c r="K815" s="147"/>
      <c r="L815" s="144"/>
    </row>
    <row r="816">
      <c r="J816" s="147"/>
      <c r="K816" s="147"/>
      <c r="L816" s="144"/>
    </row>
    <row r="817">
      <c r="J817" s="147"/>
      <c r="K817" s="147"/>
      <c r="L817" s="144"/>
    </row>
    <row r="818">
      <c r="J818" s="147"/>
      <c r="K818" s="147"/>
      <c r="L818" s="144"/>
    </row>
    <row r="819">
      <c r="J819" s="147"/>
      <c r="K819" s="147"/>
      <c r="L819" s="144"/>
    </row>
    <row r="820">
      <c r="J820" s="147"/>
      <c r="K820" s="147"/>
      <c r="L820" s="144"/>
    </row>
    <row r="821">
      <c r="J821" s="147"/>
      <c r="K821" s="147"/>
      <c r="L821" s="144"/>
    </row>
    <row r="822">
      <c r="J822" s="147"/>
      <c r="K822" s="147"/>
      <c r="L822" s="144"/>
    </row>
    <row r="823">
      <c r="J823" s="147"/>
      <c r="K823" s="147"/>
      <c r="L823" s="144"/>
    </row>
    <row r="824">
      <c r="J824" s="147"/>
      <c r="K824" s="147"/>
      <c r="L824" s="144"/>
    </row>
    <row r="825">
      <c r="J825" s="147"/>
      <c r="K825" s="147"/>
      <c r="L825" s="144"/>
    </row>
    <row r="826">
      <c r="J826" s="147"/>
      <c r="K826" s="147"/>
      <c r="L826" s="144"/>
    </row>
    <row r="827">
      <c r="J827" s="147"/>
      <c r="K827" s="147"/>
      <c r="L827" s="144"/>
    </row>
    <row r="828">
      <c r="J828" s="147"/>
      <c r="K828" s="147"/>
      <c r="L828" s="144"/>
    </row>
    <row r="829">
      <c r="J829" s="147"/>
      <c r="K829" s="147"/>
      <c r="L829" s="144"/>
    </row>
    <row r="830">
      <c r="J830" s="147"/>
      <c r="K830" s="147"/>
      <c r="L830" s="144"/>
    </row>
    <row r="831">
      <c r="J831" s="147"/>
      <c r="K831" s="147"/>
      <c r="L831" s="144"/>
    </row>
    <row r="832">
      <c r="J832" s="147"/>
      <c r="K832" s="147"/>
      <c r="L832" s="144"/>
    </row>
    <row r="833">
      <c r="J833" s="147"/>
      <c r="K833" s="147"/>
      <c r="L833" s="144"/>
    </row>
    <row r="834">
      <c r="J834" s="147"/>
      <c r="K834" s="147"/>
      <c r="L834" s="144"/>
    </row>
    <row r="835">
      <c r="J835" s="147"/>
      <c r="K835" s="147"/>
      <c r="L835" s="144"/>
    </row>
    <row r="836">
      <c r="J836" s="147"/>
      <c r="K836" s="147"/>
      <c r="L836" s="144"/>
    </row>
    <row r="837">
      <c r="J837" s="147"/>
      <c r="K837" s="147"/>
      <c r="L837" s="144"/>
    </row>
    <row r="838">
      <c r="J838" s="147"/>
      <c r="K838" s="147"/>
      <c r="L838" s="144"/>
    </row>
    <row r="839">
      <c r="J839" s="147"/>
      <c r="K839" s="147"/>
      <c r="L839" s="144"/>
    </row>
    <row r="840">
      <c r="J840" s="147"/>
      <c r="K840" s="147"/>
      <c r="L840" s="144"/>
    </row>
    <row r="841">
      <c r="J841" s="147"/>
      <c r="K841" s="147"/>
      <c r="L841" s="144"/>
    </row>
    <row r="842">
      <c r="J842" s="147"/>
      <c r="K842" s="147"/>
      <c r="L842" s="144"/>
    </row>
    <row r="843">
      <c r="J843" s="147"/>
      <c r="K843" s="147"/>
      <c r="L843" s="144"/>
    </row>
    <row r="844">
      <c r="J844" s="147"/>
      <c r="K844" s="147"/>
      <c r="L844" s="144"/>
    </row>
    <row r="845">
      <c r="J845" s="147"/>
      <c r="K845" s="147"/>
      <c r="L845" s="144"/>
    </row>
    <row r="846">
      <c r="J846" s="147"/>
      <c r="K846" s="147"/>
      <c r="L846" s="144"/>
    </row>
    <row r="847">
      <c r="J847" s="147"/>
      <c r="K847" s="147"/>
      <c r="L847" s="144"/>
    </row>
    <row r="848">
      <c r="J848" s="147"/>
      <c r="K848" s="147"/>
      <c r="L848" s="144"/>
    </row>
    <row r="849">
      <c r="J849" s="147"/>
      <c r="K849" s="147"/>
      <c r="L849" s="144"/>
    </row>
    <row r="850">
      <c r="J850" s="147"/>
      <c r="K850" s="147"/>
      <c r="L850" s="144"/>
    </row>
    <row r="851">
      <c r="J851" s="147"/>
      <c r="K851" s="147"/>
      <c r="L851" s="144"/>
    </row>
    <row r="852">
      <c r="J852" s="147"/>
      <c r="K852" s="147"/>
      <c r="L852" s="144"/>
    </row>
    <row r="853">
      <c r="J853" s="147"/>
      <c r="K853" s="147"/>
      <c r="L853" s="144"/>
    </row>
    <row r="854">
      <c r="J854" s="147"/>
      <c r="K854" s="147"/>
      <c r="L854" s="144"/>
    </row>
    <row r="855">
      <c r="J855" s="147"/>
      <c r="K855" s="147"/>
      <c r="L855" s="144"/>
    </row>
    <row r="856">
      <c r="J856" s="147"/>
      <c r="K856" s="147"/>
      <c r="L856" s="144"/>
    </row>
    <row r="857">
      <c r="J857" s="147"/>
      <c r="K857" s="147"/>
      <c r="L857" s="144"/>
    </row>
    <row r="858">
      <c r="J858" s="147"/>
      <c r="K858" s="147"/>
      <c r="L858" s="144"/>
    </row>
    <row r="859">
      <c r="J859" s="147"/>
      <c r="K859" s="147"/>
      <c r="L859" s="144"/>
    </row>
    <row r="860">
      <c r="J860" s="147"/>
      <c r="K860" s="147"/>
      <c r="L860" s="144"/>
    </row>
    <row r="861">
      <c r="J861" s="147"/>
      <c r="K861" s="147"/>
      <c r="L861" s="144"/>
    </row>
    <row r="862">
      <c r="J862" s="147"/>
      <c r="K862" s="147"/>
      <c r="L862" s="144"/>
    </row>
    <row r="863">
      <c r="J863" s="147"/>
      <c r="K863" s="147"/>
      <c r="L863" s="144"/>
    </row>
    <row r="864">
      <c r="J864" s="147"/>
      <c r="K864" s="147"/>
      <c r="L864" s="144"/>
    </row>
    <row r="865">
      <c r="J865" s="147"/>
      <c r="K865" s="147"/>
      <c r="L865" s="144"/>
    </row>
    <row r="866">
      <c r="J866" s="147"/>
      <c r="K866" s="147"/>
      <c r="L866" s="144"/>
    </row>
    <row r="867">
      <c r="J867" s="147"/>
      <c r="K867" s="147"/>
      <c r="L867" s="144"/>
    </row>
    <row r="868">
      <c r="J868" s="147"/>
      <c r="K868" s="147"/>
      <c r="L868" s="144"/>
    </row>
    <row r="869">
      <c r="J869" s="147"/>
      <c r="K869" s="147"/>
      <c r="L869" s="144"/>
    </row>
    <row r="870">
      <c r="J870" s="147"/>
      <c r="K870" s="147"/>
      <c r="L870" s="144"/>
    </row>
    <row r="871">
      <c r="J871" s="147"/>
      <c r="K871" s="147"/>
      <c r="L871" s="144"/>
    </row>
    <row r="872">
      <c r="J872" s="147"/>
      <c r="K872" s="147"/>
      <c r="L872" s="144"/>
    </row>
    <row r="873">
      <c r="J873" s="147"/>
      <c r="K873" s="147"/>
      <c r="L873" s="144"/>
    </row>
    <row r="874">
      <c r="J874" s="147"/>
      <c r="K874" s="147"/>
      <c r="L874" s="144"/>
    </row>
    <row r="875">
      <c r="J875" s="147"/>
      <c r="K875" s="147"/>
      <c r="L875" s="144"/>
    </row>
    <row r="876">
      <c r="J876" s="147"/>
      <c r="K876" s="147"/>
      <c r="L876" s="144"/>
    </row>
    <row r="877">
      <c r="J877" s="147"/>
      <c r="K877" s="147"/>
      <c r="L877" s="144"/>
    </row>
    <row r="878">
      <c r="J878" s="147"/>
      <c r="K878" s="147"/>
      <c r="L878" s="144"/>
    </row>
    <row r="879">
      <c r="J879" s="147"/>
      <c r="K879" s="147"/>
      <c r="L879" s="144"/>
    </row>
    <row r="880">
      <c r="J880" s="147"/>
      <c r="K880" s="147"/>
      <c r="L880" s="144"/>
    </row>
    <row r="881">
      <c r="J881" s="147"/>
      <c r="K881" s="147"/>
      <c r="L881" s="144"/>
    </row>
    <row r="882">
      <c r="J882" s="147"/>
      <c r="K882" s="147"/>
      <c r="L882" s="144"/>
    </row>
    <row r="883">
      <c r="J883" s="147"/>
      <c r="K883" s="147"/>
      <c r="L883" s="144"/>
    </row>
    <row r="884">
      <c r="J884" s="147"/>
      <c r="K884" s="147"/>
      <c r="L884" s="144"/>
    </row>
    <row r="885">
      <c r="J885" s="147"/>
      <c r="K885" s="147"/>
      <c r="L885" s="144"/>
    </row>
    <row r="886">
      <c r="J886" s="147"/>
      <c r="K886" s="147"/>
      <c r="L886" s="144"/>
    </row>
    <row r="887">
      <c r="J887" s="147"/>
      <c r="K887" s="147"/>
      <c r="L887" s="144"/>
    </row>
    <row r="888">
      <c r="J888" s="147"/>
      <c r="K888" s="147"/>
      <c r="L888" s="144"/>
    </row>
    <row r="889">
      <c r="J889" s="147"/>
      <c r="K889" s="147"/>
      <c r="L889" s="144"/>
    </row>
    <row r="890">
      <c r="J890" s="147"/>
      <c r="K890" s="147"/>
      <c r="L890" s="144"/>
    </row>
    <row r="891">
      <c r="J891" s="147"/>
      <c r="K891" s="147"/>
      <c r="L891" s="144"/>
    </row>
    <row r="892">
      <c r="J892" s="147"/>
      <c r="K892" s="147"/>
      <c r="L892" s="144"/>
    </row>
    <row r="893">
      <c r="J893" s="147"/>
      <c r="K893" s="147"/>
      <c r="L893" s="144"/>
    </row>
    <row r="894">
      <c r="J894" s="147"/>
      <c r="K894" s="147"/>
      <c r="L894" s="144"/>
    </row>
    <row r="895">
      <c r="J895" s="147"/>
      <c r="K895" s="147"/>
      <c r="L895" s="144"/>
    </row>
    <row r="896">
      <c r="J896" s="147"/>
      <c r="K896" s="147"/>
      <c r="L896" s="144"/>
    </row>
    <row r="897">
      <c r="J897" s="147"/>
      <c r="K897" s="147"/>
      <c r="L897" s="144"/>
    </row>
    <row r="898">
      <c r="J898" s="147"/>
      <c r="K898" s="147"/>
      <c r="L898" s="144"/>
    </row>
    <row r="899">
      <c r="J899" s="147"/>
      <c r="K899" s="147"/>
      <c r="L899" s="144"/>
    </row>
    <row r="900">
      <c r="J900" s="147"/>
      <c r="K900" s="147"/>
      <c r="L900" s="144"/>
    </row>
    <row r="901">
      <c r="J901" s="147"/>
      <c r="K901" s="147"/>
      <c r="L901" s="144"/>
    </row>
    <row r="902">
      <c r="J902" s="147"/>
      <c r="K902" s="147"/>
      <c r="L902" s="144"/>
    </row>
    <row r="903">
      <c r="J903" s="147"/>
      <c r="K903" s="147"/>
      <c r="L903" s="144"/>
    </row>
    <row r="904">
      <c r="J904" s="147"/>
      <c r="K904" s="147"/>
      <c r="L904" s="144"/>
    </row>
    <row r="905">
      <c r="J905" s="147"/>
      <c r="K905" s="147"/>
      <c r="L905" s="144"/>
    </row>
    <row r="906">
      <c r="J906" s="147"/>
      <c r="K906" s="147"/>
      <c r="L906" s="144"/>
    </row>
    <row r="907">
      <c r="J907" s="147"/>
      <c r="K907" s="147"/>
      <c r="L907" s="144"/>
    </row>
    <row r="908">
      <c r="J908" s="147"/>
      <c r="K908" s="147"/>
      <c r="L908" s="144"/>
    </row>
    <row r="909">
      <c r="J909" s="147"/>
      <c r="K909" s="147"/>
      <c r="L909" s="144"/>
    </row>
    <row r="910">
      <c r="J910" s="147"/>
      <c r="K910" s="147"/>
      <c r="L910" s="144"/>
    </row>
    <row r="911">
      <c r="J911" s="147"/>
      <c r="K911" s="147"/>
      <c r="L911" s="144"/>
    </row>
    <row r="912">
      <c r="J912" s="147"/>
      <c r="K912" s="147"/>
      <c r="L912" s="144"/>
    </row>
    <row r="913">
      <c r="J913" s="147"/>
      <c r="K913" s="147"/>
      <c r="L913" s="144"/>
    </row>
    <row r="914">
      <c r="J914" s="147"/>
      <c r="K914" s="147"/>
      <c r="L914" s="144"/>
    </row>
    <row r="915">
      <c r="J915" s="147"/>
      <c r="K915" s="147"/>
      <c r="L915" s="144"/>
    </row>
    <row r="916">
      <c r="J916" s="147"/>
      <c r="K916" s="147"/>
      <c r="L916" s="144"/>
    </row>
    <row r="917">
      <c r="J917" s="147"/>
      <c r="K917" s="147"/>
      <c r="L917" s="144"/>
    </row>
    <row r="918">
      <c r="J918" s="147"/>
      <c r="K918" s="147"/>
      <c r="L918" s="144"/>
    </row>
    <row r="919">
      <c r="J919" s="147"/>
      <c r="K919" s="147"/>
      <c r="L919" s="144"/>
    </row>
    <row r="920">
      <c r="J920" s="147"/>
      <c r="K920" s="147"/>
      <c r="L920" s="144"/>
    </row>
    <row r="921">
      <c r="J921" s="147"/>
      <c r="K921" s="147"/>
      <c r="L921" s="144"/>
    </row>
    <row r="922">
      <c r="J922" s="147"/>
      <c r="K922" s="147"/>
      <c r="L922" s="144"/>
    </row>
    <row r="923">
      <c r="J923" s="147"/>
      <c r="K923" s="147"/>
      <c r="L923" s="144"/>
    </row>
    <row r="924">
      <c r="J924" s="147"/>
      <c r="K924" s="147"/>
      <c r="L924" s="144"/>
    </row>
    <row r="925">
      <c r="J925" s="147"/>
      <c r="K925" s="147"/>
      <c r="L925" s="144"/>
    </row>
    <row r="926">
      <c r="J926" s="147"/>
      <c r="K926" s="147"/>
      <c r="L926" s="144"/>
    </row>
    <row r="927">
      <c r="J927" s="147"/>
      <c r="K927" s="147"/>
      <c r="L927" s="144"/>
    </row>
    <row r="928">
      <c r="J928" s="147"/>
      <c r="K928" s="147"/>
      <c r="L928" s="144"/>
    </row>
    <row r="929">
      <c r="J929" s="147"/>
      <c r="K929" s="147"/>
      <c r="L929" s="144"/>
    </row>
    <row r="930">
      <c r="J930" s="147"/>
      <c r="K930" s="147"/>
      <c r="L930" s="144"/>
    </row>
    <row r="931">
      <c r="J931" s="147"/>
      <c r="K931" s="147"/>
      <c r="L931" s="144"/>
    </row>
    <row r="932">
      <c r="J932" s="147"/>
      <c r="K932" s="147"/>
      <c r="L932" s="144"/>
    </row>
    <row r="933">
      <c r="J933" s="147"/>
      <c r="K933" s="147"/>
      <c r="L933" s="144"/>
    </row>
    <row r="934">
      <c r="J934" s="147"/>
      <c r="K934" s="147"/>
      <c r="L934" s="144"/>
    </row>
    <row r="935">
      <c r="J935" s="147"/>
      <c r="K935" s="147"/>
      <c r="L935" s="144"/>
    </row>
    <row r="936">
      <c r="J936" s="147"/>
      <c r="K936" s="147"/>
      <c r="L936" s="144"/>
    </row>
    <row r="937">
      <c r="J937" s="147"/>
      <c r="K937" s="147"/>
      <c r="L937" s="144"/>
    </row>
    <row r="938">
      <c r="J938" s="147"/>
      <c r="K938" s="147"/>
      <c r="L938" s="144"/>
    </row>
    <row r="939">
      <c r="J939" s="147"/>
      <c r="K939" s="147"/>
      <c r="L939" s="144"/>
    </row>
    <row r="940">
      <c r="J940" s="147"/>
      <c r="K940" s="147"/>
      <c r="L940" s="144"/>
    </row>
    <row r="941">
      <c r="J941" s="147"/>
      <c r="K941" s="147"/>
      <c r="L941" s="144"/>
    </row>
    <row r="942">
      <c r="J942" s="147"/>
      <c r="K942" s="147"/>
      <c r="L942" s="144"/>
    </row>
    <row r="943">
      <c r="J943" s="147"/>
      <c r="K943" s="147"/>
      <c r="L943" s="144"/>
    </row>
    <row r="944">
      <c r="J944" s="147"/>
      <c r="K944" s="147"/>
      <c r="L944" s="144"/>
    </row>
    <row r="945">
      <c r="J945" s="147"/>
      <c r="K945" s="147"/>
      <c r="L945" s="144"/>
    </row>
    <row r="946">
      <c r="J946" s="147"/>
      <c r="K946" s="147"/>
      <c r="L946" s="144"/>
    </row>
    <row r="947">
      <c r="J947" s="147"/>
      <c r="K947" s="147"/>
      <c r="L947" s="144"/>
    </row>
    <row r="948">
      <c r="J948" s="147"/>
      <c r="K948" s="147"/>
      <c r="L948" s="144"/>
    </row>
    <row r="949">
      <c r="J949" s="147"/>
      <c r="K949" s="147"/>
      <c r="L949" s="144"/>
    </row>
    <row r="950">
      <c r="J950" s="147"/>
      <c r="K950" s="147"/>
      <c r="L950" s="144"/>
    </row>
    <row r="951">
      <c r="J951" s="147"/>
      <c r="K951" s="147"/>
      <c r="L951" s="144"/>
    </row>
    <row r="952">
      <c r="J952" s="147"/>
      <c r="K952" s="147"/>
      <c r="L952" s="144"/>
    </row>
    <row r="953">
      <c r="J953" s="147"/>
      <c r="K953" s="147"/>
      <c r="L953" s="144"/>
    </row>
    <row r="954">
      <c r="J954" s="147"/>
      <c r="K954" s="147"/>
      <c r="L954" s="144"/>
    </row>
    <row r="955">
      <c r="J955" s="147"/>
      <c r="K955" s="147"/>
      <c r="L955" s="144"/>
    </row>
    <row r="956">
      <c r="J956" s="147"/>
      <c r="K956" s="147"/>
      <c r="L956" s="144"/>
    </row>
    <row r="957">
      <c r="J957" s="147"/>
      <c r="K957" s="147"/>
      <c r="L957" s="144"/>
    </row>
    <row r="958">
      <c r="J958" s="147"/>
      <c r="K958" s="147"/>
      <c r="L958" s="144"/>
    </row>
    <row r="959">
      <c r="J959" s="147"/>
      <c r="K959" s="147"/>
      <c r="L959" s="144"/>
    </row>
    <row r="960">
      <c r="J960" s="147"/>
      <c r="K960" s="147"/>
      <c r="L960" s="144"/>
    </row>
    <row r="961">
      <c r="J961" s="147"/>
      <c r="K961" s="147"/>
      <c r="L961" s="144"/>
    </row>
    <row r="962">
      <c r="J962" s="147"/>
      <c r="K962" s="147"/>
      <c r="L962" s="144"/>
    </row>
    <row r="963">
      <c r="J963" s="147"/>
      <c r="K963" s="147"/>
      <c r="L963" s="144"/>
    </row>
    <row r="964">
      <c r="J964" s="147"/>
      <c r="K964" s="147"/>
      <c r="L964" s="144"/>
    </row>
    <row r="965">
      <c r="J965" s="147"/>
      <c r="K965" s="147"/>
      <c r="L965" s="144"/>
    </row>
    <row r="966">
      <c r="J966" s="147"/>
      <c r="K966" s="147"/>
      <c r="L966" s="144"/>
    </row>
    <row r="967">
      <c r="J967" s="147"/>
      <c r="K967" s="147"/>
      <c r="L967" s="144"/>
    </row>
    <row r="968">
      <c r="J968" s="147"/>
      <c r="K968" s="147"/>
      <c r="L968" s="144"/>
    </row>
    <row r="969">
      <c r="J969" s="147"/>
      <c r="K969" s="147"/>
      <c r="L969" s="144"/>
    </row>
    <row r="970">
      <c r="J970" s="147"/>
      <c r="K970" s="147"/>
      <c r="L970" s="144"/>
    </row>
    <row r="971">
      <c r="J971" s="147"/>
      <c r="K971" s="147"/>
      <c r="L971" s="144"/>
    </row>
    <row r="972">
      <c r="J972" s="147"/>
      <c r="K972" s="147"/>
      <c r="L972" s="144"/>
    </row>
    <row r="973">
      <c r="J973" s="147"/>
      <c r="K973" s="147"/>
      <c r="L973" s="144"/>
    </row>
    <row r="974">
      <c r="J974" s="147"/>
      <c r="K974" s="147"/>
      <c r="L974" s="144"/>
    </row>
    <row r="975">
      <c r="J975" s="147"/>
      <c r="K975" s="147"/>
      <c r="L975" s="144"/>
    </row>
    <row r="976">
      <c r="J976" s="147"/>
      <c r="K976" s="147"/>
      <c r="L976" s="144"/>
    </row>
    <row r="977">
      <c r="J977" s="147"/>
      <c r="K977" s="147"/>
      <c r="L977" s="144"/>
    </row>
    <row r="978">
      <c r="J978" s="147"/>
      <c r="K978" s="147"/>
      <c r="L978" s="144"/>
    </row>
    <row r="979">
      <c r="J979" s="147"/>
      <c r="K979" s="147"/>
      <c r="L979" s="144"/>
    </row>
    <row r="980">
      <c r="J980" s="147"/>
      <c r="K980" s="147"/>
      <c r="L980" s="144"/>
    </row>
    <row r="981">
      <c r="J981" s="147"/>
      <c r="K981" s="147"/>
      <c r="L981" s="144"/>
    </row>
    <row r="982">
      <c r="J982" s="147"/>
      <c r="K982" s="147"/>
      <c r="L982" s="144"/>
    </row>
    <row r="983">
      <c r="J983" s="147"/>
      <c r="K983" s="147"/>
      <c r="L983" s="144"/>
    </row>
    <row r="984">
      <c r="J984" s="147"/>
      <c r="K984" s="147"/>
      <c r="L984" s="144"/>
    </row>
    <row r="985">
      <c r="J985" s="147"/>
      <c r="K985" s="147"/>
      <c r="L985" s="144"/>
    </row>
    <row r="986">
      <c r="J986" s="147"/>
      <c r="K986" s="147"/>
      <c r="L986" s="144"/>
    </row>
    <row r="987">
      <c r="J987" s="147"/>
      <c r="K987" s="147"/>
      <c r="L987" s="144"/>
    </row>
    <row r="988">
      <c r="J988" s="147"/>
      <c r="K988" s="147"/>
      <c r="L988" s="144"/>
    </row>
    <row r="989">
      <c r="J989" s="147"/>
      <c r="K989" s="147"/>
      <c r="L989" s="144"/>
    </row>
    <row r="990">
      <c r="J990" s="147"/>
      <c r="K990" s="147"/>
      <c r="L990" s="144"/>
    </row>
    <row r="991">
      <c r="J991" s="147"/>
      <c r="K991" s="147"/>
      <c r="L991" s="144"/>
    </row>
    <row r="992">
      <c r="J992" s="147"/>
      <c r="K992" s="147"/>
      <c r="L992" s="144"/>
    </row>
    <row r="993">
      <c r="J993" s="147"/>
      <c r="K993" s="147"/>
      <c r="L993" s="144"/>
    </row>
    <row r="994">
      <c r="J994" s="147"/>
      <c r="K994" s="147"/>
      <c r="L994" s="144"/>
    </row>
    <row r="995">
      <c r="J995" s="147"/>
      <c r="K995" s="147"/>
      <c r="L995" s="144"/>
    </row>
    <row r="996">
      <c r="J996" s="147"/>
      <c r="K996" s="147"/>
      <c r="L996" s="144"/>
    </row>
    <row r="997">
      <c r="J997" s="147"/>
      <c r="K997" s="147"/>
      <c r="L997" s="144"/>
    </row>
    <row r="998">
      <c r="J998" s="147"/>
      <c r="K998" s="147"/>
      <c r="L998" s="144"/>
    </row>
    <row r="999">
      <c r="J999" s="147"/>
      <c r="K999" s="147"/>
      <c r="L999" s="144"/>
    </row>
    <row r="1000">
      <c r="J1000" s="147"/>
      <c r="K1000" s="147"/>
      <c r="L1000" s="144"/>
    </row>
    <row r="1001">
      <c r="J1001" s="147"/>
      <c r="K1001" s="147"/>
      <c r="L1001" s="144"/>
    </row>
    <row r="1002">
      <c r="J1002" s="147"/>
      <c r="K1002" s="147"/>
      <c r="L1002" s="144"/>
    </row>
    <row r="1003">
      <c r="J1003" s="147"/>
      <c r="K1003" s="147"/>
      <c r="L1003" s="144"/>
    </row>
    <row r="1004">
      <c r="J1004" s="147"/>
      <c r="K1004" s="147"/>
      <c r="L1004" s="144"/>
    </row>
    <row r="1005">
      <c r="J1005" s="147"/>
      <c r="K1005" s="147"/>
      <c r="L1005" s="144"/>
    </row>
    <row r="1006">
      <c r="J1006" s="147"/>
      <c r="K1006" s="147"/>
      <c r="L1006" s="144"/>
    </row>
    <row r="1007">
      <c r="J1007" s="147"/>
      <c r="K1007" s="147"/>
      <c r="L1007" s="144"/>
    </row>
    <row r="1008">
      <c r="J1008" s="147"/>
      <c r="K1008" s="147"/>
      <c r="L1008" s="144"/>
    </row>
    <row r="1009">
      <c r="J1009" s="147"/>
      <c r="K1009" s="147"/>
      <c r="L1009" s="144"/>
    </row>
    <row r="1010">
      <c r="J1010" s="147"/>
      <c r="K1010" s="147"/>
      <c r="L1010" s="144"/>
    </row>
    <row r="1011">
      <c r="J1011" s="147"/>
      <c r="K1011" s="147"/>
      <c r="L1011" s="144"/>
    </row>
    <row r="1012">
      <c r="J1012" s="147"/>
      <c r="K1012" s="147"/>
      <c r="L1012" s="144"/>
    </row>
    <row r="1013">
      <c r="J1013" s="147"/>
      <c r="K1013" s="147"/>
      <c r="L1013" s="144"/>
    </row>
    <row r="1014">
      <c r="J1014" s="147"/>
      <c r="K1014" s="147"/>
      <c r="L1014" s="144"/>
    </row>
    <row r="1015">
      <c r="J1015" s="147"/>
      <c r="K1015" s="147"/>
      <c r="L1015" s="144"/>
    </row>
    <row r="1016">
      <c r="J1016" s="147"/>
      <c r="K1016" s="147"/>
      <c r="L1016" s="144"/>
    </row>
    <row r="1017">
      <c r="J1017" s="147"/>
      <c r="K1017" s="147"/>
      <c r="L1017" s="144"/>
    </row>
    <row r="1018">
      <c r="J1018" s="147"/>
      <c r="K1018" s="147"/>
      <c r="L1018" s="144"/>
    </row>
    <row r="1019">
      <c r="J1019" s="147"/>
      <c r="K1019" s="147"/>
      <c r="L1019" s="144"/>
    </row>
    <row r="1020">
      <c r="J1020" s="147"/>
      <c r="K1020" s="147"/>
      <c r="L1020" s="144"/>
    </row>
    <row r="1021">
      <c r="J1021" s="147"/>
      <c r="K1021" s="147"/>
      <c r="L1021" s="144"/>
    </row>
    <row r="1022">
      <c r="J1022" s="147"/>
      <c r="K1022" s="147"/>
      <c r="L1022" s="144"/>
    </row>
    <row r="1023">
      <c r="J1023" s="147"/>
      <c r="K1023" s="147"/>
      <c r="L1023" s="144"/>
    </row>
    <row r="1024">
      <c r="J1024" s="147"/>
      <c r="K1024" s="147"/>
      <c r="L1024" s="144"/>
    </row>
    <row r="1025">
      <c r="J1025" s="147"/>
      <c r="K1025" s="147"/>
      <c r="L1025" s="144"/>
    </row>
    <row r="1026">
      <c r="J1026" s="147"/>
      <c r="K1026" s="147"/>
      <c r="L1026" s="144"/>
    </row>
    <row r="1027">
      <c r="J1027" s="147"/>
      <c r="K1027" s="147"/>
      <c r="L1027" s="144"/>
    </row>
    <row r="1028">
      <c r="J1028" s="147"/>
      <c r="K1028" s="147"/>
      <c r="L1028" s="144"/>
    </row>
    <row r="1029">
      <c r="J1029" s="147"/>
      <c r="K1029" s="147"/>
      <c r="L1029" s="144"/>
    </row>
    <row r="1030">
      <c r="J1030" s="147"/>
      <c r="K1030" s="147"/>
      <c r="L1030" s="144"/>
    </row>
    <row r="1031">
      <c r="J1031" s="147"/>
      <c r="K1031" s="147"/>
      <c r="L1031" s="144"/>
    </row>
    <row r="1032">
      <c r="J1032" s="147"/>
      <c r="K1032" s="147"/>
      <c r="L1032" s="144"/>
    </row>
    <row r="1033">
      <c r="J1033" s="147"/>
      <c r="K1033" s="147"/>
      <c r="L1033" s="144"/>
    </row>
    <row r="1034">
      <c r="J1034" s="147"/>
      <c r="K1034" s="147"/>
      <c r="L1034" s="14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0.0"/>
    <col customWidth="1" min="4" max="4" width="51.88"/>
    <col customWidth="1" min="5" max="5" width="44.25"/>
  </cols>
  <sheetData>
    <row r="1">
      <c r="A1" s="162" t="s">
        <v>139</v>
      </c>
      <c r="B1" s="6" t="s">
        <v>140</v>
      </c>
      <c r="C1" s="6" t="s">
        <v>141</v>
      </c>
      <c r="D1" s="6" t="s">
        <v>142</v>
      </c>
      <c r="E1" s="8" t="s">
        <v>143</v>
      </c>
    </row>
    <row r="2">
      <c r="A2" s="163">
        <v>1.0</v>
      </c>
      <c r="B2" s="164">
        <v>45897.0</v>
      </c>
      <c r="C2" s="165" t="s">
        <v>144</v>
      </c>
      <c r="D2" s="166" t="s">
        <v>145</v>
      </c>
      <c r="E2" s="167"/>
    </row>
  </sheetData>
  <dataValidations>
    <dataValidation type="custom" allowBlank="1" showDropDown="1" sqref="B2">
      <formula1>OR(NOT(ISERROR(DATEVALUE(B2))), AND(ISNUMBER(B2), LEFT(CELL("format", B2))="D"))</formula1>
    </dataValidation>
  </dataValidations>
  <hyperlinks>
    <hyperlink r:id="rId1" ref="D2"/>
  </hyperlinks>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3.0"/>
  </cols>
  <sheetData>
    <row r="1">
      <c r="A1" s="132"/>
      <c r="B1" s="168" t="s">
        <v>12</v>
      </c>
      <c r="C1" s="168" t="s">
        <v>13</v>
      </c>
      <c r="D1" s="168" t="s">
        <v>14</v>
      </c>
      <c r="E1" s="168" t="s">
        <v>15</v>
      </c>
      <c r="F1" s="169" t="s">
        <v>16</v>
      </c>
      <c r="G1" s="168" t="s">
        <v>17</v>
      </c>
      <c r="H1" s="168" t="s">
        <v>18</v>
      </c>
      <c r="I1" s="168" t="s">
        <v>19</v>
      </c>
      <c r="J1" s="168" t="s">
        <v>20</v>
      </c>
      <c r="K1" s="168" t="s">
        <v>21</v>
      </c>
      <c r="L1" s="170"/>
      <c r="M1" s="171">
        <v>2014.0</v>
      </c>
      <c r="N1" s="171">
        <v>2015.0</v>
      </c>
      <c r="O1" s="171">
        <v>2016.0</v>
      </c>
      <c r="P1" s="171">
        <v>2017.0</v>
      </c>
      <c r="Q1" s="171">
        <v>2018.0</v>
      </c>
      <c r="R1" s="171">
        <v>2019.0</v>
      </c>
      <c r="S1" s="171">
        <v>2020.0</v>
      </c>
      <c r="T1" s="171">
        <v>2021.0</v>
      </c>
      <c r="U1" s="171">
        <v>2022.0</v>
      </c>
      <c r="V1" s="171">
        <v>2023.0</v>
      </c>
      <c r="W1" s="171">
        <v>2024.0</v>
      </c>
      <c r="X1" s="172">
        <v>2025.0</v>
      </c>
    </row>
    <row r="2">
      <c r="A2" s="173" t="s">
        <v>61</v>
      </c>
      <c r="B2" s="174" t="str">
        <f>Model!B2</f>
        <v>#DIV/0!</v>
      </c>
      <c r="C2" s="174">
        <f>Model!C2</f>
        <v>181531023.4</v>
      </c>
      <c r="D2" s="174">
        <f>Model!D2</f>
        <v>192454732.5</v>
      </c>
      <c r="E2" s="174">
        <f>Model!E2</f>
        <v>192202137.5</v>
      </c>
      <c r="F2" s="174">
        <f>Model!F2</f>
        <v>180499106.6</v>
      </c>
      <c r="G2" s="174">
        <f>Model!G2</f>
        <v>199973597.4</v>
      </c>
      <c r="H2" s="174">
        <f>Model!H2</f>
        <v>209612980</v>
      </c>
      <c r="I2" s="174">
        <f>Model!I2</f>
        <v>213268569</v>
      </c>
      <c r="J2" s="174">
        <f>Model!J2</f>
        <v>189540853.7</v>
      </c>
      <c r="K2" s="174">
        <f>Model!K2</f>
        <v>199267822</v>
      </c>
      <c r="L2" s="108"/>
      <c r="M2" s="175">
        <f>Model!M2</f>
        <v>812031000</v>
      </c>
      <c r="N2" s="175">
        <f>Model!N2</f>
        <v>830770000</v>
      </c>
      <c r="O2" s="175">
        <f>Model!O2</f>
        <v>791058000</v>
      </c>
      <c r="P2" s="175">
        <f>Model!P2</f>
        <v>778538000</v>
      </c>
      <c r="Q2" s="175">
        <f>Model!Q2</f>
        <v>780362000</v>
      </c>
      <c r="R2" s="175">
        <f>Model!R2</f>
        <v>778052000</v>
      </c>
      <c r="S2" s="174">
        <f>Model!S2</f>
        <v>813255000</v>
      </c>
      <c r="T2" s="174">
        <f>Model!T2</f>
        <v>785446000</v>
      </c>
      <c r="U2" s="174">
        <f>Model!U2</f>
        <v>747914000</v>
      </c>
      <c r="V2" s="174">
        <f>Model!V2</f>
        <v>749076000</v>
      </c>
      <c r="W2" s="174">
        <f>Model!W2</f>
        <v>746687000</v>
      </c>
      <c r="X2" s="176">
        <f>Model!X2</f>
        <v>812396000</v>
      </c>
    </row>
    <row r="3">
      <c r="A3" s="106" t="s">
        <v>62</v>
      </c>
      <c r="B3" s="107" t="str">
        <f>Model!B3</f>
        <v>#DIV/0!</v>
      </c>
      <c r="C3" s="107">
        <f>Model!C3</f>
        <v>93671334.95</v>
      </c>
      <c r="D3" s="107">
        <f>Model!D3</f>
        <v>95698287.22</v>
      </c>
      <c r="E3" s="107">
        <f>Model!E3</f>
        <v>108609937.9</v>
      </c>
      <c r="F3" s="107">
        <f>Model!F3</f>
        <v>102966439.9</v>
      </c>
      <c r="G3" s="107">
        <f>Model!G3</f>
        <v>109968736.6</v>
      </c>
      <c r="H3" s="107">
        <f>Model!H3</f>
        <v>120222036</v>
      </c>
      <c r="I3" s="107">
        <f>Model!I3</f>
        <v>118155172.4</v>
      </c>
      <c r="J3" s="107">
        <f>Model!J3</f>
        <v>121869054.9</v>
      </c>
      <c r="K3" s="107">
        <f>Model!K3</f>
        <v>118303839.7</v>
      </c>
      <c r="L3" s="108"/>
      <c r="M3" s="177">
        <f>Model!M3</f>
        <v>174364000</v>
      </c>
      <c r="N3" s="177">
        <f>Model!N3</f>
        <v>210606000</v>
      </c>
      <c r="O3" s="177">
        <f>Model!O3</f>
        <v>241603000</v>
      </c>
      <c r="P3" s="177">
        <f>Model!P3</f>
        <v>236067000</v>
      </c>
      <c r="Q3" s="177">
        <f>Model!Q3</f>
        <v>244022000</v>
      </c>
      <c r="R3" s="177">
        <f>Model!R3</f>
        <v>260848000</v>
      </c>
      <c r="S3" s="107">
        <f>Model!S3</f>
        <v>255985000</v>
      </c>
      <c r="T3" s="107">
        <f>Model!T3</f>
        <v>287765000</v>
      </c>
      <c r="U3" s="107">
        <f>Model!U3</f>
        <v>335875000</v>
      </c>
      <c r="V3" s="107">
        <f>Model!V3</f>
        <v>398297000</v>
      </c>
      <c r="W3" s="107">
        <f>Model!W3</f>
        <v>400946000</v>
      </c>
      <c r="X3" s="178">
        <f>Model!X3</f>
        <v>470215000</v>
      </c>
    </row>
    <row r="4">
      <c r="A4" s="109" t="s">
        <v>63</v>
      </c>
      <c r="B4" s="110" t="str">
        <f>Model!B4</f>
        <v/>
      </c>
      <c r="C4" s="110">
        <f>Model!C4</f>
        <v>1.241</v>
      </c>
      <c r="D4" s="110">
        <f>Model!D4</f>
        <v>1.458</v>
      </c>
      <c r="E4" s="110">
        <f>Model!E4</f>
        <v>2.152</v>
      </c>
      <c r="F4" s="110">
        <f>Model!F4</f>
        <v>2.062309377</v>
      </c>
      <c r="G4" s="110">
        <f>Model!G4</f>
        <v>2.424</v>
      </c>
      <c r="H4" s="110">
        <f>Model!H4</f>
        <v>2.943</v>
      </c>
      <c r="I4" s="110">
        <f>Model!I4</f>
        <v>4.766</v>
      </c>
      <c r="J4" s="110">
        <f>Model!J4</f>
        <v>3.784714409</v>
      </c>
      <c r="K4" s="110">
        <f>Model!K4</f>
        <v>2.539</v>
      </c>
      <c r="L4" s="111"/>
      <c r="M4" s="112">
        <f>Model!M4</f>
        <v>1.219255176</v>
      </c>
      <c r="N4" s="112">
        <f>Model!N4</f>
        <v>1.274805301</v>
      </c>
      <c r="O4" s="112">
        <f>Model!O4</f>
        <v>1.571789932</v>
      </c>
      <c r="P4" s="112">
        <f>Model!P4</f>
        <v>0.705</v>
      </c>
      <c r="Q4" s="112">
        <f>Model!Q4</f>
        <v>1.226</v>
      </c>
      <c r="R4" s="112">
        <f>Model!R4</f>
        <v>1.041</v>
      </c>
      <c r="S4" s="110">
        <f>Model!S4</f>
        <v>1.021</v>
      </c>
      <c r="T4" s="110">
        <f>Model!T4</f>
        <v>0.976</v>
      </c>
      <c r="U4" s="110">
        <f>Model!U4</f>
        <v>1.42</v>
      </c>
      <c r="V4" s="110">
        <f>Model!V4</f>
        <v>2.739</v>
      </c>
      <c r="W4" s="110">
        <f>Model!W4</f>
        <v>1.73</v>
      </c>
      <c r="X4" s="179">
        <f>Model!X4</f>
        <v>3.49</v>
      </c>
    </row>
    <row r="5">
      <c r="A5" s="115" t="s">
        <v>64</v>
      </c>
      <c r="B5" s="116" t="str">
        <f>Model!B5</f>
        <v/>
      </c>
      <c r="C5" s="116">
        <f>Model!C5</f>
        <v>2.2278</v>
      </c>
      <c r="D5" s="116">
        <f>Model!D5</f>
        <v>2.277</v>
      </c>
      <c r="E5" s="116">
        <f>Model!E5</f>
        <v>2.415</v>
      </c>
      <c r="F5" s="116">
        <f>Model!F5</f>
        <v>2.299642487</v>
      </c>
      <c r="G5" s="116">
        <f>Model!G5</f>
        <v>2.335</v>
      </c>
      <c r="H5" s="116">
        <f>Model!H5</f>
        <v>2.387</v>
      </c>
      <c r="I5" s="116">
        <f>Model!I5</f>
        <v>2.784</v>
      </c>
      <c r="J5" s="116">
        <f>Model!J5</f>
        <v>2.558450955</v>
      </c>
      <c r="K5" s="116">
        <f>Model!K5</f>
        <v>2.396</v>
      </c>
      <c r="L5" s="111"/>
      <c r="M5" s="117">
        <f>Model!M5</f>
        <v>1.934132046</v>
      </c>
      <c r="N5" s="117">
        <f>Model!N5</f>
        <v>1.975855389</v>
      </c>
      <c r="O5" s="117">
        <f>Model!O5</f>
        <v>2.213358278</v>
      </c>
      <c r="P5" s="117">
        <f>Model!P5</f>
        <v>1.939</v>
      </c>
      <c r="Q5" s="117">
        <f>Model!Q5</f>
        <v>1.916</v>
      </c>
      <c r="R5" s="117">
        <f>Model!R5</f>
        <v>1.933</v>
      </c>
      <c r="S5" s="116">
        <f>Model!S5</f>
        <v>1.897</v>
      </c>
      <c r="T5" s="116">
        <f>Model!T5</f>
        <v>1.876</v>
      </c>
      <c r="U5" s="116">
        <f>Model!U5</f>
        <v>1.932</v>
      </c>
      <c r="V5" s="116">
        <f>Model!V5</f>
        <v>2.403</v>
      </c>
      <c r="W5" s="116">
        <f>Model!W5</f>
        <v>2.309</v>
      </c>
      <c r="X5" s="180">
        <f>Model!X5</f>
        <v>2.519</v>
      </c>
    </row>
    <row r="6">
      <c r="A6" s="2" t="s">
        <v>65</v>
      </c>
      <c r="B6" s="43">
        <f>Model!B6</f>
        <v>395433000</v>
      </c>
      <c r="C6" s="43">
        <f>Model!C6</f>
        <v>225280000</v>
      </c>
      <c r="D6" s="43">
        <f>Model!D6</f>
        <v>280599000</v>
      </c>
      <c r="E6" s="43">
        <f>Model!E6</f>
        <v>413619000</v>
      </c>
      <c r="F6" s="43">
        <f>Model!F6</f>
        <v>372245000</v>
      </c>
      <c r="G6" s="43">
        <f>Model!G6</f>
        <v>484736000</v>
      </c>
      <c r="H6" s="43">
        <f>Model!H6</f>
        <v>616891000</v>
      </c>
      <c r="I6" s="43">
        <f>Model!I6</f>
        <v>1016438000</v>
      </c>
      <c r="J6" s="43">
        <f>Model!J6</f>
        <v>717358000</v>
      </c>
      <c r="K6" s="43">
        <f>Model!K6</f>
        <v>505941000</v>
      </c>
      <c r="L6" s="118"/>
      <c r="M6" s="53">
        <f>Model!M6</f>
        <v>990073000</v>
      </c>
      <c r="N6" s="53">
        <f>Model!N6</f>
        <v>1059070000</v>
      </c>
      <c r="O6" s="53">
        <f>Model!O6</f>
        <v>1243377000</v>
      </c>
      <c r="P6" s="53">
        <f>Model!P6</f>
        <v>548869290</v>
      </c>
      <c r="Q6" s="53">
        <f>Model!Q6</f>
        <v>956723812</v>
      </c>
      <c r="R6" s="53">
        <f>Model!R6</f>
        <v>810306000</v>
      </c>
      <c r="S6" s="53">
        <f>Model!S6</f>
        <v>830333355</v>
      </c>
      <c r="T6" s="53">
        <f>Model!T6</f>
        <v>766595296</v>
      </c>
      <c r="U6" s="53">
        <f>Model!U6</f>
        <v>1062037880</v>
      </c>
      <c r="V6" s="53">
        <f>Model!V6</f>
        <v>2051719164</v>
      </c>
      <c r="W6" s="53">
        <f>Model!W6</f>
        <v>1291768510</v>
      </c>
      <c r="X6" s="54">
        <f>Model!X6</f>
        <v>2835262040</v>
      </c>
    </row>
    <row r="7">
      <c r="A7" s="2" t="s">
        <v>66</v>
      </c>
      <c r="B7" s="119">
        <f>Model!B7</f>
        <v>256190000</v>
      </c>
      <c r="C7" s="119">
        <f>Model!C7</f>
        <v>208681000</v>
      </c>
      <c r="D7" s="119">
        <f>Model!D7</f>
        <v>217905000</v>
      </c>
      <c r="E7" s="119">
        <f>Model!E7</f>
        <v>262293000</v>
      </c>
      <c r="F7" s="119">
        <f>Model!F7</f>
        <v>236786000</v>
      </c>
      <c r="G7" s="119">
        <f>Model!G7</f>
        <v>256777000</v>
      </c>
      <c r="H7" s="119">
        <f>Model!H7</f>
        <v>286970000</v>
      </c>
      <c r="I7" s="119">
        <f>Model!I7</f>
        <v>328944000</v>
      </c>
      <c r="J7" s="119">
        <f>Model!J7</f>
        <v>311796000</v>
      </c>
      <c r="K7" s="119">
        <f>Model!K7</f>
        <v>283456000</v>
      </c>
      <c r="L7" s="118"/>
      <c r="M7" s="120">
        <f>Model!M7</f>
        <v>337243000</v>
      </c>
      <c r="N7" s="120">
        <f>Model!N7</f>
        <v>416127000</v>
      </c>
      <c r="O7" s="120">
        <f>Model!O7</f>
        <v>534754000</v>
      </c>
      <c r="P7" s="120">
        <f>Model!P7</f>
        <v>457733913</v>
      </c>
      <c r="Q7" s="120">
        <f>Model!Q7</f>
        <v>467546152</v>
      </c>
      <c r="R7" s="120">
        <f>Model!R7</f>
        <v>504169000</v>
      </c>
      <c r="S7" s="120">
        <f>Model!S7</f>
        <v>485603545</v>
      </c>
      <c r="T7" s="120">
        <f>Model!T7</f>
        <v>539847140</v>
      </c>
      <c r="U7" s="120">
        <f>Model!U7</f>
        <v>648910500</v>
      </c>
      <c r="V7" s="120">
        <f>Model!V7</f>
        <v>957107691</v>
      </c>
      <c r="W7" s="120">
        <f>Model!W7</f>
        <v>925784314</v>
      </c>
      <c r="X7" s="181">
        <f>Model!X7</f>
        <v>1184471585</v>
      </c>
    </row>
    <row r="8">
      <c r="A8" s="2" t="s">
        <v>67</v>
      </c>
      <c r="B8" s="43" t="str">
        <f>Model!B8</f>
        <v/>
      </c>
      <c r="C8" s="43" t="str">
        <f>Model!C8</f>
        <v/>
      </c>
      <c r="D8" s="43" t="str">
        <f>Model!D8</f>
        <v/>
      </c>
      <c r="E8" s="43" t="str">
        <f>Model!E8</f>
        <v/>
      </c>
      <c r="F8" s="43" t="str">
        <f>Model!F8</f>
        <v/>
      </c>
      <c r="G8" s="43">
        <f>Model!G8</f>
        <v>8938000</v>
      </c>
      <c r="H8" s="43" t="str">
        <f>Model!H8</f>
        <v/>
      </c>
      <c r="I8" s="43" t="str">
        <f>Model!I8</f>
        <v/>
      </c>
      <c r="J8" s="43" t="str">
        <f>Model!J8</f>
        <v/>
      </c>
      <c r="K8" s="43">
        <f>Model!K8</f>
        <v>83936000</v>
      </c>
      <c r="L8" s="118"/>
      <c r="M8" s="53" t="str">
        <f>Model!M8</f>
        <v/>
      </c>
      <c r="N8" s="53" t="str">
        <f>Model!N8</f>
        <v/>
      </c>
      <c r="O8" s="53" t="str">
        <f>Model!O8</f>
        <v/>
      </c>
      <c r="P8" s="53" t="str">
        <f>Model!P8</f>
        <v/>
      </c>
      <c r="Q8" s="53" t="str">
        <f>Model!Q8</f>
        <v/>
      </c>
      <c r="R8" s="53" t="str">
        <f>Model!R8</f>
        <v/>
      </c>
      <c r="S8" s="43" t="str">
        <f>Model!S8</f>
        <v/>
      </c>
      <c r="T8" s="43" t="str">
        <f>Model!T8</f>
        <v/>
      </c>
      <c r="U8" s="43" t="str">
        <f>Model!U8</f>
        <v/>
      </c>
      <c r="V8" s="43" t="str">
        <f>Model!V8</f>
        <v/>
      </c>
      <c r="W8" s="43" t="str">
        <f>Model!W8</f>
        <v/>
      </c>
      <c r="X8" s="182" t="str">
        <f>Model!X8</f>
        <v/>
      </c>
    </row>
    <row r="9">
      <c r="A9" s="2" t="s">
        <v>68</v>
      </c>
      <c r="B9" s="43">
        <f>Model!B9</f>
        <v>33996000</v>
      </c>
      <c r="C9" s="43">
        <f>Model!C9</f>
        <v>22223000</v>
      </c>
      <c r="D9" s="43">
        <f>Model!D9</f>
        <v>20012000</v>
      </c>
      <c r="E9" s="43">
        <f>Model!E9</f>
        <v>21759000</v>
      </c>
      <c r="F9" s="43">
        <f>Model!F9</f>
        <v>25015000</v>
      </c>
      <c r="G9" s="43">
        <f>Model!G9</f>
        <v>26237000</v>
      </c>
      <c r="H9" s="43">
        <f>Model!H9</f>
        <v>40651000</v>
      </c>
      <c r="I9" s="43">
        <f>Model!I9</f>
        <v>61024000</v>
      </c>
      <c r="J9" s="43">
        <f>Model!J9</f>
        <v>70921300</v>
      </c>
      <c r="K9" s="43">
        <f>Model!K9</f>
        <v>37107000</v>
      </c>
      <c r="L9" s="118"/>
      <c r="M9" s="53" t="str">
        <f>Model!M9</f>
        <v/>
      </c>
      <c r="N9" s="53">
        <f>Model!N9</f>
        <v>43282000</v>
      </c>
      <c r="O9" s="53">
        <f>Model!O9</f>
        <v>49282000</v>
      </c>
      <c r="P9" s="53">
        <f>Model!P9</f>
        <v>32689000</v>
      </c>
      <c r="Q9" s="53">
        <f>Model!Q9</f>
        <v>26092000</v>
      </c>
      <c r="R9" s="53">
        <f>Model!R9</f>
        <v>41508000</v>
      </c>
      <c r="S9" s="43">
        <f>Model!S9</f>
        <v>31414000</v>
      </c>
      <c r="T9" s="43">
        <f>Model!T9</f>
        <v>36733300</v>
      </c>
      <c r="U9" s="43">
        <f>Model!U9</f>
        <v>60004000</v>
      </c>
      <c r="V9" s="43">
        <f>Model!V9</f>
        <v>122270000</v>
      </c>
      <c r="W9" s="43">
        <f>Model!W9</f>
        <v>89009000</v>
      </c>
      <c r="X9" s="182">
        <f>Model!X9</f>
        <v>198833300</v>
      </c>
    </row>
    <row r="10">
      <c r="A10" s="2" t="s">
        <v>69</v>
      </c>
      <c r="B10" s="43">
        <f>Model!B10</f>
        <v>3061000</v>
      </c>
      <c r="C10" s="43">
        <f>Model!C10</f>
        <v>3160000</v>
      </c>
      <c r="D10" s="43">
        <f>Model!D10</f>
        <v>4718000</v>
      </c>
      <c r="E10" s="43">
        <f>Model!E10</f>
        <v>5405000</v>
      </c>
      <c r="F10" s="43">
        <f>Model!F10</f>
        <v>6743000</v>
      </c>
      <c r="G10" s="43">
        <f>Model!G10</f>
        <v>9183000</v>
      </c>
      <c r="H10" s="43">
        <f>Model!H10</f>
        <v>10159000</v>
      </c>
      <c r="I10" s="43">
        <f>Model!I10</f>
        <v>11279000</v>
      </c>
      <c r="J10" s="43">
        <f>Model!J10</f>
        <v>12521000</v>
      </c>
      <c r="K10" s="43">
        <f>Model!K10</f>
        <v>12162000</v>
      </c>
      <c r="L10" s="118"/>
      <c r="M10" s="53">
        <f>Model!M10</f>
        <v>27301000</v>
      </c>
      <c r="N10" s="53">
        <f>Model!N10</f>
        <v>11769000</v>
      </c>
      <c r="O10" s="53">
        <f>Model!O10</f>
        <v>10533000</v>
      </c>
      <c r="P10" s="53">
        <f>Model!P10</f>
        <v>10423000</v>
      </c>
      <c r="Q10" s="53">
        <f>Model!Q10</f>
        <v>8943000</v>
      </c>
      <c r="R10" s="53">
        <f>Model!R10</f>
        <v>5205000</v>
      </c>
      <c r="S10" s="43">
        <f>Model!S10</f>
        <v>4452000</v>
      </c>
      <c r="T10" s="43">
        <f>Model!T10</f>
        <v>63627000</v>
      </c>
      <c r="U10" s="43">
        <f>Model!U10</f>
        <v>6322000</v>
      </c>
      <c r="V10" s="43">
        <f>Model!V10</f>
        <v>14993000</v>
      </c>
      <c r="W10" s="43">
        <f>Model!W10</f>
        <v>20026000</v>
      </c>
      <c r="X10" s="182">
        <f>Model!X10</f>
        <v>43142000</v>
      </c>
    </row>
    <row r="11">
      <c r="A11" s="127" t="s">
        <v>70</v>
      </c>
      <c r="B11" s="128">
        <f t="shared" ref="B11:K11" si="1">sum(B6:B10)</f>
        <v>688680000</v>
      </c>
      <c r="C11" s="128">
        <f t="shared" si="1"/>
        <v>459344000</v>
      </c>
      <c r="D11" s="128">
        <f t="shared" si="1"/>
        <v>523234000</v>
      </c>
      <c r="E11" s="128">
        <f t="shared" si="1"/>
        <v>703076000</v>
      </c>
      <c r="F11" s="128">
        <f t="shared" si="1"/>
        <v>640789000</v>
      </c>
      <c r="G11" s="128">
        <f t="shared" si="1"/>
        <v>785871000</v>
      </c>
      <c r="H11" s="128">
        <f t="shared" si="1"/>
        <v>954671000</v>
      </c>
      <c r="I11" s="128">
        <f t="shared" si="1"/>
        <v>1417685000</v>
      </c>
      <c r="J11" s="128">
        <f t="shared" si="1"/>
        <v>1112596300</v>
      </c>
      <c r="K11" s="128">
        <f t="shared" si="1"/>
        <v>922602000</v>
      </c>
      <c r="L11" s="130"/>
      <c r="M11" s="128">
        <f t="shared" ref="M11:X11" si="2">sum(M6:M10)</f>
        <v>1354617000</v>
      </c>
      <c r="N11" s="128">
        <f t="shared" si="2"/>
        <v>1530248000</v>
      </c>
      <c r="O11" s="128">
        <f t="shared" si="2"/>
        <v>1837946000</v>
      </c>
      <c r="P11" s="128">
        <f t="shared" si="2"/>
        <v>1049715203</v>
      </c>
      <c r="Q11" s="128">
        <f t="shared" si="2"/>
        <v>1459304964</v>
      </c>
      <c r="R11" s="128">
        <f t="shared" si="2"/>
        <v>1361188000</v>
      </c>
      <c r="S11" s="128">
        <f t="shared" si="2"/>
        <v>1351802900</v>
      </c>
      <c r="T11" s="128">
        <f t="shared" si="2"/>
        <v>1406802736</v>
      </c>
      <c r="U11" s="128">
        <f t="shared" si="2"/>
        <v>1777274380</v>
      </c>
      <c r="V11" s="128">
        <f t="shared" si="2"/>
        <v>3146089855</v>
      </c>
      <c r="W11" s="128">
        <f t="shared" si="2"/>
        <v>2326587824</v>
      </c>
      <c r="X11" s="183">
        <f t="shared" si="2"/>
        <v>4261708925</v>
      </c>
    </row>
    <row r="12">
      <c r="B12" s="184"/>
      <c r="C12" s="184"/>
      <c r="D12" s="184"/>
    </row>
    <row r="13">
      <c r="B13" s="184"/>
      <c r="C13" s="184"/>
      <c r="D13" s="184"/>
    </row>
    <row r="14">
      <c r="B14" s="184"/>
      <c r="C14" s="184"/>
      <c r="D14" s="184"/>
    </row>
    <row r="15">
      <c r="B15" s="184"/>
      <c r="C15" s="184"/>
      <c r="D15" s="184"/>
    </row>
    <row r="16">
      <c r="B16" s="184"/>
      <c r="C16" s="184"/>
      <c r="D16" s="184"/>
    </row>
    <row r="17">
      <c r="B17" s="184"/>
      <c r="C17" s="184"/>
      <c r="D17" s="184"/>
    </row>
    <row r="18">
      <c r="B18" s="184"/>
      <c r="C18" s="184"/>
      <c r="D18" s="184"/>
    </row>
    <row r="19">
      <c r="B19" s="184"/>
      <c r="C19" s="184"/>
      <c r="D19" s="184"/>
    </row>
    <row r="20">
      <c r="B20" s="184"/>
      <c r="C20" s="184"/>
      <c r="D20" s="184"/>
    </row>
    <row r="21">
      <c r="B21" s="184"/>
      <c r="C21" s="184"/>
      <c r="D21" s="184"/>
    </row>
    <row r="22">
      <c r="B22" s="184"/>
      <c r="C22" s="184"/>
      <c r="D22" s="184"/>
    </row>
    <row r="23">
      <c r="B23" s="184"/>
      <c r="C23" s="184"/>
      <c r="D23" s="184"/>
    </row>
    <row r="24">
      <c r="B24" s="184"/>
      <c r="C24" s="184"/>
      <c r="D24" s="184"/>
    </row>
    <row r="25">
      <c r="B25" s="184"/>
      <c r="C25" s="184"/>
      <c r="D25" s="184"/>
    </row>
    <row r="26">
      <c r="B26" s="184"/>
      <c r="C26" s="184"/>
      <c r="D26" s="184"/>
    </row>
    <row r="27">
      <c r="B27" s="184"/>
      <c r="C27" s="184"/>
      <c r="D27" s="184"/>
    </row>
    <row r="28">
      <c r="B28" s="184"/>
      <c r="C28" s="184"/>
      <c r="D28" s="184"/>
    </row>
    <row r="29">
      <c r="B29" s="184"/>
      <c r="C29" s="184"/>
      <c r="D29" s="184"/>
    </row>
    <row r="30">
      <c r="B30" s="184"/>
      <c r="C30" s="184"/>
      <c r="D30" s="184"/>
    </row>
    <row r="31">
      <c r="B31" s="184"/>
      <c r="C31" s="184"/>
      <c r="D31" s="184"/>
    </row>
    <row r="32">
      <c r="B32" s="184"/>
      <c r="C32" s="184"/>
      <c r="D32" s="184"/>
    </row>
    <row r="33">
      <c r="B33" s="184"/>
      <c r="C33" s="184"/>
      <c r="D33" s="184"/>
    </row>
    <row r="34">
      <c r="B34" s="184"/>
      <c r="C34" s="184"/>
      <c r="D34" s="184"/>
    </row>
    <row r="35">
      <c r="B35" s="184"/>
      <c r="C35" s="184"/>
      <c r="D35" s="184"/>
    </row>
    <row r="36">
      <c r="B36" s="184"/>
      <c r="C36" s="184"/>
      <c r="D36" s="184"/>
    </row>
    <row r="37">
      <c r="B37" s="184"/>
      <c r="C37" s="184"/>
      <c r="D37" s="184"/>
    </row>
    <row r="38">
      <c r="B38" s="184"/>
      <c r="C38" s="184"/>
      <c r="D38" s="184"/>
    </row>
    <row r="39">
      <c r="B39" s="184"/>
      <c r="C39" s="184"/>
      <c r="D39" s="184"/>
    </row>
    <row r="40">
      <c r="B40" s="184"/>
      <c r="C40" s="184"/>
      <c r="D40" s="184"/>
    </row>
    <row r="41">
      <c r="B41" s="184"/>
      <c r="C41" s="184"/>
      <c r="D41" s="184"/>
    </row>
    <row r="42">
      <c r="B42" s="184"/>
      <c r="C42" s="184"/>
      <c r="D42" s="184"/>
    </row>
    <row r="43">
      <c r="B43" s="184"/>
      <c r="C43" s="184"/>
      <c r="D43" s="184"/>
    </row>
    <row r="44">
      <c r="B44" s="184"/>
      <c r="C44" s="184"/>
      <c r="D44" s="184"/>
    </row>
    <row r="45">
      <c r="B45" s="184"/>
      <c r="C45" s="184"/>
      <c r="D45" s="184"/>
    </row>
    <row r="46">
      <c r="B46" s="184"/>
      <c r="C46" s="184"/>
      <c r="D46" s="184"/>
    </row>
    <row r="47">
      <c r="B47" s="184"/>
      <c r="C47" s="184"/>
      <c r="D47" s="184"/>
    </row>
    <row r="48">
      <c r="B48" s="184"/>
      <c r="C48" s="184"/>
      <c r="D48" s="184"/>
    </row>
    <row r="49">
      <c r="B49" s="184"/>
      <c r="C49" s="184"/>
      <c r="D49" s="184"/>
    </row>
    <row r="50">
      <c r="B50" s="184"/>
      <c r="C50" s="184"/>
      <c r="D50" s="184"/>
    </row>
    <row r="51">
      <c r="B51" s="184"/>
      <c r="C51" s="184"/>
      <c r="D51" s="184"/>
    </row>
    <row r="52">
      <c r="B52" s="184"/>
      <c r="C52" s="184"/>
      <c r="D52" s="184"/>
    </row>
    <row r="53">
      <c r="B53" s="184"/>
      <c r="C53" s="184"/>
      <c r="D53" s="184"/>
    </row>
    <row r="54">
      <c r="B54" s="184"/>
      <c r="C54" s="184"/>
      <c r="D54" s="184"/>
    </row>
    <row r="55">
      <c r="B55" s="184"/>
      <c r="C55" s="184"/>
      <c r="D55" s="184"/>
    </row>
    <row r="56">
      <c r="B56" s="184"/>
      <c r="C56" s="184"/>
      <c r="D56" s="184"/>
    </row>
    <row r="57">
      <c r="B57" s="184"/>
      <c r="C57" s="184"/>
      <c r="D57" s="184"/>
    </row>
    <row r="58">
      <c r="B58" s="184"/>
      <c r="C58" s="184"/>
      <c r="D58" s="184"/>
    </row>
    <row r="59">
      <c r="B59" s="184"/>
      <c r="C59" s="184"/>
      <c r="D59" s="184"/>
    </row>
    <row r="60">
      <c r="B60" s="184"/>
      <c r="C60" s="184"/>
      <c r="D60" s="184"/>
    </row>
    <row r="61">
      <c r="B61" s="184"/>
      <c r="C61" s="184"/>
      <c r="D61" s="184"/>
    </row>
    <row r="62">
      <c r="B62" s="184"/>
      <c r="C62" s="184"/>
      <c r="D62" s="184"/>
    </row>
    <row r="63">
      <c r="B63" s="184"/>
      <c r="C63" s="184"/>
      <c r="D63" s="184"/>
    </row>
    <row r="64">
      <c r="B64" s="184"/>
      <c r="C64" s="184"/>
      <c r="D64" s="184"/>
    </row>
    <row r="65">
      <c r="B65" s="184"/>
      <c r="C65" s="184"/>
      <c r="D65" s="184"/>
    </row>
    <row r="66">
      <c r="B66" s="184"/>
      <c r="C66" s="184"/>
      <c r="D66" s="184"/>
    </row>
    <row r="67">
      <c r="B67" s="184"/>
      <c r="C67" s="184"/>
      <c r="D67" s="184"/>
    </row>
    <row r="68">
      <c r="B68" s="184"/>
      <c r="C68" s="184"/>
      <c r="D68" s="184"/>
    </row>
    <row r="69">
      <c r="B69" s="184"/>
      <c r="C69" s="184"/>
      <c r="D69" s="184"/>
    </row>
    <row r="70">
      <c r="B70" s="184"/>
      <c r="C70" s="184"/>
      <c r="D70" s="184"/>
    </row>
    <row r="71">
      <c r="B71" s="184"/>
      <c r="C71" s="184"/>
      <c r="D71" s="184"/>
    </row>
    <row r="72">
      <c r="B72" s="184"/>
      <c r="C72" s="184"/>
      <c r="D72" s="184"/>
    </row>
    <row r="73">
      <c r="B73" s="184"/>
      <c r="C73" s="184"/>
      <c r="D73" s="184"/>
    </row>
    <row r="74">
      <c r="B74" s="184"/>
      <c r="C74" s="184"/>
      <c r="D74" s="184"/>
    </row>
    <row r="75">
      <c r="B75" s="184"/>
      <c r="C75" s="184"/>
      <c r="D75" s="184"/>
    </row>
    <row r="76">
      <c r="B76" s="184"/>
      <c r="C76" s="184"/>
      <c r="D76" s="184"/>
    </row>
    <row r="77">
      <c r="B77" s="184"/>
      <c r="C77" s="184"/>
      <c r="D77" s="184"/>
    </row>
    <row r="78">
      <c r="B78" s="184"/>
      <c r="C78" s="184"/>
      <c r="D78" s="184"/>
    </row>
    <row r="79">
      <c r="B79" s="184"/>
      <c r="C79" s="184"/>
      <c r="D79" s="184"/>
    </row>
    <row r="80">
      <c r="B80" s="184"/>
      <c r="C80" s="184"/>
      <c r="D80" s="184"/>
    </row>
    <row r="81">
      <c r="B81" s="184"/>
      <c r="C81" s="184"/>
      <c r="D81" s="184"/>
    </row>
    <row r="82">
      <c r="B82" s="184"/>
      <c r="C82" s="184"/>
      <c r="D82" s="184"/>
    </row>
    <row r="83">
      <c r="B83" s="184"/>
      <c r="C83" s="184"/>
      <c r="D83" s="184"/>
    </row>
    <row r="84">
      <c r="B84" s="184"/>
      <c r="C84" s="184"/>
      <c r="D84" s="184"/>
    </row>
    <row r="85">
      <c r="B85" s="184"/>
      <c r="C85" s="184"/>
      <c r="D85" s="184"/>
    </row>
    <row r="86">
      <c r="B86" s="184"/>
      <c r="C86" s="184"/>
      <c r="D86" s="184"/>
    </row>
    <row r="87">
      <c r="B87" s="184"/>
      <c r="C87" s="184"/>
      <c r="D87" s="184"/>
    </row>
    <row r="88">
      <c r="B88" s="184"/>
      <c r="C88" s="184"/>
      <c r="D88" s="184"/>
    </row>
    <row r="89">
      <c r="B89" s="184"/>
      <c r="C89" s="184"/>
      <c r="D89" s="184"/>
    </row>
    <row r="90">
      <c r="B90" s="184"/>
      <c r="C90" s="184"/>
      <c r="D90" s="184"/>
    </row>
    <row r="91">
      <c r="B91" s="184"/>
      <c r="C91" s="184"/>
      <c r="D91" s="184"/>
    </row>
    <row r="92">
      <c r="B92" s="184"/>
      <c r="C92" s="184"/>
      <c r="D92" s="184"/>
    </row>
    <row r="93">
      <c r="B93" s="184"/>
      <c r="C93" s="184"/>
      <c r="D93" s="184"/>
    </row>
    <row r="94">
      <c r="B94" s="184"/>
      <c r="C94" s="184"/>
      <c r="D94" s="184"/>
    </row>
    <row r="95">
      <c r="B95" s="184"/>
      <c r="C95" s="184"/>
      <c r="D95" s="184"/>
    </row>
    <row r="96">
      <c r="B96" s="184"/>
      <c r="C96" s="184"/>
      <c r="D96" s="184"/>
    </row>
    <row r="97">
      <c r="B97" s="184"/>
      <c r="C97" s="184"/>
      <c r="D97" s="184"/>
    </row>
    <row r="98">
      <c r="B98" s="184"/>
      <c r="C98" s="184"/>
      <c r="D98" s="184"/>
    </row>
    <row r="99">
      <c r="B99" s="184"/>
      <c r="C99" s="184"/>
      <c r="D99" s="184"/>
    </row>
    <row r="100">
      <c r="B100" s="184"/>
      <c r="C100" s="184"/>
      <c r="D100" s="184"/>
    </row>
    <row r="101">
      <c r="B101" s="184"/>
      <c r="C101" s="184"/>
      <c r="D101" s="184"/>
    </row>
    <row r="102">
      <c r="B102" s="184"/>
      <c r="C102" s="184"/>
      <c r="D102" s="184"/>
    </row>
    <row r="103">
      <c r="B103" s="184"/>
      <c r="C103" s="184"/>
      <c r="D103" s="184"/>
    </row>
    <row r="104">
      <c r="B104" s="184"/>
      <c r="C104" s="184"/>
      <c r="D104" s="184"/>
    </row>
    <row r="105">
      <c r="B105" s="184"/>
      <c r="C105" s="184"/>
      <c r="D105" s="184"/>
    </row>
    <row r="106">
      <c r="B106" s="184"/>
      <c r="C106" s="184"/>
      <c r="D106" s="184"/>
    </row>
    <row r="107">
      <c r="B107" s="184"/>
      <c r="C107" s="184"/>
      <c r="D107" s="184"/>
    </row>
    <row r="108">
      <c r="B108" s="184"/>
      <c r="C108" s="184"/>
      <c r="D108" s="184"/>
    </row>
    <row r="109">
      <c r="B109" s="184"/>
      <c r="C109" s="184"/>
      <c r="D109" s="184"/>
    </row>
    <row r="110">
      <c r="B110" s="184"/>
      <c r="C110" s="184"/>
      <c r="D110" s="184"/>
    </row>
    <row r="111">
      <c r="B111" s="184"/>
      <c r="C111" s="184"/>
      <c r="D111" s="184"/>
    </row>
    <row r="112">
      <c r="B112" s="184"/>
      <c r="C112" s="184"/>
      <c r="D112" s="184"/>
    </row>
    <row r="113">
      <c r="B113" s="184"/>
      <c r="C113" s="184"/>
      <c r="D113" s="184"/>
    </row>
    <row r="114">
      <c r="B114" s="184"/>
      <c r="C114" s="184"/>
      <c r="D114" s="184"/>
    </row>
    <row r="115">
      <c r="B115" s="184"/>
      <c r="C115" s="184"/>
      <c r="D115" s="184"/>
    </row>
    <row r="116">
      <c r="B116" s="184"/>
      <c r="C116" s="184"/>
      <c r="D116" s="184"/>
    </row>
    <row r="117">
      <c r="B117" s="184"/>
      <c r="C117" s="184"/>
      <c r="D117" s="184"/>
    </row>
    <row r="118">
      <c r="B118" s="184"/>
      <c r="C118" s="184"/>
      <c r="D118" s="184"/>
    </row>
    <row r="119">
      <c r="B119" s="184"/>
      <c r="C119" s="184"/>
      <c r="D119" s="184"/>
    </row>
    <row r="120">
      <c r="B120" s="184"/>
      <c r="C120" s="184"/>
      <c r="D120" s="184"/>
    </row>
    <row r="121">
      <c r="B121" s="184"/>
      <c r="C121" s="184"/>
      <c r="D121" s="184"/>
    </row>
    <row r="122">
      <c r="B122" s="184"/>
      <c r="C122" s="184"/>
      <c r="D122" s="184"/>
    </row>
    <row r="123">
      <c r="B123" s="184"/>
      <c r="C123" s="184"/>
      <c r="D123" s="184"/>
    </row>
    <row r="124">
      <c r="B124" s="184"/>
      <c r="C124" s="184"/>
      <c r="D124" s="184"/>
    </row>
    <row r="125">
      <c r="B125" s="184"/>
      <c r="C125" s="184"/>
      <c r="D125" s="184"/>
    </row>
    <row r="126">
      <c r="B126" s="184"/>
      <c r="C126" s="184"/>
      <c r="D126" s="184"/>
    </row>
    <row r="127">
      <c r="B127" s="184"/>
      <c r="C127" s="184"/>
      <c r="D127" s="184"/>
    </row>
    <row r="128">
      <c r="B128" s="184"/>
      <c r="C128" s="184"/>
      <c r="D128" s="184"/>
    </row>
    <row r="129">
      <c r="B129" s="184"/>
      <c r="C129" s="184"/>
      <c r="D129" s="184"/>
    </row>
    <row r="130">
      <c r="B130" s="184"/>
      <c r="C130" s="184"/>
      <c r="D130" s="184"/>
    </row>
    <row r="131">
      <c r="B131" s="184"/>
      <c r="C131" s="184"/>
      <c r="D131" s="184"/>
    </row>
    <row r="132">
      <c r="B132" s="184"/>
      <c r="C132" s="184"/>
      <c r="D132" s="184"/>
    </row>
    <row r="133">
      <c r="B133" s="184"/>
      <c r="C133" s="184"/>
      <c r="D133" s="184"/>
    </row>
    <row r="134">
      <c r="B134" s="184"/>
      <c r="C134" s="184"/>
      <c r="D134" s="184"/>
    </row>
    <row r="135">
      <c r="B135" s="184"/>
      <c r="C135" s="184"/>
      <c r="D135" s="184"/>
    </row>
    <row r="136">
      <c r="B136" s="184"/>
      <c r="C136" s="184"/>
      <c r="D136" s="184"/>
    </row>
    <row r="137">
      <c r="B137" s="184"/>
      <c r="C137" s="184"/>
      <c r="D137" s="184"/>
    </row>
    <row r="138">
      <c r="B138" s="184"/>
      <c r="C138" s="184"/>
      <c r="D138" s="184"/>
    </row>
    <row r="139">
      <c r="B139" s="184"/>
      <c r="C139" s="184"/>
      <c r="D139" s="184"/>
    </row>
    <row r="140">
      <c r="B140" s="184"/>
      <c r="C140" s="184"/>
      <c r="D140" s="184"/>
    </row>
    <row r="141">
      <c r="B141" s="184"/>
      <c r="C141" s="184"/>
      <c r="D141" s="184"/>
    </row>
    <row r="142">
      <c r="B142" s="184"/>
      <c r="C142" s="184"/>
      <c r="D142" s="184"/>
    </row>
    <row r="143">
      <c r="B143" s="184"/>
      <c r="C143" s="184"/>
      <c r="D143" s="184"/>
    </row>
    <row r="144">
      <c r="B144" s="184"/>
      <c r="C144" s="184"/>
      <c r="D144" s="184"/>
    </row>
    <row r="145">
      <c r="B145" s="184"/>
      <c r="C145" s="184"/>
      <c r="D145" s="184"/>
    </row>
    <row r="146">
      <c r="B146" s="184"/>
      <c r="C146" s="184"/>
      <c r="D146" s="184"/>
    </row>
    <row r="147">
      <c r="B147" s="184"/>
      <c r="C147" s="184"/>
      <c r="D147" s="184"/>
    </row>
    <row r="148">
      <c r="B148" s="184"/>
      <c r="C148" s="184"/>
      <c r="D148" s="184"/>
    </row>
    <row r="149">
      <c r="B149" s="184"/>
      <c r="C149" s="184"/>
      <c r="D149" s="184"/>
    </row>
    <row r="150">
      <c r="B150" s="184"/>
      <c r="C150" s="184"/>
      <c r="D150" s="184"/>
    </row>
    <row r="151">
      <c r="B151" s="184"/>
      <c r="C151" s="184"/>
      <c r="D151" s="184"/>
    </row>
    <row r="152">
      <c r="B152" s="184"/>
      <c r="C152" s="184"/>
      <c r="D152" s="184"/>
    </row>
    <row r="153">
      <c r="B153" s="184"/>
      <c r="C153" s="184"/>
      <c r="D153" s="184"/>
    </row>
    <row r="154">
      <c r="B154" s="184"/>
      <c r="C154" s="184"/>
      <c r="D154" s="184"/>
    </row>
    <row r="155">
      <c r="B155" s="184"/>
      <c r="C155" s="184"/>
      <c r="D155" s="184"/>
    </row>
    <row r="156">
      <c r="B156" s="184"/>
      <c r="C156" s="184"/>
      <c r="D156" s="184"/>
    </row>
    <row r="157">
      <c r="B157" s="184"/>
      <c r="C157" s="184"/>
      <c r="D157" s="184"/>
    </row>
    <row r="158">
      <c r="B158" s="184"/>
      <c r="C158" s="184"/>
      <c r="D158" s="184"/>
    </row>
    <row r="159">
      <c r="B159" s="184"/>
      <c r="C159" s="184"/>
      <c r="D159" s="184"/>
    </row>
    <row r="160">
      <c r="B160" s="184"/>
      <c r="C160" s="184"/>
      <c r="D160" s="184"/>
    </row>
    <row r="161">
      <c r="B161" s="184"/>
      <c r="C161" s="184"/>
      <c r="D161" s="184"/>
    </row>
    <row r="162">
      <c r="B162" s="184"/>
      <c r="C162" s="184"/>
      <c r="D162" s="184"/>
    </row>
    <row r="163">
      <c r="B163" s="184"/>
      <c r="C163" s="184"/>
      <c r="D163" s="184"/>
    </row>
    <row r="164">
      <c r="B164" s="184"/>
      <c r="C164" s="184"/>
      <c r="D164" s="184"/>
    </row>
    <row r="165">
      <c r="B165" s="184"/>
      <c r="C165" s="184"/>
      <c r="D165" s="184"/>
    </row>
    <row r="166">
      <c r="B166" s="184"/>
      <c r="C166" s="184"/>
      <c r="D166" s="184"/>
    </row>
    <row r="167">
      <c r="B167" s="184"/>
      <c r="C167" s="184"/>
      <c r="D167" s="184"/>
    </row>
    <row r="168">
      <c r="B168" s="184"/>
      <c r="C168" s="184"/>
      <c r="D168" s="184"/>
    </row>
    <row r="169">
      <c r="B169" s="184"/>
      <c r="C169" s="184"/>
      <c r="D169" s="184"/>
    </row>
    <row r="170">
      <c r="B170" s="184"/>
      <c r="C170" s="184"/>
      <c r="D170" s="184"/>
    </row>
    <row r="171">
      <c r="B171" s="184"/>
      <c r="C171" s="184"/>
      <c r="D171" s="184"/>
    </row>
    <row r="172">
      <c r="B172" s="184"/>
      <c r="C172" s="184"/>
      <c r="D172" s="184"/>
    </row>
    <row r="173">
      <c r="B173" s="184"/>
      <c r="C173" s="184"/>
      <c r="D173" s="184"/>
    </row>
    <row r="174">
      <c r="B174" s="184"/>
      <c r="C174" s="184"/>
      <c r="D174" s="184"/>
    </row>
    <row r="175">
      <c r="B175" s="184"/>
      <c r="C175" s="184"/>
      <c r="D175" s="184"/>
    </row>
    <row r="176">
      <c r="B176" s="184"/>
      <c r="C176" s="184"/>
      <c r="D176" s="184"/>
    </row>
    <row r="177">
      <c r="B177" s="184"/>
      <c r="C177" s="184"/>
      <c r="D177" s="184"/>
    </row>
    <row r="178">
      <c r="B178" s="184"/>
      <c r="C178" s="184"/>
      <c r="D178" s="184"/>
    </row>
    <row r="179">
      <c r="B179" s="184"/>
      <c r="C179" s="184"/>
      <c r="D179" s="184"/>
    </row>
    <row r="180">
      <c r="B180" s="184"/>
      <c r="C180" s="184"/>
      <c r="D180" s="184"/>
    </row>
    <row r="181">
      <c r="B181" s="184"/>
      <c r="C181" s="184"/>
      <c r="D181" s="184"/>
    </row>
    <row r="182">
      <c r="B182" s="184"/>
      <c r="C182" s="184"/>
      <c r="D182" s="184"/>
    </row>
    <row r="183">
      <c r="B183" s="184"/>
      <c r="C183" s="184"/>
      <c r="D183" s="184"/>
    </row>
    <row r="184">
      <c r="B184" s="184"/>
      <c r="C184" s="184"/>
      <c r="D184" s="184"/>
    </row>
    <row r="185">
      <c r="B185" s="184"/>
      <c r="C185" s="184"/>
      <c r="D185" s="184"/>
    </row>
    <row r="186">
      <c r="B186" s="184"/>
      <c r="C186" s="184"/>
      <c r="D186" s="184"/>
    </row>
    <row r="187">
      <c r="B187" s="184"/>
      <c r="C187" s="184"/>
      <c r="D187" s="184"/>
    </row>
    <row r="188">
      <c r="B188" s="184"/>
      <c r="C188" s="184"/>
      <c r="D188" s="184"/>
    </row>
    <row r="189">
      <c r="B189" s="184"/>
      <c r="C189" s="184"/>
      <c r="D189" s="184"/>
    </row>
    <row r="190">
      <c r="B190" s="184"/>
      <c r="C190" s="184"/>
      <c r="D190" s="184"/>
    </row>
    <row r="191">
      <c r="B191" s="184"/>
      <c r="C191" s="184"/>
      <c r="D191" s="184"/>
    </row>
    <row r="192">
      <c r="B192" s="184"/>
      <c r="C192" s="184"/>
      <c r="D192" s="184"/>
    </row>
    <row r="193">
      <c r="B193" s="184"/>
      <c r="C193" s="184"/>
      <c r="D193" s="184"/>
    </row>
    <row r="194">
      <c r="B194" s="184"/>
      <c r="C194" s="184"/>
      <c r="D194" s="184"/>
    </row>
    <row r="195">
      <c r="B195" s="184"/>
      <c r="C195" s="184"/>
      <c r="D195" s="184"/>
    </row>
    <row r="196">
      <c r="B196" s="184"/>
      <c r="C196" s="184"/>
      <c r="D196" s="184"/>
    </row>
    <row r="197">
      <c r="B197" s="184"/>
      <c r="C197" s="184"/>
      <c r="D197" s="184"/>
    </row>
    <row r="198">
      <c r="B198" s="184"/>
      <c r="C198" s="184"/>
      <c r="D198" s="184"/>
    </row>
    <row r="199">
      <c r="B199" s="184"/>
      <c r="C199" s="184"/>
      <c r="D199" s="184"/>
    </row>
    <row r="200">
      <c r="B200" s="184"/>
      <c r="C200" s="184"/>
      <c r="D200" s="184"/>
    </row>
    <row r="201">
      <c r="B201" s="184"/>
      <c r="C201" s="184"/>
      <c r="D201" s="184"/>
    </row>
    <row r="202">
      <c r="B202" s="184"/>
      <c r="C202" s="184"/>
      <c r="D202" s="184"/>
    </row>
    <row r="203">
      <c r="B203" s="184"/>
      <c r="C203" s="184"/>
      <c r="D203" s="184"/>
    </row>
    <row r="204">
      <c r="B204" s="184"/>
      <c r="C204" s="184"/>
      <c r="D204" s="184"/>
    </row>
    <row r="205">
      <c r="B205" s="184"/>
      <c r="C205" s="184"/>
      <c r="D205" s="184"/>
    </row>
    <row r="206">
      <c r="B206" s="184"/>
      <c r="C206" s="184"/>
      <c r="D206" s="184"/>
    </row>
    <row r="207">
      <c r="B207" s="184"/>
      <c r="C207" s="184"/>
      <c r="D207" s="184"/>
    </row>
    <row r="208">
      <c r="B208" s="184"/>
      <c r="C208" s="184"/>
      <c r="D208" s="184"/>
    </row>
    <row r="209">
      <c r="B209" s="184"/>
      <c r="C209" s="184"/>
      <c r="D209" s="184"/>
    </row>
    <row r="210">
      <c r="B210" s="184"/>
      <c r="C210" s="184"/>
      <c r="D210" s="184"/>
    </row>
    <row r="211">
      <c r="B211" s="184"/>
      <c r="C211" s="184"/>
      <c r="D211" s="184"/>
    </row>
    <row r="212">
      <c r="B212" s="184"/>
      <c r="C212" s="184"/>
      <c r="D212" s="184"/>
    </row>
    <row r="213">
      <c r="B213" s="184"/>
      <c r="C213" s="184"/>
      <c r="D213" s="184"/>
    </row>
    <row r="214">
      <c r="B214" s="184"/>
      <c r="C214" s="184"/>
      <c r="D214" s="184"/>
    </row>
    <row r="215">
      <c r="B215" s="184"/>
      <c r="C215" s="184"/>
      <c r="D215" s="184"/>
    </row>
    <row r="216">
      <c r="B216" s="184"/>
      <c r="C216" s="184"/>
      <c r="D216" s="184"/>
    </row>
    <row r="217">
      <c r="B217" s="184"/>
      <c r="C217" s="184"/>
      <c r="D217" s="184"/>
    </row>
    <row r="218">
      <c r="B218" s="184"/>
      <c r="C218" s="184"/>
      <c r="D218" s="184"/>
    </row>
    <row r="219">
      <c r="B219" s="184"/>
      <c r="C219" s="184"/>
      <c r="D219" s="184"/>
    </row>
    <row r="220">
      <c r="B220" s="184"/>
      <c r="C220" s="184"/>
      <c r="D220" s="184"/>
    </row>
    <row r="221">
      <c r="B221" s="184"/>
      <c r="C221" s="184"/>
      <c r="D221" s="184"/>
    </row>
    <row r="222">
      <c r="B222" s="184"/>
      <c r="C222" s="184"/>
      <c r="D222" s="184"/>
    </row>
    <row r="223">
      <c r="B223" s="184"/>
      <c r="C223" s="184"/>
      <c r="D223" s="184"/>
    </row>
    <row r="224">
      <c r="B224" s="184"/>
      <c r="C224" s="184"/>
      <c r="D224" s="184"/>
    </row>
    <row r="225">
      <c r="B225" s="184"/>
      <c r="C225" s="184"/>
      <c r="D225" s="184"/>
    </row>
    <row r="226">
      <c r="B226" s="184"/>
      <c r="C226" s="184"/>
      <c r="D226" s="184"/>
    </row>
    <row r="227">
      <c r="B227" s="184"/>
      <c r="C227" s="184"/>
      <c r="D227" s="184"/>
    </row>
    <row r="228">
      <c r="B228" s="184"/>
      <c r="C228" s="184"/>
      <c r="D228" s="184"/>
    </row>
    <row r="229">
      <c r="B229" s="184"/>
      <c r="C229" s="184"/>
      <c r="D229" s="184"/>
    </row>
    <row r="230">
      <c r="B230" s="184"/>
      <c r="C230" s="184"/>
      <c r="D230" s="184"/>
    </row>
    <row r="231">
      <c r="B231" s="184"/>
      <c r="C231" s="184"/>
      <c r="D231" s="184"/>
    </row>
    <row r="232">
      <c r="B232" s="184"/>
      <c r="C232" s="184"/>
      <c r="D232" s="184"/>
    </row>
    <row r="233">
      <c r="B233" s="184"/>
      <c r="C233" s="184"/>
      <c r="D233" s="184"/>
    </row>
    <row r="234">
      <c r="B234" s="184"/>
      <c r="C234" s="184"/>
      <c r="D234" s="184"/>
    </row>
    <row r="235">
      <c r="B235" s="184"/>
      <c r="C235" s="184"/>
      <c r="D235" s="184"/>
    </row>
    <row r="236">
      <c r="B236" s="184"/>
      <c r="C236" s="184"/>
      <c r="D236" s="184"/>
    </row>
    <row r="237">
      <c r="B237" s="184"/>
      <c r="C237" s="184"/>
      <c r="D237" s="184"/>
    </row>
    <row r="238">
      <c r="B238" s="184"/>
      <c r="C238" s="184"/>
      <c r="D238" s="184"/>
    </row>
    <row r="239">
      <c r="B239" s="184"/>
      <c r="C239" s="184"/>
      <c r="D239" s="184"/>
    </row>
    <row r="240">
      <c r="B240" s="184"/>
      <c r="C240" s="184"/>
      <c r="D240" s="184"/>
    </row>
    <row r="241">
      <c r="B241" s="184"/>
      <c r="C241" s="184"/>
      <c r="D241" s="184"/>
    </row>
    <row r="242">
      <c r="B242" s="184"/>
      <c r="C242" s="184"/>
      <c r="D242" s="184"/>
    </row>
    <row r="243">
      <c r="B243" s="184"/>
      <c r="C243" s="184"/>
      <c r="D243" s="184"/>
    </row>
    <row r="244">
      <c r="B244" s="184"/>
      <c r="C244" s="184"/>
      <c r="D244" s="184"/>
    </row>
    <row r="245">
      <c r="B245" s="184"/>
      <c r="C245" s="184"/>
      <c r="D245" s="184"/>
    </row>
    <row r="246">
      <c r="B246" s="184"/>
      <c r="C246" s="184"/>
      <c r="D246" s="184"/>
    </row>
    <row r="247">
      <c r="B247" s="184"/>
      <c r="C247" s="184"/>
      <c r="D247" s="184"/>
    </row>
    <row r="248">
      <c r="B248" s="184"/>
      <c r="C248" s="184"/>
      <c r="D248" s="184"/>
    </row>
    <row r="249">
      <c r="B249" s="184"/>
      <c r="C249" s="184"/>
      <c r="D249" s="184"/>
    </row>
    <row r="250">
      <c r="B250" s="184"/>
      <c r="C250" s="184"/>
      <c r="D250" s="184"/>
    </row>
    <row r="251">
      <c r="B251" s="184"/>
      <c r="C251" s="184"/>
      <c r="D251" s="184"/>
    </row>
    <row r="252">
      <c r="B252" s="184"/>
      <c r="C252" s="184"/>
      <c r="D252" s="184"/>
    </row>
    <row r="253">
      <c r="B253" s="184"/>
      <c r="C253" s="184"/>
      <c r="D253" s="184"/>
    </row>
    <row r="254">
      <c r="B254" s="184"/>
      <c r="C254" s="184"/>
      <c r="D254" s="184"/>
    </row>
    <row r="255">
      <c r="B255" s="184"/>
      <c r="C255" s="184"/>
      <c r="D255" s="184"/>
    </row>
    <row r="256">
      <c r="B256" s="184"/>
      <c r="C256" s="184"/>
      <c r="D256" s="184"/>
    </row>
    <row r="257">
      <c r="B257" s="184"/>
      <c r="C257" s="184"/>
      <c r="D257" s="184"/>
    </row>
    <row r="258">
      <c r="B258" s="184"/>
      <c r="C258" s="184"/>
      <c r="D258" s="184"/>
    </row>
    <row r="259">
      <c r="B259" s="184"/>
      <c r="C259" s="184"/>
      <c r="D259" s="184"/>
    </row>
    <row r="260">
      <c r="B260" s="184"/>
      <c r="C260" s="184"/>
      <c r="D260" s="184"/>
    </row>
    <row r="261">
      <c r="B261" s="184"/>
      <c r="C261" s="184"/>
      <c r="D261" s="184"/>
    </row>
    <row r="262">
      <c r="B262" s="184"/>
      <c r="C262" s="184"/>
      <c r="D262" s="184"/>
    </row>
    <row r="263">
      <c r="B263" s="184"/>
      <c r="C263" s="184"/>
      <c r="D263" s="184"/>
    </row>
    <row r="264">
      <c r="B264" s="184"/>
      <c r="C264" s="184"/>
      <c r="D264" s="184"/>
    </row>
    <row r="265">
      <c r="B265" s="184"/>
      <c r="C265" s="184"/>
      <c r="D265" s="184"/>
    </row>
    <row r="266">
      <c r="B266" s="184"/>
      <c r="C266" s="184"/>
      <c r="D266" s="184"/>
    </row>
    <row r="267">
      <c r="B267" s="184"/>
      <c r="C267" s="184"/>
      <c r="D267" s="184"/>
    </row>
    <row r="268">
      <c r="B268" s="184"/>
      <c r="C268" s="184"/>
      <c r="D268" s="184"/>
    </row>
    <row r="269">
      <c r="B269" s="184"/>
      <c r="C269" s="184"/>
      <c r="D269" s="184"/>
    </row>
    <row r="270">
      <c r="B270" s="184"/>
      <c r="C270" s="184"/>
      <c r="D270" s="184"/>
    </row>
    <row r="271">
      <c r="B271" s="184"/>
      <c r="C271" s="184"/>
      <c r="D271" s="184"/>
    </row>
    <row r="272">
      <c r="B272" s="184"/>
      <c r="C272" s="184"/>
      <c r="D272" s="184"/>
    </row>
    <row r="273">
      <c r="B273" s="184"/>
      <c r="C273" s="184"/>
      <c r="D273" s="184"/>
    </row>
    <row r="274">
      <c r="B274" s="184"/>
      <c r="C274" s="184"/>
      <c r="D274" s="184"/>
    </row>
    <row r="275">
      <c r="B275" s="184"/>
      <c r="C275" s="184"/>
      <c r="D275" s="184"/>
    </row>
    <row r="276">
      <c r="B276" s="184"/>
      <c r="C276" s="184"/>
      <c r="D276" s="184"/>
    </row>
    <row r="277">
      <c r="B277" s="184"/>
      <c r="C277" s="184"/>
      <c r="D277" s="184"/>
    </row>
    <row r="278">
      <c r="B278" s="184"/>
      <c r="C278" s="184"/>
      <c r="D278" s="184"/>
    </row>
    <row r="279">
      <c r="B279" s="184"/>
      <c r="C279" s="184"/>
      <c r="D279" s="184"/>
    </row>
    <row r="280">
      <c r="B280" s="184"/>
      <c r="C280" s="184"/>
      <c r="D280" s="184"/>
    </row>
    <row r="281">
      <c r="B281" s="184"/>
      <c r="C281" s="184"/>
      <c r="D281" s="184"/>
    </row>
    <row r="282">
      <c r="B282" s="184"/>
      <c r="C282" s="184"/>
      <c r="D282" s="184"/>
    </row>
    <row r="283">
      <c r="B283" s="184"/>
      <c r="C283" s="184"/>
      <c r="D283" s="184"/>
    </row>
    <row r="284">
      <c r="B284" s="184"/>
      <c r="C284" s="184"/>
      <c r="D284" s="184"/>
    </row>
    <row r="285">
      <c r="B285" s="184"/>
      <c r="C285" s="184"/>
      <c r="D285" s="184"/>
    </row>
    <row r="286">
      <c r="B286" s="184"/>
      <c r="C286" s="184"/>
      <c r="D286" s="184"/>
    </row>
    <row r="287">
      <c r="B287" s="184"/>
      <c r="C287" s="184"/>
      <c r="D287" s="184"/>
    </row>
    <row r="288">
      <c r="B288" s="184"/>
      <c r="C288" s="184"/>
      <c r="D288" s="184"/>
    </row>
    <row r="289">
      <c r="B289" s="184"/>
      <c r="C289" s="184"/>
      <c r="D289" s="184"/>
    </row>
    <row r="290">
      <c r="B290" s="184"/>
      <c r="C290" s="184"/>
      <c r="D290" s="184"/>
    </row>
    <row r="291">
      <c r="B291" s="184"/>
      <c r="C291" s="184"/>
      <c r="D291" s="184"/>
    </row>
    <row r="292">
      <c r="B292" s="184"/>
      <c r="C292" s="184"/>
      <c r="D292" s="184"/>
    </row>
    <row r="293">
      <c r="B293" s="184"/>
      <c r="C293" s="184"/>
      <c r="D293" s="184"/>
    </row>
    <row r="294">
      <c r="B294" s="184"/>
      <c r="C294" s="184"/>
      <c r="D294" s="184"/>
    </row>
    <row r="295">
      <c r="B295" s="184"/>
      <c r="C295" s="184"/>
      <c r="D295" s="184"/>
    </row>
    <row r="296">
      <c r="B296" s="184"/>
      <c r="C296" s="184"/>
      <c r="D296" s="184"/>
    </row>
    <row r="297">
      <c r="B297" s="184"/>
      <c r="C297" s="184"/>
      <c r="D297" s="184"/>
    </row>
    <row r="298">
      <c r="B298" s="184"/>
      <c r="C298" s="184"/>
      <c r="D298" s="184"/>
    </row>
    <row r="299">
      <c r="B299" s="184"/>
      <c r="C299" s="184"/>
      <c r="D299" s="184"/>
    </row>
    <row r="300">
      <c r="B300" s="184"/>
      <c r="C300" s="184"/>
      <c r="D300" s="184"/>
    </row>
    <row r="301">
      <c r="B301" s="184"/>
      <c r="C301" s="184"/>
      <c r="D301" s="184"/>
    </row>
    <row r="302">
      <c r="B302" s="184"/>
      <c r="C302" s="184"/>
      <c r="D302" s="184"/>
    </row>
    <row r="303">
      <c r="B303" s="184"/>
      <c r="C303" s="184"/>
      <c r="D303" s="184"/>
    </row>
    <row r="304">
      <c r="B304" s="184"/>
      <c r="C304" s="184"/>
      <c r="D304" s="184"/>
    </row>
    <row r="305">
      <c r="B305" s="184"/>
      <c r="C305" s="184"/>
      <c r="D305" s="184"/>
    </row>
    <row r="306">
      <c r="B306" s="184"/>
      <c r="C306" s="184"/>
      <c r="D306" s="184"/>
    </row>
    <row r="307">
      <c r="B307" s="184"/>
      <c r="C307" s="184"/>
      <c r="D307" s="184"/>
    </row>
    <row r="308">
      <c r="B308" s="184"/>
      <c r="C308" s="184"/>
      <c r="D308" s="184"/>
    </row>
    <row r="309">
      <c r="B309" s="184"/>
      <c r="C309" s="184"/>
      <c r="D309" s="184"/>
    </row>
    <row r="310">
      <c r="B310" s="184"/>
      <c r="C310" s="184"/>
      <c r="D310" s="184"/>
    </row>
    <row r="311">
      <c r="B311" s="184"/>
      <c r="C311" s="184"/>
      <c r="D311" s="184"/>
    </row>
    <row r="312">
      <c r="B312" s="184"/>
      <c r="C312" s="184"/>
      <c r="D312" s="184"/>
    </row>
    <row r="313">
      <c r="B313" s="184"/>
      <c r="C313" s="184"/>
      <c r="D313" s="184"/>
    </row>
    <row r="314">
      <c r="B314" s="184"/>
      <c r="C314" s="184"/>
      <c r="D314" s="184"/>
    </row>
    <row r="315">
      <c r="B315" s="184"/>
      <c r="C315" s="184"/>
      <c r="D315" s="184"/>
    </row>
    <row r="316">
      <c r="B316" s="184"/>
      <c r="C316" s="184"/>
      <c r="D316" s="184"/>
    </row>
    <row r="317">
      <c r="B317" s="184"/>
      <c r="C317" s="184"/>
      <c r="D317" s="184"/>
    </row>
    <row r="318">
      <c r="B318" s="184"/>
      <c r="C318" s="184"/>
      <c r="D318" s="184"/>
    </row>
    <row r="319">
      <c r="B319" s="184"/>
      <c r="C319" s="184"/>
      <c r="D319" s="184"/>
    </row>
    <row r="320">
      <c r="B320" s="184"/>
      <c r="C320" s="184"/>
      <c r="D320" s="184"/>
    </row>
    <row r="321">
      <c r="B321" s="184"/>
      <c r="C321" s="184"/>
      <c r="D321" s="184"/>
    </row>
    <row r="322">
      <c r="B322" s="184"/>
      <c r="C322" s="184"/>
      <c r="D322" s="184"/>
    </row>
    <row r="323">
      <c r="B323" s="184"/>
      <c r="C323" s="184"/>
      <c r="D323" s="184"/>
    </row>
    <row r="324">
      <c r="B324" s="184"/>
      <c r="C324" s="184"/>
      <c r="D324" s="184"/>
    </row>
    <row r="325">
      <c r="B325" s="184"/>
      <c r="C325" s="184"/>
      <c r="D325" s="184"/>
    </row>
    <row r="326">
      <c r="B326" s="184"/>
      <c r="C326" s="184"/>
      <c r="D326" s="184"/>
    </row>
    <row r="327">
      <c r="B327" s="184"/>
      <c r="C327" s="184"/>
      <c r="D327" s="184"/>
    </row>
    <row r="328">
      <c r="B328" s="184"/>
      <c r="C328" s="184"/>
      <c r="D328" s="184"/>
    </row>
    <row r="329">
      <c r="B329" s="184"/>
      <c r="C329" s="184"/>
      <c r="D329" s="184"/>
    </row>
    <row r="330">
      <c r="B330" s="184"/>
      <c r="C330" s="184"/>
      <c r="D330" s="184"/>
    </row>
    <row r="331">
      <c r="B331" s="184"/>
      <c r="C331" s="184"/>
      <c r="D331" s="184"/>
    </row>
    <row r="332">
      <c r="B332" s="184"/>
      <c r="C332" s="184"/>
      <c r="D332" s="184"/>
    </row>
    <row r="333">
      <c r="B333" s="184"/>
      <c r="C333" s="184"/>
      <c r="D333" s="184"/>
    </row>
    <row r="334">
      <c r="B334" s="184"/>
      <c r="C334" s="184"/>
      <c r="D334" s="184"/>
    </row>
    <row r="335">
      <c r="B335" s="184"/>
      <c r="C335" s="184"/>
      <c r="D335" s="184"/>
    </row>
    <row r="336">
      <c r="B336" s="184"/>
      <c r="C336" s="184"/>
      <c r="D336" s="184"/>
    </row>
    <row r="337">
      <c r="B337" s="184"/>
      <c r="C337" s="184"/>
      <c r="D337" s="184"/>
    </row>
    <row r="338">
      <c r="B338" s="184"/>
      <c r="C338" s="184"/>
      <c r="D338" s="184"/>
    </row>
    <row r="339">
      <c r="B339" s="184"/>
      <c r="C339" s="184"/>
      <c r="D339" s="184"/>
    </row>
    <row r="340">
      <c r="B340" s="184"/>
      <c r="C340" s="184"/>
      <c r="D340" s="184"/>
    </row>
    <row r="341">
      <c r="B341" s="184"/>
      <c r="C341" s="184"/>
      <c r="D341" s="184"/>
    </row>
    <row r="342">
      <c r="B342" s="184"/>
      <c r="C342" s="184"/>
      <c r="D342" s="184"/>
    </row>
    <row r="343">
      <c r="B343" s="184"/>
      <c r="C343" s="184"/>
      <c r="D343" s="184"/>
    </row>
    <row r="344">
      <c r="B344" s="184"/>
      <c r="C344" s="184"/>
      <c r="D344" s="184"/>
    </row>
    <row r="345">
      <c r="B345" s="184"/>
      <c r="C345" s="184"/>
      <c r="D345" s="184"/>
    </row>
    <row r="346">
      <c r="B346" s="184"/>
      <c r="C346" s="184"/>
      <c r="D346" s="18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11" max="11" width="12.63"/>
    <col customWidth="1" min="12" max="12" width="13.88"/>
  </cols>
  <sheetData>
    <row r="1">
      <c r="A1" s="185" t="s">
        <v>146</v>
      </c>
      <c r="B1" s="186" t="s">
        <v>147</v>
      </c>
      <c r="C1" s="185" t="s">
        <v>148</v>
      </c>
      <c r="D1" s="186" t="s">
        <v>149</v>
      </c>
      <c r="E1" s="186" t="s">
        <v>150</v>
      </c>
      <c r="F1" s="186" t="s">
        <v>151</v>
      </c>
      <c r="G1" s="186" t="s">
        <v>152</v>
      </c>
      <c r="H1" s="186" t="s">
        <v>153</v>
      </c>
      <c r="I1" s="186" t="s">
        <v>154</v>
      </c>
      <c r="J1" s="186" t="s">
        <v>155</v>
      </c>
      <c r="K1" s="186" t="s">
        <v>156</v>
      </c>
      <c r="L1" s="186" t="s">
        <v>157</v>
      </c>
      <c r="M1" s="187" t="s">
        <v>158</v>
      </c>
    </row>
    <row r="2">
      <c r="A2" s="188" t="s">
        <v>159</v>
      </c>
      <c r="B2" s="189">
        <v>0.01</v>
      </c>
      <c r="C2" s="190">
        <v>3.0E8</v>
      </c>
      <c r="D2" s="191">
        <f t="shared" ref="D2:M2" si="1">C2*(1+$B2)</f>
        <v>303000000</v>
      </c>
      <c r="E2" s="191">
        <f t="shared" si="1"/>
        <v>306030000</v>
      </c>
      <c r="F2" s="191">
        <f t="shared" si="1"/>
        <v>309090300</v>
      </c>
      <c r="G2" s="191">
        <f t="shared" si="1"/>
        <v>312181203</v>
      </c>
      <c r="H2" s="191">
        <f t="shared" si="1"/>
        <v>315303015</v>
      </c>
      <c r="I2" s="191">
        <f t="shared" si="1"/>
        <v>318456045.2</v>
      </c>
      <c r="J2" s="191">
        <f t="shared" si="1"/>
        <v>321640605.6</v>
      </c>
      <c r="K2" s="191">
        <f t="shared" si="1"/>
        <v>324857011.7</v>
      </c>
      <c r="L2" s="191">
        <f t="shared" si="1"/>
        <v>328105581.8</v>
      </c>
      <c r="M2" s="192">
        <f t="shared" si="1"/>
        <v>331386637.6</v>
      </c>
    </row>
    <row r="3">
      <c r="A3" s="188" t="s">
        <v>160</v>
      </c>
      <c r="B3" s="189">
        <v>0.03</v>
      </c>
      <c r="C3" s="190">
        <v>3.0E8</v>
      </c>
      <c r="D3" s="191">
        <f t="shared" ref="D3:M3" si="2">C3*(1+$B3)</f>
        <v>309000000</v>
      </c>
      <c r="E3" s="191">
        <f t="shared" si="2"/>
        <v>318270000</v>
      </c>
      <c r="F3" s="191">
        <f t="shared" si="2"/>
        <v>327818100</v>
      </c>
      <c r="G3" s="191">
        <f t="shared" si="2"/>
        <v>337652643</v>
      </c>
      <c r="H3" s="191">
        <f t="shared" si="2"/>
        <v>347782222.3</v>
      </c>
      <c r="I3" s="191">
        <f t="shared" si="2"/>
        <v>358215689</v>
      </c>
      <c r="J3" s="191">
        <f t="shared" si="2"/>
        <v>368962159.6</v>
      </c>
      <c r="K3" s="191">
        <f t="shared" si="2"/>
        <v>380031024.4</v>
      </c>
      <c r="L3" s="191">
        <f t="shared" si="2"/>
        <v>391431955.1</v>
      </c>
      <c r="M3" s="192">
        <f t="shared" si="2"/>
        <v>403174913.8</v>
      </c>
    </row>
    <row r="4">
      <c r="A4" s="188" t="s">
        <v>161</v>
      </c>
      <c r="B4" s="189">
        <v>0.05</v>
      </c>
      <c r="C4" s="190">
        <v>3.0E8</v>
      </c>
      <c r="D4" s="191">
        <f t="shared" ref="D4:M4" si="3">C4*(1+$B4)</f>
        <v>315000000</v>
      </c>
      <c r="E4" s="191">
        <f t="shared" si="3"/>
        <v>330750000</v>
      </c>
      <c r="F4" s="191">
        <f t="shared" si="3"/>
        <v>347287500</v>
      </c>
      <c r="G4" s="191">
        <f t="shared" si="3"/>
        <v>364651875</v>
      </c>
      <c r="H4" s="191">
        <f t="shared" si="3"/>
        <v>382884468.8</v>
      </c>
      <c r="I4" s="191">
        <f t="shared" si="3"/>
        <v>402028692.2</v>
      </c>
      <c r="J4" s="191">
        <f t="shared" si="3"/>
        <v>422130126.8</v>
      </c>
      <c r="K4" s="191">
        <f t="shared" si="3"/>
        <v>443236633.1</v>
      </c>
      <c r="L4" s="191">
        <f t="shared" si="3"/>
        <v>465398464.8</v>
      </c>
      <c r="M4" s="192">
        <f t="shared" si="3"/>
        <v>488668388</v>
      </c>
    </row>
    <row r="5">
      <c r="A5" s="188" t="s">
        <v>162</v>
      </c>
      <c r="B5" s="189">
        <v>0.08</v>
      </c>
      <c r="C5" s="190">
        <v>3.0E8</v>
      </c>
      <c r="D5" s="191">
        <f t="shared" ref="D5:M5" si="4">C5*(1+$B5)</f>
        <v>324000000</v>
      </c>
      <c r="E5" s="191">
        <f t="shared" si="4"/>
        <v>349920000</v>
      </c>
      <c r="F5" s="191">
        <f t="shared" si="4"/>
        <v>377913600</v>
      </c>
      <c r="G5" s="191">
        <f t="shared" si="4"/>
        <v>408146688</v>
      </c>
      <c r="H5" s="191">
        <f t="shared" si="4"/>
        <v>440798423</v>
      </c>
      <c r="I5" s="191">
        <f t="shared" si="4"/>
        <v>476062296.9</v>
      </c>
      <c r="J5" s="191">
        <f t="shared" si="4"/>
        <v>514147280.6</v>
      </c>
      <c r="K5" s="191">
        <f t="shared" si="4"/>
        <v>555279063.1</v>
      </c>
      <c r="L5" s="191">
        <f t="shared" si="4"/>
        <v>599701388.1</v>
      </c>
      <c r="M5" s="192">
        <f t="shared" si="4"/>
        <v>647677499.2</v>
      </c>
    </row>
    <row r="6">
      <c r="A6" s="193" t="s">
        <v>163</v>
      </c>
      <c r="B6" s="194">
        <v>0.15</v>
      </c>
      <c r="C6" s="195">
        <v>3.0E8</v>
      </c>
      <c r="D6" s="196">
        <f t="shared" ref="D6:M6" si="5">C6*(1+$B6)</f>
        <v>345000000</v>
      </c>
      <c r="E6" s="196">
        <f t="shared" si="5"/>
        <v>396750000</v>
      </c>
      <c r="F6" s="196">
        <f t="shared" si="5"/>
        <v>456262500</v>
      </c>
      <c r="G6" s="196">
        <f t="shared" si="5"/>
        <v>524701875</v>
      </c>
      <c r="H6" s="196">
        <f t="shared" si="5"/>
        <v>603407156.3</v>
      </c>
      <c r="I6" s="196">
        <f t="shared" si="5"/>
        <v>693918229.7</v>
      </c>
      <c r="J6" s="196">
        <f t="shared" si="5"/>
        <v>798005964.1</v>
      </c>
      <c r="K6" s="196">
        <f t="shared" si="5"/>
        <v>917706858.8</v>
      </c>
      <c r="L6" s="196">
        <f t="shared" si="5"/>
        <v>1055362888</v>
      </c>
      <c r="M6" s="197">
        <f t="shared" si="5"/>
        <v>1213667321</v>
      </c>
    </row>
    <row r="7">
      <c r="A7" s="198"/>
      <c r="B7" s="198"/>
      <c r="C7" s="198"/>
      <c r="D7" s="198"/>
      <c r="E7" s="198"/>
      <c r="F7" s="198"/>
      <c r="G7" s="198"/>
      <c r="H7" s="198"/>
      <c r="I7" s="198"/>
      <c r="J7" s="198"/>
      <c r="K7" s="198"/>
      <c r="L7" s="198"/>
      <c r="M7" s="198"/>
    </row>
    <row r="8">
      <c r="A8" s="199" t="s">
        <v>164</v>
      </c>
      <c r="B8" s="200">
        <v>0.085</v>
      </c>
      <c r="C8" s="201" t="s">
        <v>165</v>
      </c>
      <c r="D8" s="202" t="s">
        <v>166</v>
      </c>
      <c r="E8" s="203"/>
      <c r="F8" s="203"/>
      <c r="G8" s="203"/>
      <c r="H8" s="203"/>
      <c r="I8" s="203"/>
      <c r="J8" s="203"/>
      <c r="K8" s="203"/>
      <c r="L8" s="203"/>
      <c r="M8" s="198"/>
    </row>
    <row r="9">
      <c r="A9" s="199" t="s">
        <v>167</v>
      </c>
      <c r="B9" s="204">
        <f>Model!J30</f>
        <v>48497477</v>
      </c>
      <c r="C9" s="198"/>
      <c r="D9" s="202" t="s">
        <v>168</v>
      </c>
      <c r="E9" s="198"/>
      <c r="F9" s="198"/>
      <c r="G9" s="198"/>
      <c r="H9" s="198"/>
      <c r="I9" s="198"/>
      <c r="J9" s="198"/>
      <c r="K9" s="198"/>
      <c r="L9" s="198"/>
      <c r="M9" s="198"/>
    </row>
    <row r="10">
      <c r="A10" s="199" t="s">
        <v>169</v>
      </c>
      <c r="B10" s="205">
        <v>0.03</v>
      </c>
      <c r="C10" s="206"/>
      <c r="D10" s="202" t="s">
        <v>170</v>
      </c>
      <c r="E10" s="206"/>
      <c r="F10" s="206"/>
      <c r="G10" s="206"/>
      <c r="H10" s="206"/>
      <c r="I10" s="206"/>
      <c r="J10" s="206"/>
      <c r="K10" s="206"/>
      <c r="L10" s="206"/>
      <c r="M10" s="198"/>
    </row>
    <row r="11">
      <c r="A11" s="199" t="s">
        <v>171</v>
      </c>
      <c r="B11" s="207">
        <v>10.0</v>
      </c>
      <c r="C11" s="198"/>
      <c r="D11" s="198"/>
      <c r="E11" s="198"/>
      <c r="F11" s="198"/>
      <c r="G11" s="198"/>
      <c r="H11" s="198"/>
      <c r="I11" s="198"/>
      <c r="J11" s="198"/>
      <c r="K11" s="198"/>
      <c r="L11" s="198"/>
      <c r="M11" s="198"/>
    </row>
    <row r="12">
      <c r="A12" s="198"/>
      <c r="B12" s="198"/>
      <c r="C12" s="198"/>
      <c r="D12" s="198"/>
      <c r="E12" s="198"/>
      <c r="F12" s="198"/>
      <c r="G12" s="198"/>
      <c r="H12" s="198"/>
      <c r="I12" s="198"/>
      <c r="J12" s="198"/>
      <c r="K12" s="198"/>
      <c r="L12" s="198"/>
      <c r="M12" s="198"/>
    </row>
    <row r="13">
      <c r="A13" s="208" t="s">
        <v>172</v>
      </c>
      <c r="B13" s="209"/>
      <c r="C13" s="198"/>
      <c r="D13" s="198"/>
      <c r="E13" s="198"/>
      <c r="F13" s="198"/>
      <c r="G13" s="198"/>
      <c r="H13" s="198"/>
      <c r="I13" s="198"/>
      <c r="J13" s="198"/>
      <c r="K13" s="198"/>
      <c r="L13" s="198"/>
      <c r="M13" s="198"/>
    </row>
    <row r="14">
      <c r="A14" s="188" t="s">
        <v>159</v>
      </c>
      <c r="B14" s="192">
        <f t="shared" ref="B14:B18" si="6">((M2*(1+$B$10))/((1+$B$8-$B$10)))/((1+$B$8)^$B$11)</f>
        <v>143094313.6</v>
      </c>
      <c r="C14" s="198"/>
      <c r="D14" s="210" t="s">
        <v>173</v>
      </c>
      <c r="E14" s="210" t="s">
        <v>174</v>
      </c>
      <c r="F14" s="210" t="s">
        <v>175</v>
      </c>
      <c r="G14" s="198"/>
      <c r="H14" s="210" t="s">
        <v>176</v>
      </c>
      <c r="I14" s="198"/>
      <c r="J14" s="198"/>
      <c r="K14" s="198"/>
      <c r="L14" s="198"/>
      <c r="M14" s="198"/>
    </row>
    <row r="15">
      <c r="A15" s="188" t="s">
        <v>160</v>
      </c>
      <c r="B15" s="192">
        <f t="shared" si="6"/>
        <v>174092830</v>
      </c>
      <c r="C15" s="210" t="s">
        <v>177</v>
      </c>
      <c r="D15" s="211" t="s">
        <v>178</v>
      </c>
      <c r="E15" s="202" t="s">
        <v>179</v>
      </c>
      <c r="F15" s="212" t="s">
        <v>180</v>
      </c>
      <c r="G15" s="202" t="s">
        <v>181</v>
      </c>
      <c r="H15" s="213" t="s">
        <v>182</v>
      </c>
      <c r="I15" s="202" t="s">
        <v>183</v>
      </c>
      <c r="J15" s="198"/>
      <c r="K15" s="198"/>
      <c r="L15" s="198"/>
      <c r="M15" s="198"/>
    </row>
    <row r="16">
      <c r="A16" s="188" t="s">
        <v>161</v>
      </c>
      <c r="B16" s="192">
        <f t="shared" si="6"/>
        <v>211009315.5</v>
      </c>
      <c r="C16" s="198"/>
      <c r="D16" s="198"/>
      <c r="E16" s="198"/>
      <c r="F16" s="198"/>
      <c r="G16" s="198"/>
      <c r="H16" s="198"/>
      <c r="I16" s="198"/>
      <c r="J16" s="198"/>
      <c r="K16" s="198"/>
      <c r="L16" s="198"/>
      <c r="M16" s="198"/>
    </row>
    <row r="17">
      <c r="A17" s="188" t="s">
        <v>162</v>
      </c>
      <c r="B17" s="192">
        <f t="shared" si="6"/>
        <v>279670199.9</v>
      </c>
      <c r="C17" s="210" t="s">
        <v>184</v>
      </c>
      <c r="D17" s="202" t="s">
        <v>185</v>
      </c>
      <c r="E17" s="198"/>
      <c r="F17" s="198"/>
      <c r="G17" s="198"/>
      <c r="H17" s="198"/>
      <c r="I17" s="198"/>
      <c r="J17" s="198"/>
      <c r="K17" s="198"/>
      <c r="L17" s="198"/>
      <c r="M17" s="198"/>
    </row>
    <row r="18">
      <c r="A18" s="193" t="s">
        <v>163</v>
      </c>
      <c r="B18" s="197">
        <f t="shared" si="6"/>
        <v>524067275.2</v>
      </c>
      <c r="C18" s="198"/>
      <c r="D18" s="198"/>
      <c r="E18" s="198"/>
      <c r="F18" s="198"/>
      <c r="G18" s="198"/>
      <c r="H18" s="198"/>
      <c r="I18" s="198"/>
      <c r="J18" s="198"/>
      <c r="K18" s="198"/>
      <c r="L18" s="198"/>
      <c r="M18" s="198"/>
    </row>
    <row r="19">
      <c r="A19" s="198"/>
      <c r="B19" s="198"/>
      <c r="C19" s="198"/>
      <c r="D19" s="198"/>
      <c r="E19" s="198"/>
      <c r="F19" s="198"/>
      <c r="G19" s="198"/>
      <c r="H19" s="198"/>
      <c r="I19" s="198"/>
      <c r="J19" s="198"/>
      <c r="K19" s="198"/>
      <c r="L19" s="198"/>
      <c r="M19" s="198"/>
    </row>
    <row r="20">
      <c r="A20" s="208" t="s">
        <v>186</v>
      </c>
      <c r="B20" s="214"/>
      <c r="C20" s="198"/>
      <c r="D20" s="198"/>
      <c r="E20" s="198"/>
      <c r="F20" s="198"/>
      <c r="G20" s="198"/>
      <c r="H20" s="198"/>
      <c r="I20" s="198"/>
      <c r="J20" s="198"/>
      <c r="K20" s="198"/>
      <c r="L20" s="198"/>
      <c r="M20" s="198"/>
    </row>
    <row r="21">
      <c r="A21" s="188" t="s">
        <v>159</v>
      </c>
      <c r="B21" s="192">
        <f t="shared" ref="B21:B25" si="7">NPV($B$8,D2:M2)</f>
        <v>2066224649</v>
      </c>
      <c r="C21" s="198"/>
      <c r="D21" s="198"/>
      <c r="E21" s="198"/>
      <c r="F21" s="198"/>
      <c r="G21" s="198"/>
      <c r="H21" s="198"/>
      <c r="I21" s="198"/>
      <c r="J21" s="198"/>
      <c r="K21" s="198"/>
      <c r="L21" s="198"/>
      <c r="M21" s="198"/>
    </row>
    <row r="22">
      <c r="A22" s="188" t="s">
        <v>160</v>
      </c>
      <c r="B22" s="192">
        <f t="shared" si="7"/>
        <v>2278764807</v>
      </c>
      <c r="C22" s="198"/>
      <c r="D22" s="198"/>
      <c r="E22" s="198"/>
      <c r="F22" s="198"/>
      <c r="G22" s="198"/>
      <c r="H22" s="198"/>
      <c r="I22" s="198"/>
      <c r="J22" s="198"/>
      <c r="K22" s="198"/>
      <c r="L22" s="198"/>
      <c r="M22" s="198"/>
    </row>
    <row r="23">
      <c r="A23" s="188" t="s">
        <v>161</v>
      </c>
      <c r="B23" s="192">
        <f t="shared" si="7"/>
        <v>2516072975</v>
      </c>
      <c r="C23" s="198"/>
      <c r="D23" s="198"/>
      <c r="E23" s="198"/>
      <c r="F23" s="198"/>
      <c r="G23" s="198"/>
      <c r="H23" s="198"/>
      <c r="I23" s="198"/>
      <c r="J23" s="198"/>
      <c r="K23" s="198"/>
      <c r="L23" s="198"/>
      <c r="M23" s="198"/>
    </row>
    <row r="24">
      <c r="A24" s="188" t="s">
        <v>162</v>
      </c>
      <c r="B24" s="192">
        <f t="shared" si="7"/>
        <v>2925004708</v>
      </c>
      <c r="C24" s="198"/>
      <c r="D24" s="198"/>
      <c r="E24" s="198"/>
      <c r="F24" s="198"/>
      <c r="G24" s="198"/>
      <c r="H24" s="198"/>
      <c r="I24" s="198"/>
      <c r="J24" s="198"/>
      <c r="K24" s="198"/>
      <c r="L24" s="198"/>
      <c r="M24" s="198"/>
    </row>
    <row r="25">
      <c r="A25" s="193" t="s">
        <v>163</v>
      </c>
      <c r="B25" s="197">
        <f t="shared" si="7"/>
        <v>4189314736</v>
      </c>
      <c r="C25" s="198"/>
      <c r="D25" s="198"/>
      <c r="E25" s="198"/>
      <c r="F25" s="198"/>
      <c r="G25" s="198"/>
      <c r="H25" s="198"/>
      <c r="I25" s="198"/>
      <c r="J25" s="198"/>
      <c r="K25" s="198"/>
      <c r="L25" s="198"/>
      <c r="M25" s="198"/>
    </row>
    <row r="26">
      <c r="A26" s="198"/>
      <c r="B26" s="215"/>
      <c r="C26" s="198"/>
      <c r="D26" s="198"/>
      <c r="E26" s="198"/>
      <c r="F26" s="198"/>
      <c r="G26" s="198"/>
      <c r="H26" s="198"/>
      <c r="I26" s="198"/>
      <c r="J26" s="198"/>
      <c r="K26" s="198"/>
      <c r="L26" s="198"/>
      <c r="M26" s="198"/>
    </row>
    <row r="27">
      <c r="A27" s="199" t="s">
        <v>187</v>
      </c>
      <c r="B27" s="191">
        <f>Main!M5-Main!M6</f>
        <v>36356000</v>
      </c>
      <c r="C27" s="198"/>
      <c r="D27" s="198"/>
      <c r="E27" s="198"/>
      <c r="F27" s="198"/>
      <c r="G27" s="198"/>
      <c r="H27" s="198"/>
      <c r="I27" s="198"/>
      <c r="J27" s="198"/>
      <c r="K27" s="198"/>
      <c r="L27" s="198"/>
      <c r="M27" s="198"/>
    </row>
    <row r="28">
      <c r="A28" s="198"/>
      <c r="B28" s="215"/>
      <c r="C28" s="198"/>
      <c r="D28" s="198"/>
      <c r="E28" s="198"/>
      <c r="F28" s="198"/>
      <c r="G28" s="198"/>
      <c r="H28" s="198"/>
      <c r="I28" s="198"/>
      <c r="J28" s="198"/>
      <c r="K28" s="198"/>
      <c r="L28" s="198"/>
      <c r="M28" s="198"/>
    </row>
    <row r="29">
      <c r="A29" s="208" t="s">
        <v>44</v>
      </c>
      <c r="B29" s="216"/>
      <c r="C29" s="198"/>
      <c r="D29" s="198"/>
      <c r="E29" s="198"/>
      <c r="F29" s="198"/>
      <c r="G29" s="198"/>
      <c r="H29" s="198"/>
      <c r="I29" s="198"/>
      <c r="J29" s="198"/>
      <c r="K29" s="198"/>
      <c r="L29" s="198"/>
      <c r="M29" s="198"/>
    </row>
    <row r="30">
      <c r="A30" s="188" t="s">
        <v>159</v>
      </c>
      <c r="B30" s="192">
        <f t="shared" ref="B30:B34" si="8">B21+B14</f>
        <v>2209318963</v>
      </c>
      <c r="C30" s="198"/>
      <c r="D30" s="198"/>
      <c r="E30" s="198"/>
      <c r="F30" s="198"/>
      <c r="G30" s="198"/>
      <c r="H30" s="198"/>
      <c r="I30" s="198"/>
      <c r="J30" s="198"/>
      <c r="K30" s="198"/>
      <c r="L30" s="198"/>
      <c r="M30" s="198"/>
    </row>
    <row r="31">
      <c r="A31" s="188" t="s">
        <v>160</v>
      </c>
      <c r="B31" s="192">
        <f t="shared" si="8"/>
        <v>2452857637</v>
      </c>
      <c r="C31" s="198"/>
      <c r="D31" s="198"/>
      <c r="E31" s="198"/>
      <c r="F31" s="198"/>
      <c r="G31" s="198"/>
      <c r="H31" s="198"/>
      <c r="I31" s="198"/>
      <c r="J31" s="198"/>
      <c r="K31" s="198"/>
      <c r="L31" s="198"/>
      <c r="M31" s="198"/>
    </row>
    <row r="32">
      <c r="A32" s="188" t="s">
        <v>161</v>
      </c>
      <c r="B32" s="192">
        <f t="shared" si="8"/>
        <v>2727082291</v>
      </c>
      <c r="C32" s="198"/>
      <c r="D32" s="198"/>
      <c r="E32" s="198"/>
      <c r="F32" s="198"/>
      <c r="G32" s="198"/>
      <c r="H32" s="198"/>
      <c r="I32" s="198"/>
      <c r="J32" s="198"/>
      <c r="K32" s="198"/>
      <c r="L32" s="198"/>
      <c r="M32" s="198"/>
    </row>
    <row r="33">
      <c r="A33" s="188" t="s">
        <v>162</v>
      </c>
      <c r="B33" s="192">
        <f t="shared" si="8"/>
        <v>3204674908</v>
      </c>
      <c r="C33" s="198"/>
      <c r="D33" s="198"/>
      <c r="E33" s="198"/>
      <c r="F33" s="198"/>
      <c r="G33" s="198"/>
      <c r="H33" s="198"/>
      <c r="I33" s="198"/>
      <c r="J33" s="198"/>
      <c r="K33" s="198"/>
      <c r="L33" s="198"/>
      <c r="M33" s="198"/>
    </row>
    <row r="34">
      <c r="A34" s="193" t="s">
        <v>163</v>
      </c>
      <c r="B34" s="197">
        <f t="shared" si="8"/>
        <v>4713382011</v>
      </c>
      <c r="C34" s="198"/>
      <c r="D34" s="198"/>
      <c r="E34" s="198"/>
      <c r="F34" s="198"/>
      <c r="G34" s="198"/>
      <c r="H34" s="198"/>
      <c r="I34" s="198"/>
      <c r="J34" s="198"/>
      <c r="K34" s="198"/>
      <c r="L34" s="198"/>
      <c r="M34" s="198"/>
    </row>
    <row r="35">
      <c r="A35" s="198"/>
      <c r="B35" s="215"/>
      <c r="C35" s="198"/>
      <c r="D35" s="198"/>
      <c r="E35" s="198"/>
      <c r="F35" s="198"/>
      <c r="G35" s="198"/>
      <c r="H35" s="198"/>
      <c r="I35" s="198"/>
      <c r="J35" s="198"/>
      <c r="K35" s="198"/>
      <c r="L35" s="198"/>
      <c r="M35" s="198"/>
    </row>
    <row r="36">
      <c r="A36" s="208" t="s">
        <v>188</v>
      </c>
      <c r="B36" s="216"/>
      <c r="C36" s="198"/>
      <c r="D36" s="198"/>
      <c r="E36" s="198"/>
      <c r="F36" s="198"/>
      <c r="G36" s="198"/>
      <c r="H36" s="198"/>
      <c r="I36" s="198"/>
      <c r="J36" s="198"/>
      <c r="K36" s="198"/>
      <c r="L36" s="198"/>
      <c r="M36" s="198"/>
    </row>
    <row r="37">
      <c r="A37" s="188" t="s">
        <v>159</v>
      </c>
      <c r="B37" s="217">
        <f t="shared" ref="B37:B41" si="9">((B30-$B$27)/$B$9)</f>
        <v>44.80569087</v>
      </c>
      <c r="C37" s="198"/>
      <c r="D37" s="198"/>
      <c r="E37" s="198"/>
      <c r="F37" s="198"/>
      <c r="G37" s="198"/>
      <c r="H37" s="198"/>
      <c r="I37" s="198"/>
      <c r="J37" s="198"/>
      <c r="K37" s="198"/>
      <c r="L37" s="198"/>
      <c r="M37" s="198"/>
    </row>
    <row r="38">
      <c r="A38" s="188" t="s">
        <v>160</v>
      </c>
      <c r="B38" s="217">
        <f t="shared" si="9"/>
        <v>49.82736807</v>
      </c>
      <c r="C38" s="198"/>
      <c r="D38" s="198"/>
      <c r="E38" s="198"/>
      <c r="F38" s="198"/>
      <c r="G38" s="198"/>
      <c r="H38" s="198"/>
      <c r="I38" s="198"/>
      <c r="J38" s="198"/>
      <c r="K38" s="198"/>
      <c r="L38" s="198"/>
      <c r="M38" s="198"/>
    </row>
    <row r="39">
      <c r="A39" s="188" t="s">
        <v>161</v>
      </c>
      <c r="B39" s="217">
        <f t="shared" si="9"/>
        <v>55.48177879</v>
      </c>
      <c r="C39" s="198"/>
      <c r="D39" s="198"/>
      <c r="E39" s="198"/>
      <c r="F39" s="198"/>
      <c r="G39" s="198"/>
      <c r="H39" s="198"/>
      <c r="I39" s="198"/>
      <c r="J39" s="198"/>
      <c r="K39" s="198"/>
      <c r="L39" s="198"/>
      <c r="M39" s="198"/>
    </row>
    <row r="40">
      <c r="A40" s="188" t="s">
        <v>162</v>
      </c>
      <c r="B40" s="217">
        <f t="shared" si="9"/>
        <v>65.32956154</v>
      </c>
      <c r="C40" s="198"/>
      <c r="D40" s="198"/>
      <c r="E40" s="198"/>
      <c r="F40" s="198"/>
      <c r="G40" s="198"/>
      <c r="H40" s="198"/>
      <c r="I40" s="198"/>
      <c r="J40" s="198"/>
      <c r="K40" s="198"/>
      <c r="L40" s="198"/>
      <c r="M40" s="198"/>
    </row>
    <row r="41">
      <c r="A41" s="193" t="s">
        <v>163</v>
      </c>
      <c r="B41" s="218">
        <f t="shared" si="9"/>
        <v>96.4385428</v>
      </c>
      <c r="C41" s="206"/>
      <c r="D41" s="206"/>
      <c r="E41" s="198"/>
      <c r="F41" s="198"/>
      <c r="G41" s="198"/>
      <c r="H41" s="198"/>
      <c r="I41" s="198"/>
      <c r="J41" s="198"/>
      <c r="K41" s="198"/>
      <c r="L41" s="198"/>
      <c r="M41" s="198"/>
    </row>
    <row r="42">
      <c r="A42" s="198"/>
      <c r="B42" s="215"/>
      <c r="C42" s="206"/>
      <c r="D42" s="206"/>
      <c r="E42" s="198"/>
      <c r="F42" s="198"/>
      <c r="G42" s="198"/>
      <c r="H42" s="198"/>
      <c r="I42" s="198"/>
      <c r="J42" s="198"/>
      <c r="K42" s="198"/>
      <c r="L42" s="198"/>
      <c r="M42" s="198"/>
    </row>
    <row r="43">
      <c r="A43" s="219" t="s">
        <v>189</v>
      </c>
      <c r="B43" s="220">
        <v>99.47</v>
      </c>
      <c r="C43" s="221">
        <v>45922.0</v>
      </c>
      <c r="D43" s="206"/>
      <c r="E43" s="198"/>
      <c r="F43" s="198"/>
      <c r="G43" s="198"/>
      <c r="H43" s="198"/>
      <c r="I43" s="198"/>
      <c r="J43" s="198"/>
      <c r="K43" s="198"/>
      <c r="L43" s="198"/>
      <c r="M43" s="198"/>
    </row>
    <row r="44">
      <c r="A44" s="198"/>
      <c r="B44" s="198"/>
      <c r="C44" s="198"/>
      <c r="D44" s="198"/>
      <c r="E44" s="198"/>
      <c r="F44" s="198"/>
      <c r="G44" s="198"/>
      <c r="H44" s="198"/>
      <c r="I44" s="198"/>
      <c r="J44" s="198"/>
      <c r="K44" s="198"/>
      <c r="L44" s="198"/>
      <c r="M44" s="198"/>
    </row>
    <row r="45">
      <c r="A45" s="222" t="s">
        <v>190</v>
      </c>
      <c r="B45" s="223"/>
      <c r="C45" s="224" t="s">
        <v>191</v>
      </c>
      <c r="D45" s="198"/>
      <c r="E45" s="198"/>
      <c r="F45" s="198"/>
      <c r="G45" s="198"/>
      <c r="H45" s="198"/>
      <c r="I45" s="198"/>
      <c r="J45" s="198"/>
      <c r="K45" s="198"/>
      <c r="L45" s="198"/>
      <c r="M45" s="198"/>
    </row>
    <row r="46">
      <c r="A46" s="188" t="s">
        <v>159</v>
      </c>
      <c r="B46" s="225">
        <f t="shared" ref="B46:B50" si="10">((B37-$B$43)/B37)</f>
        <v>-1.220030493</v>
      </c>
      <c r="C46" s="224">
        <v>1.0</v>
      </c>
      <c r="D46" s="198"/>
      <c r="E46" s="198"/>
      <c r="F46" s="198"/>
      <c r="G46" s="198"/>
      <c r="H46" s="198"/>
      <c r="I46" s="198"/>
      <c r="J46" s="198"/>
      <c r="K46" s="198"/>
      <c r="L46" s="198"/>
      <c r="M46" s="198"/>
    </row>
    <row r="47">
      <c r="A47" s="188" t="s">
        <v>160</v>
      </c>
      <c r="B47" s="225">
        <f t="shared" si="10"/>
        <v>-0.9962924763</v>
      </c>
      <c r="C47" s="226">
        <v>2.0</v>
      </c>
      <c r="D47" s="198"/>
      <c r="E47" s="198"/>
      <c r="F47" s="198"/>
      <c r="G47" s="198"/>
      <c r="H47" s="198"/>
      <c r="I47" s="198"/>
      <c r="J47" s="198"/>
      <c r="K47" s="198"/>
      <c r="L47" s="198"/>
      <c r="M47" s="198"/>
    </row>
    <row r="48">
      <c r="A48" s="188" t="s">
        <v>161</v>
      </c>
      <c r="B48" s="225">
        <f t="shared" si="10"/>
        <v>-0.7928408599</v>
      </c>
      <c r="C48" s="226">
        <v>3.0</v>
      </c>
      <c r="D48" s="198"/>
      <c r="E48" s="198"/>
      <c r="F48" s="198"/>
      <c r="G48" s="198"/>
      <c r="H48" s="198"/>
      <c r="I48" s="198"/>
      <c r="J48" s="198"/>
      <c r="K48" s="198"/>
      <c r="L48" s="198"/>
      <c r="M48" s="198"/>
    </row>
    <row r="49">
      <c r="A49" s="188" t="s">
        <v>162</v>
      </c>
      <c r="B49" s="225">
        <f t="shared" si="10"/>
        <v>-0.5225879013</v>
      </c>
      <c r="C49" s="226">
        <v>2.0</v>
      </c>
      <c r="D49" s="198"/>
      <c r="E49" s="198"/>
      <c r="F49" s="198"/>
      <c r="G49" s="198"/>
      <c r="H49" s="198"/>
      <c r="I49" s="198"/>
      <c r="J49" s="198"/>
      <c r="K49" s="198"/>
      <c r="L49" s="198"/>
      <c r="M49" s="198"/>
    </row>
    <row r="50">
      <c r="A50" s="193" t="s">
        <v>163</v>
      </c>
      <c r="B50" s="227">
        <f t="shared" si="10"/>
        <v>-0.03143408341</v>
      </c>
      <c r="C50" s="228">
        <v>1.0</v>
      </c>
      <c r="D50" s="198"/>
      <c r="E50" s="198"/>
      <c r="F50" s="198"/>
      <c r="G50" s="198"/>
      <c r="H50" s="198"/>
      <c r="I50" s="198"/>
      <c r="J50" s="198"/>
      <c r="K50" s="198"/>
      <c r="L50" s="198"/>
      <c r="M50" s="198"/>
    </row>
    <row r="51">
      <c r="A51" s="198"/>
      <c r="B51" s="198"/>
      <c r="C51" s="64">
        <v>9.0</v>
      </c>
    </row>
  </sheetData>
  <drawing r:id="rId1"/>
</worksheet>
</file>