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odel" sheetId="2" r:id="rId5"/>
    <sheet state="visible" name="Oil" sheetId="3" r:id="rId6"/>
    <sheet state="visible" name="Predictions" sheetId="4" r:id="rId7"/>
  </sheets>
  <definedNames/>
  <calcPr/>
</workbook>
</file>

<file path=xl/sharedStrings.xml><?xml version="1.0" encoding="utf-8"?>
<sst xmlns="http://schemas.openxmlformats.org/spreadsheetml/2006/main" count="221" uniqueCount="173">
  <si>
    <t>December 31, 2022</t>
  </si>
  <si>
    <t>March 31, 2023</t>
  </si>
  <si>
    <t>June 30, 2023</t>
  </si>
  <si>
    <t>September 30, 2023</t>
  </si>
  <si>
    <t>December 31, 2023</t>
  </si>
  <si>
    <t>March 31, 2024</t>
  </si>
  <si>
    <t>June 30, 2024</t>
  </si>
  <si>
    <t>September 30, 2024</t>
  </si>
  <si>
    <t>December 31, 2024</t>
  </si>
  <si>
    <t>March 31, 2025</t>
  </si>
  <si>
    <t>June 30, 2025</t>
  </si>
  <si>
    <t>Variables</t>
  </si>
  <si>
    <t>4Q 2022</t>
  </si>
  <si>
    <t>1Q 2023</t>
  </si>
  <si>
    <t>2Q 2023</t>
  </si>
  <si>
    <t>3Q 2023</t>
  </si>
  <si>
    <t>4Q 2023</t>
  </si>
  <si>
    <t>1Q 2024</t>
  </si>
  <si>
    <t>2Q 2024</t>
  </si>
  <si>
    <t>3Q 2024</t>
  </si>
  <si>
    <t>4Q 2024</t>
  </si>
  <si>
    <t>1Q 2025</t>
  </si>
  <si>
    <t>2Q 2025</t>
  </si>
  <si>
    <t>Market Cap</t>
  </si>
  <si>
    <t>Nº Shares</t>
  </si>
  <si>
    <t>Debt</t>
  </si>
  <si>
    <t>Cash</t>
  </si>
  <si>
    <t>Receivables</t>
  </si>
  <si>
    <t>Current Assets</t>
  </si>
  <si>
    <t>Total Assets</t>
  </si>
  <si>
    <t>Current Liabilities</t>
  </si>
  <si>
    <t>Total Liabilities</t>
  </si>
  <si>
    <t>Equity</t>
  </si>
  <si>
    <t>EV</t>
  </si>
  <si>
    <t>NCAV</t>
  </si>
  <si>
    <t>Market Price</t>
  </si>
  <si>
    <t>NCAV Price</t>
  </si>
  <si>
    <t>NCAV ratio</t>
  </si>
  <si>
    <t>Cash Burn Out q/q</t>
  </si>
  <si>
    <t>(simple anualization)</t>
  </si>
  <si>
    <t xml:space="preserve">ROA </t>
  </si>
  <si>
    <t>ROE</t>
  </si>
  <si>
    <t>ROIC</t>
  </si>
  <si>
    <t>Current Ratio</t>
  </si>
  <si>
    <t>Quick Ratio</t>
  </si>
  <si>
    <t>Debt / Equity</t>
  </si>
  <si>
    <t>NOTES</t>
  </si>
  <si>
    <t>VIPER ENERGY INC</t>
  </si>
  <si>
    <t>https://www.viperenergy.com/</t>
  </si>
  <si>
    <t xml:space="preserve">Viper’s mineral and royalty interests provide significant exposure to perpetual ownership of high margin, largely undeveloped assets with zero capital requirements to support its sustainable free cash flow. Viper is a publicly traded Delaware corporation focused on owning and acquiring mineral and royalty interests, primarily in the Permian Basin.
</t>
  </si>
  <si>
    <t>Subsidiary of:</t>
  </si>
  <si>
    <t>Diamondback Energy, Inc</t>
  </si>
  <si>
    <t>https://ir.diamondbackenergy.com/</t>
  </si>
  <si>
    <t>BY QUARTERS</t>
  </si>
  <si>
    <t>BY YEARS</t>
  </si>
  <si>
    <t>Oil</t>
  </si>
  <si>
    <t>Natural Gas</t>
  </si>
  <si>
    <t xml:space="preserve">Natural gas liquids </t>
  </si>
  <si>
    <t>Other</t>
  </si>
  <si>
    <t>Revenue</t>
  </si>
  <si>
    <t>COGS</t>
  </si>
  <si>
    <t>Gross Profit</t>
  </si>
  <si>
    <t>Production and ad valorem taxes</t>
  </si>
  <si>
    <t>Depletion</t>
  </si>
  <si>
    <t>General and administrative expenses—related party</t>
  </si>
  <si>
    <t>General and administrative expenses</t>
  </si>
  <si>
    <t>Other expenses</t>
  </si>
  <si>
    <t>Operating Expenses</t>
  </si>
  <si>
    <t>Operating Income</t>
  </si>
  <si>
    <t>Interest expense, net</t>
  </si>
  <si>
    <t>Gain (loss) on derivative instruments, net</t>
  </si>
  <si>
    <t xml:space="preserve">Gain (loss) on revaluation of investment </t>
  </si>
  <si>
    <t>Other income, net</t>
  </si>
  <si>
    <t>Pretax Income</t>
  </si>
  <si>
    <t>Taxes</t>
  </si>
  <si>
    <t>Net Income</t>
  </si>
  <si>
    <t>Net income (loss) attributable to non-controlling interest</t>
  </si>
  <si>
    <t>Net income (loss) attributable to Viper Energy, Inc.</t>
  </si>
  <si>
    <t>EPS</t>
  </si>
  <si>
    <t>Shares</t>
  </si>
  <si>
    <t>AVG REVENUE GROWTH</t>
  </si>
  <si>
    <t>STD</t>
  </si>
  <si>
    <t>Revenue q/q Y/Y</t>
  </si>
  <si>
    <t>Gross Margin</t>
  </si>
  <si>
    <t>Operating Margin</t>
  </si>
  <si>
    <t>Profit Margin</t>
  </si>
  <si>
    <t>AVG NET INCOME GROWTH</t>
  </si>
  <si>
    <t>Net Income q/q Y/Y</t>
  </si>
  <si>
    <t>***CASH FLOW QUARTERS NOT VERY REALIABLE***</t>
  </si>
  <si>
    <t>Net income</t>
  </si>
  <si>
    <t>Provision for (benefit from) deferred income taxes</t>
  </si>
  <si>
    <t>(Gain) loss on derivative instruments, net</t>
  </si>
  <si>
    <t>Net cash receipts (payments) on derivatives</t>
  </si>
  <si>
    <t>Royalty income receivable</t>
  </si>
  <si>
    <t>Royalty income receivable—related party</t>
  </si>
  <si>
    <t>Accounts payable and accrued liabilities</t>
  </si>
  <si>
    <t>Accounts payable—related party</t>
  </si>
  <si>
    <t>Income taxes payable</t>
  </si>
  <si>
    <t>CFO</t>
  </si>
  <si>
    <t>Acquisitions of oil and natural gas interests—related party</t>
  </si>
  <si>
    <t>Acquisitions of oil and natural gas interests</t>
  </si>
  <si>
    <t>Proceeds from sale of oil and natural gas interests</t>
  </si>
  <si>
    <t>CFI</t>
  </si>
  <si>
    <t>Proceeds from borrowings under credit facility</t>
  </si>
  <si>
    <t>Repayment on credit facility</t>
  </si>
  <si>
    <t>Proceeds from Notes</t>
  </si>
  <si>
    <t>Repayment of Notes</t>
  </si>
  <si>
    <t xml:space="preserve">Debt issuance costs </t>
  </si>
  <si>
    <t>Net proceeds from public offering</t>
  </si>
  <si>
    <t>Proceeds from public offering to Diamondback</t>
  </si>
  <si>
    <t>Repurchases under share buyback program</t>
  </si>
  <si>
    <t>Dividends to stockholders</t>
  </si>
  <si>
    <t>Dividends to Diamondback</t>
  </si>
  <si>
    <t>Dividends to other non-controlling interest</t>
  </si>
  <si>
    <t>CFF</t>
  </si>
  <si>
    <t>Net change in cash and cash equivalents</t>
  </si>
  <si>
    <t>Cash and cash equivalents at beginning of period</t>
  </si>
  <si>
    <t>Cash and cash equivalents at end of period</t>
  </si>
  <si>
    <t>CAPEX</t>
  </si>
  <si>
    <t>FCF</t>
  </si>
  <si>
    <t>FCF Growth q/q Y/Y</t>
  </si>
  <si>
    <t>FCF Yield</t>
  </si>
  <si>
    <t>Avg 10-Year US Treasury Yield</t>
  </si>
  <si>
    <t>CFO Growth q/q Y/Y</t>
  </si>
  <si>
    <t>CFO Yield</t>
  </si>
  <si>
    <t>Expected Growth</t>
  </si>
  <si>
    <t>CFO based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</si>
  <si>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</si>
  <si>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</si>
  <si>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</si>
  <si>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</si>
  <si>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</si>
  <si>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</si>
  <si>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</si>
  <si>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</si>
  <si>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</si>
  <si>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</si>
  <si>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</si>
  <si>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Bearish</t>
  </si>
  <si>
    <t>Mildly Bearish</t>
  </si>
  <si>
    <t>Average</t>
  </si>
  <si>
    <t>Mildly Bullish</t>
  </si>
  <si>
    <t>Bulllish</t>
  </si>
  <si>
    <t>Discount rate</t>
  </si>
  <si>
    <t>Insights:</t>
  </si>
  <si>
    <t>- Due to the royalty structure of Viper, we will use CFO as measure of valuation, FCF is way to lumpy due to high investments in royalty rights and so forth.</t>
  </si>
  <si>
    <t>N Shares</t>
  </si>
  <si>
    <t>- Strong finantials due to be a royalty company, strong current and quick ratios, moderately low debt.</t>
  </si>
  <si>
    <t>LTGR</t>
  </si>
  <si>
    <t>- Strong dividend payment (Around 6% yield).</t>
  </si>
  <si>
    <t>N years</t>
  </si>
  <si>
    <t>- Recent merge with Sitio Royalties it might put Viper in the scope of Mutual Funds because of its size.</t>
  </si>
  <si>
    <t>- Very strong company to face a reccesion, as the primary impact will fall on the extracting companies first.</t>
  </si>
  <si>
    <t>PV Terminal Value</t>
  </si>
  <si>
    <t>Ms &lt; -30%</t>
  </si>
  <si>
    <t xml:space="preserve"> </t>
  </si>
  <si>
    <t>-30% &lt; MS &lt; +30%</t>
  </si>
  <si>
    <t>MS &gt; +30%</t>
  </si>
  <si>
    <t>Strategy:</t>
  </si>
  <si>
    <t>SHORT</t>
  </si>
  <si>
    <t>1 of 9</t>
  </si>
  <si>
    <t>UNDECISIVE</t>
  </si>
  <si>
    <t>2 of 9</t>
  </si>
  <si>
    <t>LONG</t>
  </si>
  <si>
    <t>6 of 9</t>
  </si>
  <si>
    <t>Problems:</t>
  </si>
  <si>
    <t>- In the long run, the overgrowing adoption of electrical vehicules might impact the demand for oil severely damaging growth prospects for the company.</t>
  </si>
  <si>
    <t>NPV</t>
  </si>
  <si>
    <t>NET DEBT</t>
  </si>
  <si>
    <t>IV</t>
  </si>
  <si>
    <t>Current Stock price</t>
  </si>
  <si>
    <t>Margin of Safety</t>
  </si>
  <si>
    <t>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</si>
</sst>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.00"/>
    <numFmt numFmtId="165" formatCode="[$$]#,##0"/>
    <numFmt numFmtId="166" formatCode="#,##0.000"/>
    <numFmt numFmtId="167" formatCode="#,##0.00\ [$€-1]"/>
    <numFmt numFmtId="168" formatCode="0.000"/>
  </numFmts>
  <fonts count="9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i/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/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4A853"/>
        <bgColor rgb="FF34A85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</fills>
  <borders count="4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bottom style="medium">
        <color rgb="FF000000"/>
      </bottom>
    </border>
    <border>
      <bottom style="double">
        <color rgb="FF000000"/>
      </bottom>
    </border>
    <border>
      <top style="double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49" xfId="0" applyAlignment="1" applyFont="1" applyNumberFormat="1">
      <alignment shrinkToFit="0" vertical="bottom" wrapText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9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8" fillId="0" fontId="2" numFmtId="3" xfId="0" applyAlignment="1" applyBorder="1" applyFont="1" applyNumberFormat="1">
      <alignment readingOrder="0"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3" xfId="0" applyAlignment="1" applyBorder="1" applyFont="1" applyNumberFormat="1">
      <alignment readingOrder="0" shrinkToFit="0" vertical="center" wrapText="0"/>
    </xf>
    <xf borderId="12" fillId="0" fontId="2" numFmtId="3" xfId="0" applyAlignment="1" applyBorder="1" applyFont="1" applyNumberFormat="1">
      <alignment readingOrder="0" shrinkToFit="0" vertical="center" wrapText="0"/>
    </xf>
    <xf borderId="0" fillId="0" fontId="1" numFmtId="3" xfId="0" applyAlignment="1" applyFont="1" applyNumberFormat="1">
      <alignment vertical="bottom"/>
    </xf>
    <xf borderId="13" fillId="0" fontId="1" numFmtId="0" xfId="0" applyAlignment="1" applyBorder="1" applyFont="1">
      <alignment vertical="bottom"/>
    </xf>
    <xf borderId="14" fillId="0" fontId="1" numFmtId="3" xfId="0" applyAlignment="1" applyBorder="1" applyFont="1" applyNumberFormat="1">
      <alignment horizontal="right" vertical="bottom"/>
    </xf>
    <xf borderId="15" fillId="0" fontId="1" numFmtId="3" xfId="0" applyAlignment="1" applyBorder="1" applyFont="1" applyNumberFormat="1">
      <alignment horizontal="right" vertical="bottom"/>
    </xf>
    <xf borderId="16" fillId="0" fontId="1" numFmtId="0" xfId="0" applyAlignment="1" applyBorder="1" applyFont="1">
      <alignment vertical="bottom"/>
    </xf>
    <xf borderId="0" fillId="0" fontId="1" numFmtId="3" xfId="0" applyAlignment="1" applyFont="1" applyNumberFormat="1">
      <alignment horizontal="right" vertical="bottom"/>
    </xf>
    <xf borderId="17" fillId="0" fontId="1" numFmtId="3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7" fillId="0" fontId="1" numFmtId="164" xfId="0" applyAlignment="1" applyBorder="1" applyFont="1" applyNumberFormat="1">
      <alignment horizontal="right" vertical="bottom"/>
    </xf>
    <xf borderId="0" fillId="0" fontId="1" numFmtId="10" xfId="0" applyAlignment="1" applyFont="1" applyNumberFormat="1">
      <alignment horizontal="right" vertical="bottom"/>
    </xf>
    <xf borderId="17" fillId="0" fontId="1" numFmtId="10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vertical="bottom"/>
    </xf>
    <xf borderId="19" fillId="0" fontId="1" numFmtId="10" xfId="0" applyAlignment="1" applyBorder="1" applyFont="1" applyNumberFormat="1">
      <alignment vertical="bottom"/>
    </xf>
    <xf borderId="19" fillId="0" fontId="1" numFmtId="10" xfId="0" applyAlignment="1" applyBorder="1" applyFont="1" applyNumberFormat="1">
      <alignment horizontal="right" vertical="bottom"/>
    </xf>
    <xf borderId="20" fillId="0" fontId="1" numFmtId="10" xfId="0" applyAlignment="1" applyBorder="1" applyFont="1" applyNumberFormat="1">
      <alignment horizontal="right" vertical="bottom"/>
    </xf>
    <xf borderId="0" fillId="0" fontId="3" numFmtId="0" xfId="0" applyAlignment="1" applyFont="1">
      <alignment vertical="bottom"/>
    </xf>
    <xf borderId="15" fillId="0" fontId="1" numFmtId="10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14" fillId="0" fontId="1" numFmtId="2" xfId="0" applyAlignment="1" applyBorder="1" applyFont="1" applyNumberFormat="1">
      <alignment horizontal="right" vertical="bottom"/>
    </xf>
    <xf borderId="15" fillId="0" fontId="1" numFmtId="2" xfId="0" applyAlignment="1" applyBorder="1" applyFont="1" applyNumberFormat="1">
      <alignment horizontal="right" vertical="bottom"/>
    </xf>
    <xf borderId="0" fillId="0" fontId="1" numFmtId="2" xfId="0" applyAlignment="1" applyFont="1" applyNumberFormat="1">
      <alignment horizontal="right" vertical="bottom"/>
    </xf>
    <xf borderId="17" fillId="0" fontId="1" numFmtId="2" xfId="0" applyAlignment="1" applyBorder="1" applyFont="1" applyNumberFormat="1">
      <alignment horizontal="right" vertical="bottom"/>
    </xf>
    <xf borderId="19" fillId="0" fontId="1" numFmtId="2" xfId="0" applyAlignment="1" applyBorder="1" applyFont="1" applyNumberFormat="1">
      <alignment horizontal="right" vertical="bottom"/>
    </xf>
    <xf borderId="20" fillId="0" fontId="1" numFmtId="2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0" fillId="2" fontId="4" numFmtId="0" xfId="0" applyAlignment="1" applyFont="1">
      <alignment horizontal="center" vertical="bottom"/>
    </xf>
    <xf borderId="19" fillId="2" fontId="4" numFmtId="0" xfId="0" applyAlignment="1" applyBorder="1" applyFont="1">
      <alignment horizontal="center" vertical="bottom"/>
    </xf>
    <xf borderId="19" fillId="0" fontId="7" numFmtId="0" xfId="0" applyBorder="1" applyFont="1"/>
    <xf borderId="21" fillId="2" fontId="4" numFmtId="0" xfId="0" applyAlignment="1" applyBorder="1" applyFont="1">
      <alignment readingOrder="0" vertical="bottom"/>
    </xf>
    <xf borderId="19" fillId="2" fontId="4" numFmtId="0" xfId="0" applyAlignment="1" applyBorder="1" applyFont="1">
      <alignment readingOrder="0" vertical="bottom"/>
    </xf>
    <xf borderId="19" fillId="2" fontId="4" numFmtId="0" xfId="0" applyAlignment="1" applyBorder="1" applyFont="1">
      <alignment vertical="bottom"/>
    </xf>
    <xf borderId="19" fillId="2" fontId="4" numFmtId="0" xfId="0" applyAlignment="1" applyBorder="1" applyFont="1">
      <alignment horizontal="right" readingOrder="0" vertical="bottom"/>
    </xf>
    <xf borderId="19" fillId="2" fontId="4" numFmtId="0" xfId="0" applyAlignment="1" applyBorder="1" applyFont="1">
      <alignment horizontal="right" vertical="bottom"/>
    </xf>
    <xf borderId="0" fillId="3" fontId="1" numFmtId="0" xfId="0" applyAlignment="1" applyFill="1" applyFont="1">
      <alignment readingOrder="0" vertical="bottom"/>
    </xf>
    <xf borderId="0" fillId="3" fontId="1" numFmtId="3" xfId="0" applyAlignment="1" applyFont="1" applyNumberFormat="1">
      <alignment horizontal="right" readingOrder="0" vertical="bottom"/>
    </xf>
    <xf borderId="0" fillId="3" fontId="1" numFmtId="3" xfId="0" applyAlignment="1" applyFont="1" applyNumberFormat="1">
      <alignment horizontal="right" vertical="bottom"/>
    </xf>
    <xf borderId="0" fillId="3" fontId="1" numFmtId="0" xfId="0" applyAlignment="1" applyFont="1">
      <alignment vertical="bottom"/>
    </xf>
    <xf borderId="22" fillId="3" fontId="4" numFmtId="0" xfId="0" applyAlignment="1" applyBorder="1" applyFont="1">
      <alignment vertical="bottom"/>
    </xf>
    <xf borderId="21" fillId="3" fontId="4" numFmtId="3" xfId="0" applyAlignment="1" applyBorder="1" applyFont="1" applyNumberFormat="1">
      <alignment horizontal="right" vertical="bottom"/>
    </xf>
    <xf borderId="21" fillId="3" fontId="4" numFmtId="3" xfId="0" applyAlignment="1" applyBorder="1" applyFont="1" applyNumberFormat="1">
      <alignment horizontal="right" readingOrder="0" vertical="bottom"/>
    </xf>
    <xf borderId="0" fillId="3" fontId="1" numFmtId="3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readingOrder="0" vertical="bottom"/>
    </xf>
    <xf borderId="14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horizontal="right" vertical="bottom"/>
    </xf>
    <xf borderId="19" fillId="3" fontId="4" numFmtId="0" xfId="0" applyAlignment="1" applyBorder="1" applyFont="1">
      <alignment vertical="bottom"/>
    </xf>
    <xf borderId="19" fillId="3" fontId="4" numFmtId="3" xfId="0" applyAlignment="1" applyBorder="1" applyFont="1" applyNumberFormat="1">
      <alignment horizontal="right" vertical="bottom"/>
    </xf>
    <xf borderId="0" fillId="3" fontId="1" numFmtId="3" xfId="0" applyAlignment="1" applyFont="1" applyNumberFormat="1">
      <alignment horizontal="left" readingOrder="0" vertical="bottom"/>
    </xf>
    <xf borderId="0" fillId="0" fontId="2" numFmtId="3" xfId="0" applyAlignment="1" applyFont="1" applyNumberFormat="1">
      <alignment horizontal="right"/>
    </xf>
    <xf borderId="21" fillId="3" fontId="4" numFmtId="3" xfId="0" applyAlignment="1" applyBorder="1" applyFont="1" applyNumberFormat="1">
      <alignment readingOrder="0" vertical="bottom"/>
    </xf>
    <xf borderId="0" fillId="3" fontId="4" numFmtId="3" xfId="0" applyAlignment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8" numFmtId="3" xfId="0" applyFont="1" applyNumberFormat="1"/>
    <xf borderId="21" fillId="0" fontId="8" numFmtId="3" xfId="0" applyBorder="1" applyFont="1" applyNumberFormat="1"/>
    <xf borderId="0" fillId="3" fontId="1" numFmtId="4" xfId="0" applyAlignment="1" applyFont="1" applyNumberFormat="1">
      <alignment horizontal="center" vertical="bottom"/>
    </xf>
    <xf borderId="0" fillId="3" fontId="1" numFmtId="4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readingOrder="0" vertical="bottom"/>
    </xf>
    <xf borderId="0" fillId="3" fontId="1" numFmtId="10" xfId="0" applyAlignment="1" applyFont="1" applyNumberFormat="1">
      <alignment vertical="bottom"/>
    </xf>
    <xf borderId="23" fillId="0" fontId="8" numFmtId="0" xfId="0" applyAlignment="1" applyBorder="1" applyFont="1">
      <alignment readingOrder="0"/>
    </xf>
    <xf borderId="24" fillId="0" fontId="8" numFmtId="0" xfId="0" applyAlignment="1" applyBorder="1" applyFont="1">
      <alignment readingOrder="0"/>
    </xf>
    <xf borderId="23" fillId="3" fontId="4" numFmtId="0" xfId="0" applyAlignment="1" applyBorder="1" applyFont="1">
      <alignment vertical="bottom"/>
    </xf>
    <xf borderId="25" fillId="3" fontId="4" numFmtId="10" xfId="0" applyAlignment="1" applyBorder="1" applyFont="1" applyNumberFormat="1">
      <alignment horizontal="center" vertical="bottom"/>
    </xf>
    <xf borderId="25" fillId="3" fontId="4" numFmtId="10" xfId="0" applyAlignment="1" applyBorder="1" applyFont="1" applyNumberFormat="1">
      <alignment horizontal="right" vertical="bottom"/>
    </xf>
    <xf borderId="26" fillId="0" fontId="2" numFmtId="10" xfId="0" applyBorder="1" applyFont="1" applyNumberFormat="1"/>
    <xf borderId="27" fillId="0" fontId="2" numFmtId="10" xfId="0" applyBorder="1" applyFont="1" applyNumberFormat="1"/>
    <xf borderId="28" fillId="3" fontId="1" numFmtId="0" xfId="0" applyAlignment="1" applyBorder="1" applyFont="1">
      <alignment vertical="bottom"/>
    </xf>
    <xf borderId="0" fillId="3" fontId="1" numFmtId="10" xfId="0" applyAlignment="1" applyFont="1" applyNumberFormat="1">
      <alignment horizontal="right" vertical="bottom"/>
    </xf>
    <xf borderId="26" fillId="3" fontId="1" numFmtId="0" xfId="0" applyAlignment="1" applyBorder="1" applyFont="1">
      <alignment vertical="bottom"/>
    </xf>
    <xf borderId="29" fillId="3" fontId="1" numFmtId="10" xfId="0" applyAlignment="1" applyBorder="1" applyFont="1" applyNumberFormat="1">
      <alignment horizontal="right" vertical="bottom"/>
    </xf>
    <xf borderId="29" fillId="3" fontId="4" numFmtId="10" xfId="0" applyAlignment="1" applyBorder="1" applyFont="1" applyNumberFormat="1">
      <alignment readingOrder="0" vertical="bottom"/>
    </xf>
    <xf borderId="29" fillId="3" fontId="1" numFmtId="10" xfId="0" applyAlignment="1" applyBorder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2" numFmtId="10" xfId="0" applyFont="1" applyNumberFormat="1"/>
    <xf borderId="0" fillId="3" fontId="4" numFmtId="0" xfId="0" applyAlignment="1" applyFont="1">
      <alignment horizontal="center" readingOrder="0" vertical="bottom"/>
    </xf>
    <xf borderId="30" fillId="3" fontId="1" numFmtId="0" xfId="0" applyAlignment="1" applyBorder="1" applyFont="1">
      <alignment vertical="bottom"/>
    </xf>
    <xf borderId="31" fillId="3" fontId="1" numFmtId="0" xfId="0" applyAlignment="1" applyBorder="1" applyFont="1">
      <alignment vertical="bottom"/>
    </xf>
    <xf borderId="31" fillId="3" fontId="1" numFmtId="10" xfId="0" applyAlignment="1" applyBorder="1" applyFont="1" applyNumberFormat="1">
      <alignment readingOrder="0" vertical="bottom"/>
    </xf>
    <xf borderId="31" fillId="3" fontId="1" numFmtId="10" xfId="0" applyAlignment="1" applyBorder="1" applyFont="1" applyNumberFormat="1">
      <alignment vertical="bottom"/>
    </xf>
    <xf borderId="0" fillId="3" fontId="4" numFmtId="0" xfId="0" applyAlignment="1" applyFont="1">
      <alignment vertical="bottom"/>
    </xf>
    <xf borderId="0" fillId="3" fontId="4" numFmtId="3" xfId="0" applyAlignment="1" applyFont="1" applyNumberFormat="1">
      <alignment horizontal="right" readingOrder="0" vertical="bottom"/>
    </xf>
    <xf borderId="0" fillId="3" fontId="4" numFmtId="3" xfId="0" applyAlignment="1" applyFont="1" applyNumberFormat="1">
      <alignment horizontal="right" vertical="bottom"/>
    </xf>
    <xf borderId="0" fillId="3" fontId="4" numFmtId="3" xfId="0" applyAlignment="1" applyFont="1" applyNumberFormat="1">
      <alignment readingOrder="0" vertical="bottom"/>
    </xf>
    <xf borderId="0" fillId="0" fontId="8" numFmtId="0" xfId="0" applyFont="1"/>
    <xf borderId="0" fillId="3" fontId="1" numFmtId="3" xfId="0" applyAlignment="1" applyFont="1" applyNumberFormat="1">
      <alignment readingOrder="0" vertical="bottom"/>
    </xf>
    <xf borderId="0" fillId="0" fontId="2" numFmtId="3" xfId="0" applyAlignment="1" applyFont="1" applyNumberFormat="1">
      <alignment readingOrder="0"/>
    </xf>
    <xf borderId="21" fillId="3" fontId="4" numFmtId="0" xfId="0" applyAlignment="1" applyBorder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13" fillId="3" fontId="1" numFmtId="0" xfId="0" applyAlignment="1" applyBorder="1" applyFont="1">
      <alignment vertical="bottom"/>
    </xf>
    <xf borderId="14" fillId="3" fontId="1" numFmtId="3" xfId="0" applyAlignment="1" applyBorder="1" applyFont="1" applyNumberFormat="1">
      <alignment horizontal="right" readingOrder="0" vertical="bottom"/>
    </xf>
    <xf borderId="18" fillId="3" fontId="1" numFmtId="0" xfId="0" applyAlignment="1" applyBorder="1" applyFont="1">
      <alignment vertical="bottom"/>
    </xf>
    <xf borderId="19" fillId="3" fontId="1" numFmtId="3" xfId="0" applyAlignment="1" applyBorder="1" applyFont="1" applyNumberFormat="1">
      <alignment horizontal="right" vertical="bottom"/>
    </xf>
    <xf borderId="32" fillId="3" fontId="1" numFmtId="3" xfId="0" applyAlignment="1" applyBorder="1" applyFont="1" applyNumberFormat="1">
      <alignment vertical="bottom"/>
    </xf>
    <xf borderId="32" fillId="3" fontId="1" numFmtId="3" xfId="0" applyAlignment="1" applyBorder="1" applyFont="1" applyNumberFormat="1">
      <alignment horizontal="right" vertical="bottom"/>
    </xf>
    <xf borderId="32" fillId="3" fontId="1" numFmtId="3" xfId="0" applyAlignment="1" applyBorder="1" applyFont="1" applyNumberFormat="1">
      <alignment horizontal="right" readingOrder="0" vertical="bottom"/>
    </xf>
    <xf borderId="33" fillId="0" fontId="8" numFmtId="0" xfId="0" applyAlignment="1" applyBorder="1" applyFont="1">
      <alignment readingOrder="0"/>
    </xf>
    <xf borderId="19" fillId="3" fontId="1" numFmtId="0" xfId="0" applyAlignment="1" applyBorder="1" applyFont="1">
      <alignment vertical="bottom"/>
    </xf>
    <xf borderId="34" fillId="0" fontId="2" numFmtId="3" xfId="0" applyBorder="1" applyFont="1" applyNumberFormat="1"/>
    <xf borderId="35" fillId="0" fontId="2" numFmtId="3" xfId="0" applyBorder="1" applyFont="1" applyNumberFormat="1"/>
    <xf borderId="19" fillId="3" fontId="4" numFmtId="10" xfId="0" applyAlignment="1" applyBorder="1" applyFont="1" applyNumberFormat="1">
      <alignment vertical="bottom"/>
    </xf>
    <xf borderId="19" fillId="3" fontId="4" numFmtId="10" xfId="0" applyAlignment="1" applyBorder="1" applyFont="1" applyNumberFormat="1">
      <alignment horizontal="right" vertical="bottom"/>
    </xf>
    <xf borderId="34" fillId="0" fontId="2" numFmtId="10" xfId="0" applyBorder="1" applyFont="1" applyNumberFormat="1"/>
    <xf borderId="35" fillId="0" fontId="2" numFmtId="10" xfId="0" applyBorder="1" applyFont="1" applyNumberFormat="1"/>
    <xf borderId="19" fillId="0" fontId="4" numFmtId="10" xfId="0" applyAlignment="1" applyBorder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36" fillId="0" fontId="2" numFmtId="10" xfId="0" applyBorder="1" applyFont="1" applyNumberFormat="1"/>
    <xf borderId="37" fillId="0" fontId="2" numFmtId="10" xfId="0" applyBorder="1" applyFont="1" applyNumberFormat="1"/>
    <xf borderId="29" fillId="3" fontId="3" numFmtId="10" xfId="0" applyAlignment="1" applyBorder="1" applyFont="1" applyNumberFormat="1">
      <alignment vertical="bottom"/>
    </xf>
    <xf borderId="29" fillId="0" fontId="3" numFmtId="10" xfId="0" applyAlignment="1" applyBorder="1" applyFont="1" applyNumberFormat="1">
      <alignment horizontal="right" readingOrder="0" vertical="bottom"/>
    </xf>
    <xf borderId="29" fillId="0" fontId="3" numFmtId="10" xfId="0" applyAlignment="1" applyBorder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32" fillId="0" fontId="8" numFmtId="10" xfId="0" applyAlignment="1" applyBorder="1" applyFont="1" applyNumberFormat="1">
      <alignment readingOrder="0"/>
    </xf>
    <xf borderId="32" fillId="0" fontId="8" numFmtId="10" xfId="0" applyBorder="1" applyFont="1" applyNumberFormat="1"/>
    <xf borderId="0" fillId="0" fontId="8" numFmtId="10" xfId="0" applyFont="1" applyNumberFormat="1"/>
    <xf borderId="29" fillId="0" fontId="8" numFmtId="10" xfId="0" applyAlignment="1" applyBorder="1" applyFont="1" applyNumberFormat="1">
      <alignment readingOrder="0"/>
    </xf>
    <xf borderId="29" fillId="0" fontId="8" numFmtId="10" xfId="0" applyBorder="1" applyFont="1" applyNumberFormat="1"/>
    <xf borderId="13" fillId="2" fontId="4" numFmtId="0" xfId="0" applyAlignment="1" applyBorder="1" applyFont="1">
      <alignment vertical="bottom"/>
    </xf>
    <xf borderId="14" fillId="2" fontId="4" numFmtId="0" xfId="0" applyAlignment="1" applyBorder="1" applyFont="1">
      <alignment readingOrder="0" vertical="bottom"/>
    </xf>
    <xf borderId="14" fillId="2" fontId="4" numFmtId="0" xfId="0" applyAlignment="1" applyBorder="1" applyFont="1">
      <alignment vertical="bottom"/>
    </xf>
    <xf borderId="15" fillId="2" fontId="4" numFmtId="0" xfId="0" applyAlignment="1" applyBorder="1" applyFont="1">
      <alignment vertical="bottom"/>
    </xf>
    <xf borderId="16" fillId="0" fontId="1" numFmtId="0" xfId="0" applyAlignment="1" applyBorder="1" applyFont="1">
      <alignment horizontal="center" vertical="bottom"/>
    </xf>
    <xf borderId="38" fillId="0" fontId="1" numFmtId="2" xfId="0" applyAlignment="1" applyBorder="1" applyFont="1" applyNumberFormat="1">
      <alignment horizontal="right" vertical="bottom"/>
    </xf>
    <xf borderId="39" fillId="0" fontId="1" numFmtId="165" xfId="0" applyAlignment="1" applyBorder="1" applyFont="1" applyNumberFormat="1">
      <alignment horizontal="right" readingOrder="0" vertical="bottom"/>
    </xf>
    <xf borderId="32" fillId="0" fontId="1" numFmtId="165" xfId="0" applyAlignment="1" applyBorder="1" applyFont="1" applyNumberFormat="1">
      <alignment horizontal="right" vertical="bottom"/>
    </xf>
    <xf borderId="40" fillId="0" fontId="1" numFmtId="165" xfId="0" applyAlignment="1" applyBorder="1" applyFont="1" applyNumberFormat="1">
      <alignment horizontal="right" vertical="bottom"/>
    </xf>
    <xf borderId="38" fillId="0" fontId="1" numFmtId="2" xfId="0" applyAlignment="1" applyBorder="1" applyFont="1" applyNumberFormat="1">
      <alignment horizontal="right" readingOrder="0" vertical="bottom"/>
    </xf>
    <xf borderId="28" fillId="0" fontId="1" numFmtId="165" xfId="0" applyAlignment="1" applyBorder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vertical="bottom"/>
    </xf>
    <xf borderId="38" fillId="0" fontId="1" numFmtId="165" xfId="0" applyAlignment="1" applyBorder="1" applyFont="1" applyNumberFormat="1">
      <alignment horizontal="right" vertical="bottom"/>
    </xf>
    <xf borderId="18" fillId="0" fontId="1" numFmtId="0" xfId="0" applyAlignment="1" applyBorder="1" applyFont="1">
      <alignment horizontal="center" vertical="bottom"/>
    </xf>
    <xf borderId="41" fillId="0" fontId="1" numFmtId="2" xfId="0" applyAlignment="1" applyBorder="1" applyFont="1" applyNumberFormat="1">
      <alignment horizontal="right" readingOrder="0" vertical="bottom"/>
    </xf>
    <xf borderId="26" fillId="0" fontId="1" numFmtId="165" xfId="0" applyAlignment="1" applyBorder="1" applyFont="1" applyNumberFormat="1">
      <alignment horizontal="right" readingOrder="0" vertical="bottom"/>
    </xf>
    <xf borderId="29" fillId="0" fontId="1" numFmtId="165" xfId="0" applyAlignment="1" applyBorder="1" applyFont="1" applyNumberFormat="1">
      <alignment horizontal="right" vertical="bottom"/>
    </xf>
    <xf borderId="27" fillId="0" fontId="1" numFmtId="165" xfId="0" applyAlignment="1" applyBorder="1" applyFont="1" applyNumberFormat="1">
      <alignment horizontal="right" vertical="bottom"/>
    </xf>
    <xf borderId="0" fillId="2" fontId="4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15" fillId="2" fontId="1" numFmtId="0" xfId="0" applyAlignment="1" applyBorder="1" applyFont="1">
      <alignment vertical="bottom"/>
    </xf>
    <xf borderId="17" fillId="0" fontId="1" numFmtId="165" xfId="0" applyAlignment="1" applyBorder="1" applyFont="1" applyNumberFormat="1">
      <alignment horizontal="right" vertical="bottom"/>
    </xf>
    <xf borderId="0" fillId="4" fontId="4" numFmtId="167" xfId="0" applyAlignment="1" applyFill="1" applyFont="1" applyNumberFormat="1">
      <alignment vertical="bottom"/>
    </xf>
    <xf borderId="0" fillId="5" fontId="4" numFmtId="0" xfId="0" applyAlignment="1" applyFill="1" applyFont="1">
      <alignment readingOrder="0" vertical="bottom"/>
    </xf>
    <xf borderId="0" fillId="6" fontId="4" numFmtId="0" xfId="0" applyAlignment="1" applyFill="1" applyFont="1">
      <alignment vertical="bottom"/>
    </xf>
    <xf borderId="20" fillId="0" fontId="1" numFmtId="165" xfId="0" applyAlignment="1" applyBorder="1" applyFont="1" applyNumberFormat="1">
      <alignment horizontal="right" vertical="bottom"/>
    </xf>
    <xf borderId="15" fillId="2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vertical="bottom"/>
    </xf>
    <xf borderId="15" fillId="2" fontId="1" numFmtId="165" xfId="0" applyAlignment="1" applyBorder="1" applyFont="1" applyNumberFormat="1">
      <alignment vertical="bottom"/>
    </xf>
    <xf borderId="20" fillId="0" fontId="1" numFmtId="164" xfId="0" applyAlignment="1" applyBorder="1" applyFont="1" applyNumberFormat="1">
      <alignment horizontal="right" vertical="bottom"/>
    </xf>
    <xf borderId="0" fillId="2" fontId="4" numFmtId="167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13" fillId="2" fontId="4" numFmtId="10" xfId="0" applyAlignment="1" applyBorder="1" applyFont="1" applyNumberFormat="1">
      <alignment vertical="bottom"/>
    </xf>
    <xf borderId="14" fillId="2" fontId="1" numFmtId="10" xfId="0" applyAlignment="1" applyBorder="1" applyFont="1" applyNumberFormat="1">
      <alignment vertical="bottom"/>
    </xf>
    <xf borderId="42" fillId="2" fontId="1" numFmtId="0" xfId="0" applyAlignment="1" applyBorder="1" applyFont="1">
      <alignment readingOrder="0" vertical="bottom"/>
    </xf>
    <xf borderId="17" fillId="7" fontId="1" numFmtId="10" xfId="0" applyAlignment="1" applyBorder="1" applyFill="1" applyFont="1" applyNumberFormat="1">
      <alignment horizontal="right" vertical="bottom"/>
    </xf>
    <xf borderId="43" fillId="0" fontId="1" numFmtId="0" xfId="0" applyAlignment="1" applyBorder="1" applyFont="1">
      <alignment readingOrder="0" vertical="bottom"/>
    </xf>
    <xf borderId="17" fillId="8" fontId="1" numFmtId="10" xfId="0" applyAlignment="1" applyBorder="1" applyFill="1" applyFont="1" applyNumberFormat="1">
      <alignment horizontal="right" vertical="bottom"/>
    </xf>
    <xf borderId="17" fillId="9" fontId="1" numFmtId="10" xfId="0" applyAlignment="1" applyBorder="1" applyFill="1" applyFont="1" applyNumberFormat="1">
      <alignment horizontal="right" vertical="bottom"/>
    </xf>
    <xf borderId="20" fillId="9" fontId="1" numFmtId="10" xfId="0" applyAlignment="1" applyBorder="1" applyFont="1" applyNumberFormat="1">
      <alignment horizontal="right" vertical="bottom"/>
    </xf>
    <xf borderId="44" fillId="0" fontId="1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AI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L12" displayName="Tabla_1" name="Tabla_1" id="1">
  <tableColumns count="12">
    <tableColumn name="Variables" id="1"/>
    <tableColumn name="4Q 2022" id="2"/>
    <tableColumn name="1Q 2023" id="3"/>
    <tableColumn name="2Q 2023" id="4"/>
    <tableColumn name="3Q 2023" id="5"/>
    <tableColumn name="4Q 2023" id="6"/>
    <tableColumn name="1Q 2024" id="7"/>
    <tableColumn name="2Q 2024" id="8"/>
    <tableColumn name="3Q 2024" id="9"/>
    <tableColumn name="4Q 2024" id="10"/>
    <tableColumn name="1Q 2025" id="11"/>
    <tableColumn name="2Q 2025" id="12"/>
  </tableColumns>
  <tableStyleInfo name="MAI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perenergy.com/" TargetMode="External"/><Relationship Id="rId2" Type="http://schemas.openxmlformats.org/officeDocument/2006/relationships/hyperlink" Target="https://ir.diamondbackenergy.com/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1"/>
    </row>
    <row r="2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6" t="s">
        <v>20</v>
      </c>
      <c r="K2" s="5" t="s">
        <v>21</v>
      </c>
      <c r="L2" s="7" t="s">
        <v>22</v>
      </c>
      <c r="M2" s="1"/>
    </row>
    <row r="3">
      <c r="A3" s="8" t="s">
        <v>23</v>
      </c>
      <c r="B3" s="9">
        <v>5.28E9</v>
      </c>
      <c r="C3" s="9">
        <v>4.57E9</v>
      </c>
      <c r="D3" s="9">
        <v>4.37E9</v>
      </c>
      <c r="E3" s="9">
        <v>4.51E9</v>
      </c>
      <c r="F3" s="9">
        <v>5.58E9</v>
      </c>
      <c r="G3" s="9">
        <v>6.8E9</v>
      </c>
      <c r="H3" s="9">
        <v>6.64E9</v>
      </c>
      <c r="I3" s="9">
        <v>7.98E9</v>
      </c>
      <c r="J3" s="9">
        <v>9.25E9</v>
      </c>
      <c r="K3" s="9">
        <v>9.89E9</v>
      </c>
      <c r="L3" s="10">
        <v>1.1E10</v>
      </c>
      <c r="M3" s="1"/>
    </row>
    <row r="4">
      <c r="A4" s="11" t="s">
        <v>24</v>
      </c>
      <c r="B4" s="12">
        <f>72677022+90709946</f>
        <v>163386968</v>
      </c>
      <c r="C4" s="12">
        <f>72016622+90709946</f>
        <v>162726568</v>
      </c>
      <c r="D4" s="12">
        <f>70904057+90709946</f>
        <v>161614003</v>
      </c>
      <c r="E4" s="12">
        <f>87144273+90709946</f>
        <v>177854219</v>
      </c>
      <c r="F4" s="12">
        <f>86144273+90709946</f>
        <v>176854219</v>
      </c>
      <c r="G4" s="12">
        <f>91423830+81431453</f>
        <v>172855283</v>
      </c>
      <c r="H4" s="12">
        <f>91447008+85431453</f>
        <v>176878461</v>
      </c>
      <c r="I4" s="12">
        <f>102977142+85431453</f>
        <v>188408595</v>
      </c>
      <c r="J4" s="12">
        <f>131313142+87831750</f>
        <v>219144892</v>
      </c>
      <c r="K4" s="12">
        <f>131083704+157458390</f>
        <v>288542094</v>
      </c>
      <c r="L4" s="13">
        <f>131082565+157438390</f>
        <v>288520955</v>
      </c>
      <c r="M4" s="1"/>
    </row>
    <row r="5">
      <c r="A5" s="8" t="s">
        <v>25</v>
      </c>
      <c r="B5" s="9">
        <v>5.76895E8</v>
      </c>
      <c r="C5" s="9">
        <v>6.95154E8</v>
      </c>
      <c r="D5" s="9">
        <v>6.49416E8</v>
      </c>
      <c r="E5" s="9">
        <v>6.75681E8</v>
      </c>
      <c r="F5" s="9">
        <v>1.083082E9</v>
      </c>
      <c r="G5" s="9">
        <v>1.093547E9</v>
      </c>
      <c r="H5" s="9">
        <v>9.98021E8</v>
      </c>
      <c r="I5" s="9">
        <v>4.4165E7</v>
      </c>
      <c r="J5" s="9">
        <v>1.083E9</v>
      </c>
      <c r="K5" s="9">
        <v>8.22E8</v>
      </c>
      <c r="L5" s="14">
        <v>1.098E9</v>
      </c>
      <c r="M5" s="1"/>
    </row>
    <row r="6">
      <c r="A6" s="11" t="s">
        <v>26</v>
      </c>
      <c r="B6" s="12">
        <v>1.8179E7</v>
      </c>
      <c r="C6" s="12">
        <v>9106000.0</v>
      </c>
      <c r="D6" s="12">
        <v>1.3079E7</v>
      </c>
      <c r="E6" s="12">
        <v>1.46814E8</v>
      </c>
      <c r="F6" s="12">
        <v>2.5869E7</v>
      </c>
      <c r="G6" s="12">
        <v>2.0005E7</v>
      </c>
      <c r="H6" s="12">
        <v>3.5211E7</v>
      </c>
      <c r="I6" s="12">
        <v>1.68649E8</v>
      </c>
      <c r="J6" s="12">
        <v>2.7E7</v>
      </c>
      <c r="K6" s="15">
        <v>5.6E8</v>
      </c>
      <c r="L6" s="13">
        <v>2.8E7</v>
      </c>
      <c r="M6" s="1"/>
    </row>
    <row r="7">
      <c r="A7" s="8" t="s">
        <v>27</v>
      </c>
      <c r="B7" s="16">
        <f>81657000+6260000</f>
        <v>87917000</v>
      </c>
      <c r="C7" s="16">
        <f>83038000+36324000</f>
        <v>119362000</v>
      </c>
      <c r="D7" s="16">
        <f>80765000+4384000</f>
        <v>85149000</v>
      </c>
      <c r="E7" s="16">
        <f>103804000+7431000</f>
        <v>111235000</v>
      </c>
      <c r="F7" s="16">
        <f>108681000+3329000+813000</f>
        <v>112823000</v>
      </c>
      <c r="G7" s="16">
        <f>131737000+33381000</f>
        <v>165118000</v>
      </c>
      <c r="H7" s="16">
        <f>131724000+34981000</f>
        <v>166705000</v>
      </c>
      <c r="I7" s="16">
        <f>108857000+33997000</f>
        <v>142854000</v>
      </c>
      <c r="J7" s="16">
        <f>149000000+31000000+2000000</f>
        <v>182000000</v>
      </c>
      <c r="K7" s="16">
        <f>146000000+41000000+2000000</f>
        <v>189000000</v>
      </c>
      <c r="L7" s="10">
        <f>203000000+189000000+2000000</f>
        <v>394000000</v>
      </c>
      <c r="M7" s="1"/>
    </row>
    <row r="8">
      <c r="A8" s="11" t="s">
        <v>28</v>
      </c>
      <c r="B8" s="12">
        <v>1.1862E8</v>
      </c>
      <c r="C8" s="12">
        <v>1.3327E8</v>
      </c>
      <c r="D8" s="12">
        <v>1.05794E8</v>
      </c>
      <c r="E8" s="12">
        <v>2.6213E8</v>
      </c>
      <c r="F8" s="12">
        <v>1.43517E8</v>
      </c>
      <c r="G8" s="12">
        <v>1.8982E8</v>
      </c>
      <c r="H8" s="12">
        <v>2.05384E8</v>
      </c>
      <c r="I8" s="12">
        <v>3.2018E8</v>
      </c>
      <c r="J8" s="12">
        <v>2.38E8</v>
      </c>
      <c r="K8" s="12">
        <v>7.92E8</v>
      </c>
      <c r="L8" s="13">
        <v>4.43E8</v>
      </c>
      <c r="M8" s="1"/>
    </row>
    <row r="9">
      <c r="A9" s="8" t="s">
        <v>29</v>
      </c>
      <c r="B9" s="9">
        <v>2.920373E9</v>
      </c>
      <c r="C9" s="9">
        <v>3.019736E9</v>
      </c>
      <c r="D9" s="9">
        <v>2.967038E9</v>
      </c>
      <c r="E9" s="9">
        <v>3.143366E9</v>
      </c>
      <c r="F9" s="9">
        <v>3.974093E9</v>
      </c>
      <c r="G9" s="9">
        <v>4.012566E9</v>
      </c>
      <c r="H9" s="9">
        <v>3.900422E9</v>
      </c>
      <c r="I9" s="9">
        <v>4.20601E9</v>
      </c>
      <c r="J9" s="9">
        <v>5.069E9</v>
      </c>
      <c r="K9" s="9">
        <v>6.238E9</v>
      </c>
      <c r="L9" s="10">
        <v>9.788E9</v>
      </c>
      <c r="M9" s="1"/>
    </row>
    <row r="10">
      <c r="A10" s="11" t="s">
        <v>30</v>
      </c>
      <c r="B10" s="12">
        <v>2.1946E7</v>
      </c>
      <c r="C10" s="12">
        <v>2.9771E7</v>
      </c>
      <c r="D10" s="12">
        <v>2.8079E7</v>
      </c>
      <c r="E10" s="12">
        <v>4.7491E7</v>
      </c>
      <c r="F10" s="12">
        <v>3.3256E7</v>
      </c>
      <c r="G10" s="12">
        <v>5.4885E7</v>
      </c>
      <c r="H10" s="12">
        <v>2.9091E7</v>
      </c>
      <c r="I10" s="12">
        <v>4.4208E7</v>
      </c>
      <c r="J10" s="12">
        <v>4.9E7</v>
      </c>
      <c r="K10" s="12">
        <v>9.1E7</v>
      </c>
      <c r="L10" s="13">
        <v>7.2E7</v>
      </c>
      <c r="M10" s="1"/>
    </row>
    <row r="11">
      <c r="A11" s="8" t="s">
        <v>31</v>
      </c>
      <c r="B11" s="9">
        <v>5.98848E8</v>
      </c>
      <c r="C11" s="9">
        <v>7.27308E8</v>
      </c>
      <c r="D11" s="9">
        <v>6.80868E8</v>
      </c>
      <c r="E11" s="9">
        <v>7.24791E8</v>
      </c>
      <c r="F11" s="9">
        <v>1.116539E9</v>
      </c>
      <c r="G11" s="9">
        <v>1.148432E9</v>
      </c>
      <c r="H11" s="9">
        <v>1.027112E9</v>
      </c>
      <c r="I11" s="9">
        <v>8.70502E8</v>
      </c>
      <c r="J11" s="9">
        <v>1.162E9</v>
      </c>
      <c r="K11" s="9">
        <v>9.15E8</v>
      </c>
      <c r="L11" s="10">
        <v>1.177E9</v>
      </c>
      <c r="M11" s="1"/>
    </row>
    <row r="12">
      <c r="A12" s="17" t="s">
        <v>32</v>
      </c>
      <c r="B12" s="18">
        <v>2.321525E9</v>
      </c>
      <c r="C12" s="18">
        <v>2.292428E9</v>
      </c>
      <c r="D12" s="18">
        <v>2.28617E9</v>
      </c>
      <c r="E12" s="18">
        <v>2.418575E9</v>
      </c>
      <c r="F12" s="18">
        <v>2.857554E9</v>
      </c>
      <c r="G12" s="18">
        <v>2.864134E9</v>
      </c>
      <c r="H12" s="18">
        <v>2.87331E9</v>
      </c>
      <c r="I12" s="18">
        <v>3.335508E9</v>
      </c>
      <c r="J12" s="18">
        <v>3.907E9</v>
      </c>
      <c r="K12" s="18">
        <v>5.323E9</v>
      </c>
      <c r="L12" s="19">
        <v>8.611E9</v>
      </c>
      <c r="M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0"/>
      <c r="M13" s="1"/>
    </row>
    <row r="14">
      <c r="A14" s="21" t="s">
        <v>33</v>
      </c>
      <c r="B14" s="22">
        <f t="shared" ref="B14:L14" si="1">B3++B5-B6</f>
        <v>5838716000</v>
      </c>
      <c r="C14" s="22">
        <f t="shared" si="1"/>
        <v>5256048000</v>
      </c>
      <c r="D14" s="22">
        <f t="shared" si="1"/>
        <v>5006337000</v>
      </c>
      <c r="E14" s="22">
        <f t="shared" si="1"/>
        <v>5038867000</v>
      </c>
      <c r="F14" s="22">
        <f t="shared" si="1"/>
        <v>6637213000</v>
      </c>
      <c r="G14" s="22">
        <f t="shared" si="1"/>
        <v>7873542000</v>
      </c>
      <c r="H14" s="22">
        <f t="shared" si="1"/>
        <v>7602810000</v>
      </c>
      <c r="I14" s="22">
        <f t="shared" si="1"/>
        <v>7855516000</v>
      </c>
      <c r="J14" s="22">
        <f t="shared" si="1"/>
        <v>10306000000</v>
      </c>
      <c r="K14" s="22">
        <f t="shared" si="1"/>
        <v>10152000000</v>
      </c>
      <c r="L14" s="23">
        <f t="shared" si="1"/>
        <v>12070000000</v>
      </c>
      <c r="M14" s="1"/>
    </row>
    <row r="15">
      <c r="A15" s="24" t="s">
        <v>34</v>
      </c>
      <c r="B15" s="25">
        <f t="shared" ref="B15:L15" si="2">B8-B11</f>
        <v>-480228000</v>
      </c>
      <c r="C15" s="25">
        <f t="shared" si="2"/>
        <v>-594038000</v>
      </c>
      <c r="D15" s="25">
        <f t="shared" si="2"/>
        <v>-575074000</v>
      </c>
      <c r="E15" s="25">
        <f t="shared" si="2"/>
        <v>-462661000</v>
      </c>
      <c r="F15" s="25">
        <f t="shared" si="2"/>
        <v>-973022000</v>
      </c>
      <c r="G15" s="25">
        <f t="shared" si="2"/>
        <v>-958612000</v>
      </c>
      <c r="H15" s="25">
        <f t="shared" si="2"/>
        <v>-821728000</v>
      </c>
      <c r="I15" s="25">
        <f t="shared" si="2"/>
        <v>-550322000</v>
      </c>
      <c r="J15" s="25">
        <f t="shared" si="2"/>
        <v>-924000000</v>
      </c>
      <c r="K15" s="25">
        <f t="shared" si="2"/>
        <v>-123000000</v>
      </c>
      <c r="L15" s="26">
        <f t="shared" si="2"/>
        <v>-734000000</v>
      </c>
      <c r="M15" s="1"/>
    </row>
    <row r="16">
      <c r="A16" s="24" t="s">
        <v>35</v>
      </c>
      <c r="B16" s="27">
        <f t="shared" ref="B16:L16" si="3">B3/B4</f>
        <v>32.31591886</v>
      </c>
      <c r="C16" s="27">
        <f t="shared" si="3"/>
        <v>28.08392051</v>
      </c>
      <c r="D16" s="27">
        <f t="shared" si="3"/>
        <v>27.03973615</v>
      </c>
      <c r="E16" s="27">
        <f t="shared" si="3"/>
        <v>25.35784659</v>
      </c>
      <c r="F16" s="27">
        <f t="shared" si="3"/>
        <v>31.55141015</v>
      </c>
      <c r="G16" s="27">
        <f t="shared" si="3"/>
        <v>39.33926625</v>
      </c>
      <c r="H16" s="27">
        <f t="shared" si="3"/>
        <v>37.53990148</v>
      </c>
      <c r="I16" s="27">
        <f t="shared" si="3"/>
        <v>42.35475563</v>
      </c>
      <c r="J16" s="27">
        <f t="shared" si="3"/>
        <v>42.2095168</v>
      </c>
      <c r="K16" s="27">
        <f t="shared" si="3"/>
        <v>34.27576151</v>
      </c>
      <c r="L16" s="28">
        <f t="shared" si="3"/>
        <v>38.12548035</v>
      </c>
      <c r="M16" s="1"/>
    </row>
    <row r="17">
      <c r="A17" s="24" t="s">
        <v>36</v>
      </c>
      <c r="B17" s="27">
        <f t="shared" ref="B17:L17" si="4">B15/B4</f>
        <v>-2.939206265</v>
      </c>
      <c r="C17" s="27">
        <f t="shared" si="4"/>
        <v>-3.650528659</v>
      </c>
      <c r="D17" s="27">
        <f t="shared" si="4"/>
        <v>-3.558317901</v>
      </c>
      <c r="E17" s="27">
        <f t="shared" si="4"/>
        <v>-2.601349592</v>
      </c>
      <c r="F17" s="27">
        <f t="shared" si="4"/>
        <v>-5.501830861</v>
      </c>
      <c r="G17" s="27">
        <f t="shared" si="4"/>
        <v>-5.545748926</v>
      </c>
      <c r="H17" s="27">
        <f t="shared" si="4"/>
        <v>-4.645721109</v>
      </c>
      <c r="I17" s="27">
        <f t="shared" si="4"/>
        <v>-2.92089647</v>
      </c>
      <c r="J17" s="27">
        <f t="shared" si="4"/>
        <v>-4.216388489</v>
      </c>
      <c r="K17" s="27">
        <f t="shared" si="4"/>
        <v>-0.4262809571</v>
      </c>
      <c r="L17" s="28">
        <f t="shared" si="4"/>
        <v>-2.544009325</v>
      </c>
      <c r="M17" s="1"/>
    </row>
    <row r="18">
      <c r="A18" s="24" t="s">
        <v>37</v>
      </c>
      <c r="B18" s="29">
        <f t="shared" ref="B18:L18" si="5">B17/B16</f>
        <v>-0.09095227273</v>
      </c>
      <c r="C18" s="29">
        <f t="shared" si="5"/>
        <v>-0.1299864333</v>
      </c>
      <c r="D18" s="29">
        <f t="shared" si="5"/>
        <v>-0.131595881</v>
      </c>
      <c r="E18" s="29">
        <f t="shared" si="5"/>
        <v>-0.1025855876</v>
      </c>
      <c r="F18" s="29">
        <f t="shared" si="5"/>
        <v>-0.1743767025</v>
      </c>
      <c r="G18" s="29">
        <f t="shared" si="5"/>
        <v>-0.1409723529</v>
      </c>
      <c r="H18" s="29">
        <f t="shared" si="5"/>
        <v>-0.1237542169</v>
      </c>
      <c r="I18" s="29">
        <f t="shared" si="5"/>
        <v>-0.06896265664</v>
      </c>
      <c r="J18" s="29">
        <f t="shared" si="5"/>
        <v>-0.09989189189</v>
      </c>
      <c r="K18" s="29">
        <f t="shared" si="5"/>
        <v>-0.01243680485</v>
      </c>
      <c r="L18" s="30">
        <f t="shared" si="5"/>
        <v>-0.06672727273</v>
      </c>
      <c r="M18" s="1"/>
    </row>
    <row r="19">
      <c r="A19" s="31" t="s">
        <v>38</v>
      </c>
      <c r="B19" s="32"/>
      <c r="C19" s="33">
        <f t="shared" ref="C19:J19" si="6">(C6-B6)/B6</f>
        <v>-0.4990923593</v>
      </c>
      <c r="D19" s="33">
        <f t="shared" si="6"/>
        <v>0.4363057325</v>
      </c>
      <c r="E19" s="33">
        <f t="shared" si="6"/>
        <v>10.22517012</v>
      </c>
      <c r="F19" s="33">
        <f t="shared" si="6"/>
        <v>-0.823797458</v>
      </c>
      <c r="G19" s="33">
        <f t="shared" si="6"/>
        <v>-0.2266805829</v>
      </c>
      <c r="H19" s="33">
        <f t="shared" si="6"/>
        <v>0.7601099725</v>
      </c>
      <c r="I19" s="33">
        <f t="shared" si="6"/>
        <v>3.789668001</v>
      </c>
      <c r="J19" s="33">
        <f t="shared" si="6"/>
        <v>-0.8399041797</v>
      </c>
      <c r="K19" s="33">
        <f t="shared" ref="K19:L19" si="7">(K5-J6)/J6</f>
        <v>29.44444444</v>
      </c>
      <c r="L19" s="34">
        <f t="shared" si="7"/>
        <v>0.9607142857</v>
      </c>
      <c r="M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>
      <c r="A21" s="35" t="s">
        <v>39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>
      <c r="A22" s="21" t="s">
        <v>40</v>
      </c>
      <c r="B22" s="36"/>
      <c r="C22" s="36">
        <f>(Model!C23*4)/C9</f>
        <v>0.11691883</v>
      </c>
      <c r="D22" s="36">
        <f>(Model!D23*4)/D9</f>
        <v>0.1077586468</v>
      </c>
      <c r="E22" s="36">
        <f>(Model!E23*4)/E9</f>
        <v>0.2636829437</v>
      </c>
      <c r="F22" s="36">
        <f>(Model!F23*4)/F9</f>
        <v>0.1267519406</v>
      </c>
      <c r="G22" s="36">
        <f>(Model!G23*4)/G9</f>
        <v>0.09908073786</v>
      </c>
      <c r="H22" s="36">
        <f>(Model!H23*4)/H9</f>
        <v>0.1261401971</v>
      </c>
      <c r="I22" s="36">
        <f>(Model!I23*4)/I9</f>
        <v>0.1037039855</v>
      </c>
      <c r="J22" s="36">
        <f>(Model!J23*4)/J9</f>
        <v>0.2151122509</v>
      </c>
      <c r="K22" s="36">
        <f>(Model!K23*4)/K9</f>
        <v>0.09810836807</v>
      </c>
      <c r="L22" s="36">
        <f>(Model!L23*4)/L9</f>
        <v>0.03432774826</v>
      </c>
      <c r="M22" s="1"/>
    </row>
    <row r="23">
      <c r="A23" s="24" t="s">
        <v>41</v>
      </c>
      <c r="B23" s="30"/>
      <c r="C23" s="30">
        <f>(Model!C23*4)/C12</f>
        <v>0.1540131249</v>
      </c>
      <c r="D23" s="30">
        <f>(Model!D23*4)/D12</f>
        <v>0.1398513671</v>
      </c>
      <c r="E23" s="30">
        <f>(Model!E23*4)/E12</f>
        <v>0.3427026245</v>
      </c>
      <c r="F23" s="30">
        <f>(Model!F23*4)/F12</f>
        <v>0.1762780336</v>
      </c>
      <c r="G23" s="30">
        <f>(Model!G23*4)/G12</f>
        <v>0.1388091479</v>
      </c>
      <c r="H23" s="30">
        <f>(Model!H23*4)/H12</f>
        <v>0.1712310889</v>
      </c>
      <c r="I23" s="30">
        <f>(Model!I23*4)/I12</f>
        <v>0.1307686865</v>
      </c>
      <c r="J23" s="30">
        <f>(Model!J23*4)/J12</f>
        <v>0.2790898388</v>
      </c>
      <c r="K23" s="30">
        <f>(Model!K23*4)/K12</f>
        <v>0.1149727597</v>
      </c>
      <c r="L23" s="30">
        <f>(Model!L23*4)/L12</f>
        <v>0.03901985832</v>
      </c>
      <c r="M23" s="1"/>
    </row>
    <row r="24">
      <c r="A24" s="31" t="s">
        <v>42</v>
      </c>
      <c r="B24" s="34"/>
      <c r="C24" s="34">
        <f>((Model!C16-Model!C22)*4)/(C5+C12)</f>
        <v>0.1511777752</v>
      </c>
      <c r="D24" s="34">
        <f>((Model!D16-Model!D22)*4)/(D5+D12)</f>
        <v>0.1412242735</v>
      </c>
      <c r="E24" s="34">
        <f>((Model!E16-Model!E22)*4)/(E5+E12)</f>
        <v>0.2855807664</v>
      </c>
      <c r="F24" s="34">
        <f>((Model!F16-Model!F22)*4)/(F5+F12)</f>
        <v>0.1388547432</v>
      </c>
      <c r="G24" s="34">
        <f>((Model!G16-Model!G22)*4)/(G5+G12)</f>
        <v>0.1277434942</v>
      </c>
      <c r="H24" s="34">
        <f>((Model!H16-Model!H22)*4)/(H5+H12)</f>
        <v>0.1405201467</v>
      </c>
      <c r="I24" s="34">
        <f>((Model!I16-Model!I22)*4)/(I5+I12)</f>
        <v>0.1401011281</v>
      </c>
      <c r="J24" s="34">
        <f>((Model!J16-Model!J22)*4)/(J5+J12)</f>
        <v>0.2290452906</v>
      </c>
      <c r="K24" s="34">
        <f>((Model!K16-Model!K22)*4)/(K5+K12)</f>
        <v>0.08722538649</v>
      </c>
      <c r="L24" s="34">
        <f>((Model!L16-Model!L22)*4)/(L5+L12)</f>
        <v>0.05273457617</v>
      </c>
      <c r="M24" s="1"/>
    </row>
    <row r="25">
      <c r="A25" s="1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1"/>
    </row>
    <row r="26">
      <c r="A26" s="21" t="s">
        <v>43</v>
      </c>
      <c r="B26" s="38">
        <f t="shared" ref="B26:I26" si="8">B8/B10</f>
        <v>5.405085209</v>
      </c>
      <c r="C26" s="38">
        <f t="shared" si="8"/>
        <v>4.47650398</v>
      </c>
      <c r="D26" s="38">
        <f t="shared" si="8"/>
        <v>3.767726771</v>
      </c>
      <c r="E26" s="38">
        <f t="shared" si="8"/>
        <v>5.519572129</v>
      </c>
      <c r="F26" s="38">
        <f t="shared" si="8"/>
        <v>4.315522011</v>
      </c>
      <c r="G26" s="38">
        <f t="shared" si="8"/>
        <v>3.458504145</v>
      </c>
      <c r="H26" s="38">
        <f t="shared" si="8"/>
        <v>7.060052937</v>
      </c>
      <c r="I26" s="38">
        <f t="shared" si="8"/>
        <v>7.242580528</v>
      </c>
      <c r="J26" s="38">
        <f t="shared" ref="J26:K26" si="9">J8/J11</f>
        <v>0.2048192771</v>
      </c>
      <c r="K26" s="38">
        <f t="shared" si="9"/>
        <v>0.8655737705</v>
      </c>
      <c r="L26" s="39">
        <f>L8/L10</f>
        <v>6.152777778</v>
      </c>
      <c r="M26" s="1"/>
    </row>
    <row r="27">
      <c r="A27" s="24" t="s">
        <v>44</v>
      </c>
      <c r="B27" s="40">
        <f t="shared" ref="B27:L27" si="10">(B6+B7)/B10</f>
        <v>4.834411738</v>
      </c>
      <c r="C27" s="40">
        <f t="shared" si="10"/>
        <v>4.315206073</v>
      </c>
      <c r="D27" s="40">
        <f t="shared" si="10"/>
        <v>3.498272731</v>
      </c>
      <c r="E27" s="40">
        <f t="shared" si="10"/>
        <v>5.433640058</v>
      </c>
      <c r="F27" s="40">
        <f t="shared" si="10"/>
        <v>4.17043541</v>
      </c>
      <c r="G27" s="40">
        <f t="shared" si="10"/>
        <v>3.372925207</v>
      </c>
      <c r="H27" s="40">
        <f t="shared" si="10"/>
        <v>6.94084081</v>
      </c>
      <c r="I27" s="40">
        <f t="shared" si="10"/>
        <v>7.046303836</v>
      </c>
      <c r="J27" s="40">
        <f t="shared" si="10"/>
        <v>4.265306122</v>
      </c>
      <c r="K27" s="40">
        <f t="shared" si="10"/>
        <v>8.230769231</v>
      </c>
      <c r="L27" s="41">
        <f t="shared" si="10"/>
        <v>5.861111111</v>
      </c>
      <c r="M27" s="1"/>
    </row>
    <row r="28">
      <c r="A28" s="31" t="s">
        <v>45</v>
      </c>
      <c r="B28" s="42">
        <f t="shared" ref="B28:F28" si="11">B5/B12</f>
        <v>0.2484982931</v>
      </c>
      <c r="C28" s="42">
        <f t="shared" si="11"/>
        <v>0.3032391857</v>
      </c>
      <c r="D28" s="42">
        <f t="shared" si="11"/>
        <v>0.284062865</v>
      </c>
      <c r="E28" s="42">
        <f t="shared" si="11"/>
        <v>0.2793715308</v>
      </c>
      <c r="F28" s="42">
        <f t="shared" si="11"/>
        <v>0.3790241584</v>
      </c>
      <c r="G28" s="42">
        <f>G6/G12</f>
        <v>0.006984659237</v>
      </c>
      <c r="H28" s="42">
        <f t="shared" ref="H28:L28" si="12">H5/H12</f>
        <v>0.3473419158</v>
      </c>
      <c r="I28" s="42">
        <f t="shared" si="12"/>
        <v>0.01324086166</v>
      </c>
      <c r="J28" s="42">
        <f t="shared" si="12"/>
        <v>0.2771947786</v>
      </c>
      <c r="K28" s="42">
        <f t="shared" si="12"/>
        <v>0.1544241969</v>
      </c>
      <c r="L28" s="43">
        <f t="shared" si="12"/>
        <v>0.1275113227</v>
      </c>
      <c r="M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44" t="s">
        <v>46</v>
      </c>
      <c r="B30" s="45" t="s">
        <v>47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46" t="s">
        <v>48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47" t="s">
        <v>49</v>
      </c>
      <c r="M32" s="1"/>
    </row>
    <row r="33">
      <c r="A33" s="1"/>
      <c r="B33" s="48" t="s">
        <v>50</v>
      </c>
      <c r="C33" s="45" t="s">
        <v>51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49" t="s">
        <v>52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1">
    <mergeCell ref="B32:L32"/>
  </mergeCells>
  <dataValidations>
    <dataValidation type="custom" allowBlank="1" showDropDown="1" sqref="K3:L12">
      <formula1>AND(ISNUMBER(K3),(NOT(OR(NOT(ISERROR(DATEVALUE(K3))), AND(ISNUMBER(K3), LEFT(CELL("format", K3))="D")))))</formula1>
    </dataValidation>
  </dataValidations>
  <hyperlinks>
    <hyperlink r:id="rId1" ref="B31"/>
    <hyperlink r:id="rId2" ref="C34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4.13"/>
    <col customWidth="1" min="26" max="26" width="23.5"/>
  </cols>
  <sheetData>
    <row r="1">
      <c r="A1" s="50"/>
      <c r="B1" s="51"/>
      <c r="C1" s="52" t="s">
        <v>53</v>
      </c>
      <c r="D1" s="53"/>
      <c r="E1" s="53"/>
      <c r="F1" s="53"/>
      <c r="G1" s="53"/>
      <c r="H1" s="53"/>
      <c r="I1" s="53"/>
      <c r="J1" s="53"/>
      <c r="K1" s="53"/>
      <c r="L1" s="53"/>
      <c r="M1" s="50"/>
      <c r="N1" s="52" t="s">
        <v>54</v>
      </c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</row>
    <row r="2">
      <c r="A2" s="50"/>
      <c r="B2" s="54" t="s">
        <v>12</v>
      </c>
      <c r="C2" s="55" t="s">
        <v>13</v>
      </c>
      <c r="D2" s="55" t="s">
        <v>14</v>
      </c>
      <c r="E2" s="55" t="s">
        <v>15</v>
      </c>
      <c r="F2" s="55" t="s">
        <v>16</v>
      </c>
      <c r="G2" s="56" t="s">
        <v>17</v>
      </c>
      <c r="H2" s="56" t="s">
        <v>18</v>
      </c>
      <c r="I2" s="56" t="s">
        <v>19</v>
      </c>
      <c r="J2" s="56" t="s">
        <v>20</v>
      </c>
      <c r="K2" s="56" t="s">
        <v>21</v>
      </c>
      <c r="L2" s="56" t="s">
        <v>22</v>
      </c>
      <c r="M2" s="50"/>
      <c r="N2" s="57">
        <v>2014.0</v>
      </c>
      <c r="O2" s="58">
        <v>2015.0</v>
      </c>
      <c r="P2" s="58">
        <v>2016.0</v>
      </c>
      <c r="Q2" s="58">
        <v>2017.0</v>
      </c>
      <c r="R2" s="58">
        <v>2018.0</v>
      </c>
      <c r="S2" s="58">
        <v>2019.0</v>
      </c>
      <c r="T2" s="58">
        <v>2020.0</v>
      </c>
      <c r="U2" s="58">
        <v>2021.0</v>
      </c>
      <c r="V2" s="58">
        <v>2022.0</v>
      </c>
      <c r="W2" s="58">
        <v>2023.0</v>
      </c>
      <c r="X2" s="58">
        <v>2024.0</v>
      </c>
      <c r="Y2" s="58">
        <v>2025.0</v>
      </c>
    </row>
    <row r="3">
      <c r="A3" s="59" t="s">
        <v>55</v>
      </c>
      <c r="B3" s="60"/>
      <c r="C3" s="60">
        <v>1.36619E8</v>
      </c>
      <c r="D3" s="60">
        <v>1.393E8</v>
      </c>
      <c r="E3" s="60">
        <v>1.68008E8</v>
      </c>
      <c r="F3" s="60">
        <v>1.75254E8</v>
      </c>
      <c r="G3" s="60">
        <v>1.77118E8</v>
      </c>
      <c r="H3" s="60">
        <v>1.94E8</v>
      </c>
      <c r="I3" s="60">
        <v>1.8675E8</v>
      </c>
      <c r="J3" s="61">
        <v>1.92493E8</v>
      </c>
      <c r="K3" s="60">
        <v>2.01E8</v>
      </c>
      <c r="L3" s="60">
        <v>2.41E8</v>
      </c>
      <c r="M3" s="62"/>
      <c r="N3" s="61"/>
      <c r="O3" s="61"/>
      <c r="P3" s="61"/>
      <c r="Q3" s="61"/>
      <c r="R3" s="61"/>
      <c r="S3" s="61"/>
      <c r="T3" s="60">
        <v>2.17859E8</v>
      </c>
      <c r="U3" s="60">
        <v>3.97513E8</v>
      </c>
      <c r="V3" s="60">
        <v>6.67281E8</v>
      </c>
      <c r="W3" s="60">
        <v>6.19181E8</v>
      </c>
      <c r="X3" s="60">
        <v>7.50243E8</v>
      </c>
      <c r="Y3" s="1"/>
    </row>
    <row r="4">
      <c r="A4" s="59" t="s">
        <v>56</v>
      </c>
      <c r="B4" s="60"/>
      <c r="C4" s="60">
        <v>8991000.0</v>
      </c>
      <c r="D4" s="60">
        <v>5090000.0</v>
      </c>
      <c r="E4" s="60">
        <v>8893000.0</v>
      </c>
      <c r="F4" s="60">
        <v>7979000.0</v>
      </c>
      <c r="G4" s="60">
        <v>6797000.0</v>
      </c>
      <c r="H4" s="60">
        <v>1000000.0</v>
      </c>
      <c r="I4" s="60">
        <v>823000.0</v>
      </c>
      <c r="J4" s="61">
        <v>5990000.0</v>
      </c>
      <c r="K4" s="60">
        <v>1.5E7</v>
      </c>
      <c r="L4" s="60">
        <v>1.0E7</v>
      </c>
      <c r="M4" s="62"/>
      <c r="N4" s="61"/>
      <c r="O4" s="61"/>
      <c r="P4" s="61"/>
      <c r="Q4" s="61"/>
      <c r="R4" s="61"/>
      <c r="S4" s="61"/>
      <c r="T4" s="60">
        <v>9024000.0</v>
      </c>
      <c r="U4" s="60">
        <v>4.9197E7</v>
      </c>
      <c r="V4" s="60">
        <v>8.3149E7</v>
      </c>
      <c r="W4" s="60">
        <v>3.0953E7</v>
      </c>
      <c r="X4" s="60">
        <v>1.4813E7</v>
      </c>
      <c r="Y4" s="1"/>
    </row>
    <row r="5">
      <c r="A5" s="59" t="s">
        <v>57</v>
      </c>
      <c r="B5" s="60"/>
      <c r="C5" s="60">
        <v>1.5475E7</v>
      </c>
      <c r="D5" s="60">
        <v>1.3807E7</v>
      </c>
      <c r="E5" s="60">
        <v>1.8713E7</v>
      </c>
      <c r="F5" s="60">
        <v>1.8981E7</v>
      </c>
      <c r="G5" s="60">
        <v>2.1152E7</v>
      </c>
      <c r="H5" s="60">
        <v>2.0E7</v>
      </c>
      <c r="I5" s="60">
        <v>2.0585E7</v>
      </c>
      <c r="J5" s="61">
        <v>2.6935E7</v>
      </c>
      <c r="K5" s="60">
        <v>2.8E7</v>
      </c>
      <c r="L5" s="60">
        <v>3.6E7</v>
      </c>
      <c r="M5" s="62"/>
      <c r="N5" s="61"/>
      <c r="O5" s="61"/>
      <c r="P5" s="61"/>
      <c r="Q5" s="61"/>
      <c r="R5" s="61"/>
      <c r="S5" s="61"/>
      <c r="T5" s="60">
        <v>2.0098E7</v>
      </c>
      <c r="U5" s="60">
        <v>5.4824E7</v>
      </c>
      <c r="V5" s="60">
        <v>8.7546E7</v>
      </c>
      <c r="W5" s="60">
        <v>6.6976E7</v>
      </c>
      <c r="X5" s="60">
        <v>8.852E7</v>
      </c>
      <c r="Y5" s="1"/>
    </row>
    <row r="6">
      <c r="A6" s="59" t="s">
        <v>58</v>
      </c>
      <c r="B6" s="60"/>
      <c r="C6" s="60">
        <f>7071000+400000+402000</f>
        <v>7873000</v>
      </c>
      <c r="D6" s="60">
        <f>1277000+1134000+179000</f>
        <v>2590000</v>
      </c>
      <c r="E6" s="60">
        <f>97237000+196000+193000</f>
        <v>97626000</v>
      </c>
      <c r="F6" s="60">
        <v>2498000.0</v>
      </c>
      <c r="G6" s="60">
        <f>120000+50000+155000</f>
        <v>325000</v>
      </c>
      <c r="H6" s="60">
        <v>1000000.0</v>
      </c>
      <c r="I6" s="61">
        <f>107000+1143000+180000</f>
        <v>1430000</v>
      </c>
      <c r="J6" s="61">
        <v>4381000.0</v>
      </c>
      <c r="K6" s="60">
        <v>1000000.0</v>
      </c>
      <c r="L6" s="60">
        <v>1.0E7</v>
      </c>
      <c r="M6" s="62"/>
      <c r="N6" s="61"/>
      <c r="O6" s="61"/>
      <c r="P6" s="61"/>
      <c r="Q6" s="61"/>
      <c r="R6" s="61"/>
      <c r="S6" s="61"/>
      <c r="T6" s="61">
        <f>2585000+1060000</f>
        <v>3645000</v>
      </c>
      <c r="U6" s="61">
        <f>2763000+620000</f>
        <v>3383000</v>
      </c>
      <c r="V6" s="61">
        <f>23367000+4424000+700000</f>
        <v>28491000</v>
      </c>
      <c r="W6" s="61">
        <f>107823000+1855000+909000</f>
        <v>110587000</v>
      </c>
      <c r="X6" s="61">
        <f>227000+5944000+640000</f>
        <v>6811000</v>
      </c>
      <c r="Y6" s="1"/>
    </row>
    <row r="7">
      <c r="A7" s="63" t="s">
        <v>59</v>
      </c>
      <c r="B7" s="64"/>
      <c r="C7" s="64">
        <f t="shared" ref="C7:L7" si="1">SUM(C3:C6)</f>
        <v>168958000</v>
      </c>
      <c r="D7" s="64">
        <f t="shared" si="1"/>
        <v>160787000</v>
      </c>
      <c r="E7" s="64">
        <f t="shared" si="1"/>
        <v>293240000</v>
      </c>
      <c r="F7" s="64">
        <f t="shared" si="1"/>
        <v>204712000</v>
      </c>
      <c r="G7" s="64">
        <f t="shared" si="1"/>
        <v>205392000</v>
      </c>
      <c r="H7" s="64">
        <f t="shared" si="1"/>
        <v>216000000</v>
      </c>
      <c r="I7" s="64">
        <f t="shared" si="1"/>
        <v>209588000</v>
      </c>
      <c r="J7" s="64">
        <f t="shared" si="1"/>
        <v>229799000</v>
      </c>
      <c r="K7" s="64">
        <f t="shared" si="1"/>
        <v>245000000</v>
      </c>
      <c r="L7" s="64">
        <f t="shared" si="1"/>
        <v>297000000</v>
      </c>
      <c r="M7" s="62"/>
      <c r="N7" s="65">
        <v>7.7767E7</v>
      </c>
      <c r="O7" s="65">
        <v>7.4859E7</v>
      </c>
      <c r="P7" s="65">
        <v>7.9146E7</v>
      </c>
      <c r="Q7" s="65">
        <v>1.72033E8</v>
      </c>
      <c r="R7" s="65">
        <v>2.8882E8</v>
      </c>
      <c r="S7" s="65">
        <v>2.98293E8</v>
      </c>
      <c r="T7" s="64">
        <f t="shared" ref="T7:X7" si="2">sum(T3:T6)</f>
        <v>250626000</v>
      </c>
      <c r="U7" s="64">
        <f t="shared" si="2"/>
        <v>504917000</v>
      </c>
      <c r="V7" s="64">
        <f t="shared" si="2"/>
        <v>866467000</v>
      </c>
      <c r="W7" s="64">
        <f t="shared" si="2"/>
        <v>827697000</v>
      </c>
      <c r="X7" s="64">
        <f t="shared" si="2"/>
        <v>860387000</v>
      </c>
      <c r="Y7" s="1"/>
    </row>
    <row r="8">
      <c r="A8" s="62" t="s">
        <v>60</v>
      </c>
      <c r="B8" s="60"/>
      <c r="C8" s="60">
        <v>0.0</v>
      </c>
      <c r="D8" s="60">
        <v>0.0</v>
      </c>
      <c r="E8" s="60">
        <v>0.0</v>
      </c>
      <c r="F8" s="60">
        <v>0.0</v>
      </c>
      <c r="G8" s="60">
        <v>0.0</v>
      </c>
      <c r="H8" s="60">
        <v>0.0</v>
      </c>
      <c r="I8" s="60">
        <v>0.0</v>
      </c>
      <c r="J8" s="60">
        <v>0.0</v>
      </c>
      <c r="K8" s="60">
        <v>0.0</v>
      </c>
      <c r="L8" s="60">
        <v>0.0</v>
      </c>
      <c r="M8" s="62"/>
      <c r="N8" s="60">
        <v>0.0</v>
      </c>
      <c r="O8" s="60">
        <v>0.0</v>
      </c>
      <c r="P8" s="60">
        <v>0.0</v>
      </c>
      <c r="Q8" s="60">
        <v>0.0</v>
      </c>
      <c r="R8" s="60">
        <v>0.0</v>
      </c>
      <c r="S8" s="60">
        <v>0.0</v>
      </c>
      <c r="T8" s="60">
        <v>0.0</v>
      </c>
      <c r="U8" s="60">
        <v>0.0</v>
      </c>
      <c r="V8" s="60">
        <v>0.0</v>
      </c>
      <c r="W8" s="60">
        <v>0.0</v>
      </c>
      <c r="X8" s="60">
        <v>0.0</v>
      </c>
      <c r="Y8" s="1"/>
    </row>
    <row r="9">
      <c r="A9" s="63" t="s">
        <v>61</v>
      </c>
      <c r="B9" s="64"/>
      <c r="C9" s="64">
        <f t="shared" ref="C9:L9" si="3">C7-C8</f>
        <v>168958000</v>
      </c>
      <c r="D9" s="64">
        <f t="shared" si="3"/>
        <v>160787000</v>
      </c>
      <c r="E9" s="64">
        <f t="shared" si="3"/>
        <v>293240000</v>
      </c>
      <c r="F9" s="64">
        <f t="shared" si="3"/>
        <v>204712000</v>
      </c>
      <c r="G9" s="64">
        <f t="shared" si="3"/>
        <v>205392000</v>
      </c>
      <c r="H9" s="64">
        <f t="shared" si="3"/>
        <v>216000000</v>
      </c>
      <c r="I9" s="64">
        <f t="shared" si="3"/>
        <v>209588000</v>
      </c>
      <c r="J9" s="64">
        <f t="shared" si="3"/>
        <v>229799000</v>
      </c>
      <c r="K9" s="64">
        <f t="shared" si="3"/>
        <v>245000000</v>
      </c>
      <c r="L9" s="64">
        <f t="shared" si="3"/>
        <v>297000000</v>
      </c>
      <c r="M9" s="66"/>
      <c r="N9" s="64">
        <f t="shared" ref="N9:X9" si="4">N7-N8</f>
        <v>77767000</v>
      </c>
      <c r="O9" s="64">
        <f t="shared" si="4"/>
        <v>74859000</v>
      </c>
      <c r="P9" s="64">
        <f t="shared" si="4"/>
        <v>79146000</v>
      </c>
      <c r="Q9" s="64">
        <f t="shared" si="4"/>
        <v>172033000</v>
      </c>
      <c r="R9" s="64">
        <f t="shared" si="4"/>
        <v>288820000</v>
      </c>
      <c r="S9" s="64">
        <f t="shared" si="4"/>
        <v>298293000</v>
      </c>
      <c r="T9" s="64">
        <f t="shared" si="4"/>
        <v>250626000</v>
      </c>
      <c r="U9" s="64">
        <f t="shared" si="4"/>
        <v>504917000</v>
      </c>
      <c r="V9" s="64">
        <f t="shared" si="4"/>
        <v>866467000</v>
      </c>
      <c r="W9" s="64">
        <f t="shared" si="4"/>
        <v>827697000</v>
      </c>
      <c r="X9" s="64">
        <f t="shared" si="4"/>
        <v>860387000</v>
      </c>
      <c r="Y9" s="1"/>
    </row>
    <row r="10">
      <c r="A10" s="59" t="s">
        <v>62</v>
      </c>
      <c r="B10" s="60"/>
      <c r="C10" s="60">
        <v>1.2887E7</v>
      </c>
      <c r="D10" s="60">
        <v>1.2621E7</v>
      </c>
      <c r="E10" s="60">
        <v>1.2286E7</v>
      </c>
      <c r="F10" s="60">
        <v>1.2607E7</v>
      </c>
      <c r="G10" s="60">
        <v>1.4E7</v>
      </c>
      <c r="H10" s="60">
        <v>1.6E7</v>
      </c>
      <c r="I10" s="60">
        <v>1.5113E7</v>
      </c>
      <c r="J10" s="61">
        <v>1.5769E7</v>
      </c>
      <c r="K10" s="60">
        <v>1.7E7</v>
      </c>
      <c r="L10" s="60">
        <v>2.1E7</v>
      </c>
      <c r="M10" s="62"/>
      <c r="N10" s="60">
        <v>5377000.0</v>
      </c>
      <c r="O10" s="60">
        <v>5531000.0</v>
      </c>
      <c r="P10" s="60">
        <v>5544000.0</v>
      </c>
      <c r="Q10" s="60">
        <v>1.0608E7</v>
      </c>
      <c r="R10" s="60">
        <v>1.9048E7</v>
      </c>
      <c r="S10" s="60">
        <v>1.9076E7</v>
      </c>
      <c r="T10" s="60">
        <v>1.9844E7</v>
      </c>
      <c r="U10" s="60">
        <v>3.2558E7</v>
      </c>
      <c r="V10" s="60">
        <v>5.6372E7</v>
      </c>
      <c r="W10" s="60">
        <v>5.0401E7</v>
      </c>
      <c r="X10" s="60">
        <v>6.0882E7</v>
      </c>
      <c r="Y10" s="1"/>
    </row>
    <row r="11">
      <c r="A11" s="59" t="s">
        <v>63</v>
      </c>
      <c r="B11" s="60"/>
      <c r="C11" s="60">
        <v>3.0987E7</v>
      </c>
      <c r="D11" s="60">
        <v>3.4064E7</v>
      </c>
      <c r="E11" s="60">
        <v>3.628E7</v>
      </c>
      <c r="F11" s="60">
        <v>4.4787E7</v>
      </c>
      <c r="G11" s="60">
        <v>4.7E7</v>
      </c>
      <c r="H11" s="60">
        <v>4.8E7</v>
      </c>
      <c r="I11" s="60">
        <v>5.4528E7</v>
      </c>
      <c r="J11" s="61">
        <v>6.4884E7</v>
      </c>
      <c r="K11" s="60">
        <v>6.7E7</v>
      </c>
      <c r="L11" s="60">
        <v>1.24E8</v>
      </c>
      <c r="M11" s="62"/>
      <c r="N11" s="60">
        <v>2.7601E7</v>
      </c>
      <c r="O11" s="60">
        <v>3.5439E7</v>
      </c>
      <c r="P11" s="60">
        <v>2.982E7</v>
      </c>
      <c r="Q11" s="60">
        <v>4.0519E7</v>
      </c>
      <c r="R11" s="60">
        <v>5.883E7</v>
      </c>
      <c r="S11" s="60">
        <v>7.8178E7</v>
      </c>
      <c r="T11" s="60">
        <v>1.00501E8</v>
      </c>
      <c r="U11" s="60">
        <v>1.02987E8</v>
      </c>
      <c r="V11" s="60">
        <v>1.21071E8</v>
      </c>
      <c r="W11" s="60">
        <v>1.46118E8</v>
      </c>
      <c r="X11" s="60">
        <v>2.14412E8</v>
      </c>
      <c r="Y11" s="1"/>
    </row>
    <row r="12">
      <c r="A12" s="59" t="s">
        <v>64</v>
      </c>
      <c r="B12" s="60"/>
      <c r="C12" s="60">
        <v>2764000.0</v>
      </c>
      <c r="D12" s="67">
        <v>0.0</v>
      </c>
      <c r="E12" s="60">
        <v>924000.0</v>
      </c>
      <c r="F12" s="60">
        <v>8000.0</v>
      </c>
      <c r="G12" s="60">
        <v>2000000.0</v>
      </c>
      <c r="H12" s="60">
        <v>2000000.0</v>
      </c>
      <c r="I12" s="60">
        <v>2569000.0</v>
      </c>
      <c r="J12" s="61">
        <v>3972000.0</v>
      </c>
      <c r="K12" s="60">
        <v>4000000.0</v>
      </c>
      <c r="L12" s="60">
        <v>3000000.0</v>
      </c>
      <c r="M12" s="62"/>
      <c r="N12" s="61"/>
      <c r="O12" s="61"/>
      <c r="P12" s="61"/>
      <c r="Q12" s="60">
        <v>0.0</v>
      </c>
      <c r="R12" s="60">
        <v>0.0</v>
      </c>
      <c r="S12" s="67">
        <v>0.0</v>
      </c>
      <c r="T12" s="60">
        <v>6.9202E7</v>
      </c>
      <c r="U12" s="60">
        <v>0.0</v>
      </c>
      <c r="V12" s="60">
        <v>3696000.0</v>
      </c>
      <c r="W12" s="60">
        <v>3696000.0</v>
      </c>
      <c r="X12" s="60">
        <v>1.0541E7</v>
      </c>
      <c r="Y12" s="1"/>
    </row>
    <row r="13">
      <c r="A13" s="59" t="s">
        <v>65</v>
      </c>
      <c r="B13" s="60"/>
      <c r="C13" s="60">
        <v>0.0</v>
      </c>
      <c r="D13" s="60">
        <v>2008000.0</v>
      </c>
      <c r="E13" s="60">
        <v>956000.0</v>
      </c>
      <c r="F13" s="60">
        <v>3943000.0</v>
      </c>
      <c r="G13" s="60">
        <v>3000000.0</v>
      </c>
      <c r="H13" s="60">
        <v>2000000.0</v>
      </c>
      <c r="I13" s="60">
        <v>2046000.0</v>
      </c>
      <c r="J13" s="61">
        <v>1054000.0</v>
      </c>
      <c r="K13" s="60">
        <v>2000000.0</v>
      </c>
      <c r="L13" s="60">
        <v>4000000.0</v>
      </c>
      <c r="M13" s="62"/>
      <c r="N13" s="60">
        <v>4372000.0</v>
      </c>
      <c r="O13" s="60">
        <v>5835000.0</v>
      </c>
      <c r="P13" s="60">
        <v>5209000.0</v>
      </c>
      <c r="Q13" s="60">
        <v>6296000.0</v>
      </c>
      <c r="R13" s="60">
        <v>7955000.0</v>
      </c>
      <c r="S13" s="60">
        <v>7489000.0</v>
      </c>
      <c r="T13" s="68">
        <v>8165000.0</v>
      </c>
      <c r="U13" s="60">
        <v>7800000.0</v>
      </c>
      <c r="V13" s="60">
        <v>4846000.0</v>
      </c>
      <c r="W13" s="60">
        <v>6907000.0</v>
      </c>
      <c r="X13" s="60">
        <v>8100000.0</v>
      </c>
      <c r="Y13" s="1"/>
    </row>
    <row r="14">
      <c r="A14" s="59" t="s">
        <v>66</v>
      </c>
      <c r="B14" s="60"/>
      <c r="C14" s="60">
        <v>0.0</v>
      </c>
      <c r="D14" s="60">
        <v>0.0</v>
      </c>
      <c r="E14" s="60">
        <v>0.0</v>
      </c>
      <c r="F14" s="61">
        <v>356000.0</v>
      </c>
      <c r="G14" s="61"/>
      <c r="H14" s="60">
        <v>0.0</v>
      </c>
      <c r="I14" s="60">
        <v>-236000.0</v>
      </c>
      <c r="J14" s="61">
        <v>291000.0</v>
      </c>
      <c r="K14" s="60">
        <v>0.0</v>
      </c>
      <c r="L14" s="60">
        <v>1.0E7</v>
      </c>
      <c r="M14" s="62"/>
      <c r="N14" s="60">
        <v>0.0</v>
      </c>
      <c r="O14" s="60">
        <f>259000+3423000</f>
        <v>3682000</v>
      </c>
      <c r="P14" s="60">
        <f>415000+47469000</f>
        <v>47884000</v>
      </c>
      <c r="Q14" s="60">
        <v>789000.0</v>
      </c>
      <c r="R14" s="60">
        <v>0.0</v>
      </c>
      <c r="S14" s="60">
        <v>0.0</v>
      </c>
      <c r="T14" s="68">
        <v>0.0</v>
      </c>
      <c r="U14" s="60">
        <v>0.0</v>
      </c>
      <c r="V14" s="60">
        <v>0.0</v>
      </c>
      <c r="W14" s="60">
        <v>356000.0</v>
      </c>
      <c r="X14" s="60">
        <v>55000.0</v>
      </c>
      <c r="Y14" s="1"/>
    </row>
    <row r="15">
      <c r="A15" s="69" t="s">
        <v>67</v>
      </c>
      <c r="B15" s="70"/>
      <c r="C15" s="70">
        <f t="shared" ref="C15:L15" si="5">SUM(C10:C14)</f>
        <v>46638000</v>
      </c>
      <c r="D15" s="70">
        <f t="shared" si="5"/>
        <v>48693000</v>
      </c>
      <c r="E15" s="70">
        <f t="shared" si="5"/>
        <v>50446000</v>
      </c>
      <c r="F15" s="70">
        <f t="shared" si="5"/>
        <v>61701000</v>
      </c>
      <c r="G15" s="70">
        <f t="shared" si="5"/>
        <v>66000000</v>
      </c>
      <c r="H15" s="70">
        <f t="shared" si="5"/>
        <v>68000000</v>
      </c>
      <c r="I15" s="70">
        <f t="shared" si="5"/>
        <v>74020000</v>
      </c>
      <c r="J15" s="70">
        <f t="shared" si="5"/>
        <v>85970000</v>
      </c>
      <c r="K15" s="70">
        <f t="shared" si="5"/>
        <v>90000000</v>
      </c>
      <c r="L15" s="70">
        <f t="shared" si="5"/>
        <v>162000000</v>
      </c>
      <c r="M15" s="62"/>
      <c r="N15" s="70">
        <f t="shared" ref="N15:X15" si="6">SUM(N10:N14)</f>
        <v>37350000</v>
      </c>
      <c r="O15" s="70">
        <f t="shared" si="6"/>
        <v>50487000</v>
      </c>
      <c r="P15" s="70">
        <f t="shared" si="6"/>
        <v>88457000</v>
      </c>
      <c r="Q15" s="70">
        <f t="shared" si="6"/>
        <v>58212000</v>
      </c>
      <c r="R15" s="70">
        <f t="shared" si="6"/>
        <v>85833000</v>
      </c>
      <c r="S15" s="70">
        <f t="shared" si="6"/>
        <v>104743000</v>
      </c>
      <c r="T15" s="70">
        <f t="shared" si="6"/>
        <v>197712000</v>
      </c>
      <c r="U15" s="70">
        <f t="shared" si="6"/>
        <v>143345000</v>
      </c>
      <c r="V15" s="70">
        <f t="shared" si="6"/>
        <v>185985000</v>
      </c>
      <c r="W15" s="70">
        <f t="shared" si="6"/>
        <v>207478000</v>
      </c>
      <c r="X15" s="70">
        <f t="shared" si="6"/>
        <v>293990000</v>
      </c>
      <c r="Y15" s="1"/>
    </row>
    <row r="16">
      <c r="A16" s="71" t="s">
        <v>68</v>
      </c>
      <c r="B16" s="72"/>
      <c r="C16" s="72">
        <f t="shared" ref="C16:L16" si="7">C9-C15</f>
        <v>122320000</v>
      </c>
      <c r="D16" s="72">
        <f t="shared" si="7"/>
        <v>112094000</v>
      </c>
      <c r="E16" s="72">
        <f t="shared" si="7"/>
        <v>242794000</v>
      </c>
      <c r="F16" s="72">
        <f t="shared" si="7"/>
        <v>143011000</v>
      </c>
      <c r="G16" s="72">
        <f t="shared" si="7"/>
        <v>139392000</v>
      </c>
      <c r="H16" s="72">
        <f t="shared" si="7"/>
        <v>148000000</v>
      </c>
      <c r="I16" s="72">
        <f t="shared" si="7"/>
        <v>135568000</v>
      </c>
      <c r="J16" s="72">
        <f t="shared" si="7"/>
        <v>143829000</v>
      </c>
      <c r="K16" s="72">
        <f t="shared" si="7"/>
        <v>155000000</v>
      </c>
      <c r="L16" s="72">
        <f t="shared" si="7"/>
        <v>135000000</v>
      </c>
      <c r="M16" s="62"/>
      <c r="N16" s="72">
        <f t="shared" ref="N16:X16" si="8">N9-N15</f>
        <v>40417000</v>
      </c>
      <c r="O16" s="72">
        <f t="shared" si="8"/>
        <v>24372000</v>
      </c>
      <c r="P16" s="72">
        <f t="shared" si="8"/>
        <v>-9311000</v>
      </c>
      <c r="Q16" s="72">
        <f t="shared" si="8"/>
        <v>113821000</v>
      </c>
      <c r="R16" s="72">
        <f t="shared" si="8"/>
        <v>202987000</v>
      </c>
      <c r="S16" s="72">
        <f t="shared" si="8"/>
        <v>193550000</v>
      </c>
      <c r="T16" s="72">
        <f t="shared" si="8"/>
        <v>52914000</v>
      </c>
      <c r="U16" s="72">
        <f t="shared" si="8"/>
        <v>361572000</v>
      </c>
      <c r="V16" s="72">
        <f t="shared" si="8"/>
        <v>680482000</v>
      </c>
      <c r="W16" s="72">
        <f t="shared" si="8"/>
        <v>620219000</v>
      </c>
      <c r="X16" s="72">
        <f t="shared" si="8"/>
        <v>566397000</v>
      </c>
      <c r="Y16" s="1"/>
    </row>
    <row r="17">
      <c r="A17" s="59" t="s">
        <v>69</v>
      </c>
      <c r="B17" s="60"/>
      <c r="C17" s="60">
        <v>-9686000.0</v>
      </c>
      <c r="D17" s="60">
        <v>-1.1291E7</v>
      </c>
      <c r="E17" s="60">
        <v>-1.097E7</v>
      </c>
      <c r="F17" s="60">
        <v>-1.5445E7</v>
      </c>
      <c r="G17" s="60">
        <v>-2.0E7</v>
      </c>
      <c r="H17" s="60">
        <v>-1.8E7</v>
      </c>
      <c r="I17" s="60">
        <v>-1.6739E7</v>
      </c>
      <c r="J17" s="61">
        <v>-1.9109E7</v>
      </c>
      <c r="K17" s="60">
        <v>-1.3E7</v>
      </c>
      <c r="L17" s="60">
        <v>-1.5E7</v>
      </c>
      <c r="M17" s="62"/>
      <c r="N17" s="60">
        <f>-487000-10755000</f>
        <v>-11242000</v>
      </c>
      <c r="O17" s="60">
        <v>-1110000.0</v>
      </c>
      <c r="P17" s="60">
        <v>-2455000.0</v>
      </c>
      <c r="Q17" s="60">
        <v>-3164000.0</v>
      </c>
      <c r="R17" s="60">
        <v>-1.3849E7</v>
      </c>
      <c r="S17" s="60">
        <v>-2.1076E7</v>
      </c>
      <c r="T17" s="60">
        <v>-3.3E7</v>
      </c>
      <c r="U17" s="60">
        <v>-3.4044E7</v>
      </c>
      <c r="V17" s="60">
        <v>-3.9994E7</v>
      </c>
      <c r="W17" s="60">
        <v>-4.7392E7</v>
      </c>
      <c r="X17" s="60">
        <v>-7.3848E7</v>
      </c>
      <c r="Y17" s="1"/>
    </row>
    <row r="18">
      <c r="A18" s="59" t="s">
        <v>70</v>
      </c>
      <c r="B18" s="60"/>
      <c r="C18" s="60">
        <v>-1.5103E7</v>
      </c>
      <c r="D18" s="60">
        <v>-1.2594E7</v>
      </c>
      <c r="E18" s="60">
        <v>-2988000.0</v>
      </c>
      <c r="F18" s="60">
        <v>4892000.0</v>
      </c>
      <c r="G18" s="60">
        <v>-7000000.0</v>
      </c>
      <c r="H18" s="60">
        <v>5000000.0</v>
      </c>
      <c r="I18" s="60">
        <v>7410000.0</v>
      </c>
      <c r="J18" s="61">
        <v>5976000.0</v>
      </c>
      <c r="K18" s="60">
        <v>3.2E7</v>
      </c>
      <c r="L18" s="60">
        <v>-2.9E7</v>
      </c>
      <c r="M18" s="62"/>
      <c r="N18" s="60">
        <v>0.0</v>
      </c>
      <c r="O18" s="60">
        <v>0.0</v>
      </c>
      <c r="P18" s="60">
        <v>0.0</v>
      </c>
      <c r="Q18" s="60">
        <v>0.0</v>
      </c>
      <c r="R18" s="60">
        <v>-5500000.0</v>
      </c>
      <c r="S18" s="60">
        <v>4832000.0</v>
      </c>
      <c r="T18" s="60">
        <v>-6.3591E7</v>
      </c>
      <c r="U18" s="60">
        <v>-6.9409E7</v>
      </c>
      <c r="V18" s="60">
        <v>-1.8138E7</v>
      </c>
      <c r="W18" s="60">
        <v>-2.5793E7</v>
      </c>
      <c r="X18" s="60">
        <v>1.1386E7</v>
      </c>
      <c r="Y18" s="1"/>
    </row>
    <row r="19">
      <c r="A19" s="59" t="s">
        <v>71</v>
      </c>
      <c r="B19" s="60"/>
      <c r="C19" s="60">
        <v>0.0</v>
      </c>
      <c r="D19" s="60">
        <v>0.0</v>
      </c>
      <c r="E19" s="60">
        <v>0.0</v>
      </c>
      <c r="F19" s="60">
        <v>0.0</v>
      </c>
      <c r="G19" s="60">
        <v>0.0</v>
      </c>
      <c r="H19" s="60">
        <v>0.0</v>
      </c>
      <c r="I19" s="60">
        <v>0.0</v>
      </c>
      <c r="J19" s="60">
        <v>0.0</v>
      </c>
      <c r="K19" s="60">
        <v>0.0</v>
      </c>
      <c r="L19" s="60">
        <v>0.0</v>
      </c>
      <c r="M19" s="62"/>
      <c r="N19" s="60">
        <v>0.0</v>
      </c>
      <c r="O19" s="60">
        <v>0.0</v>
      </c>
      <c r="P19" s="60">
        <v>0.0</v>
      </c>
      <c r="Q19" s="60">
        <v>0.0</v>
      </c>
      <c r="R19" s="60">
        <v>0.0</v>
      </c>
      <c r="S19" s="60">
        <v>0.0</v>
      </c>
      <c r="T19" s="60">
        <v>-8556000.0</v>
      </c>
      <c r="U19" s="60">
        <v>0.0</v>
      </c>
      <c r="V19" s="60">
        <v>0.0</v>
      </c>
      <c r="W19" s="60">
        <v>0.0</v>
      </c>
      <c r="X19" s="60">
        <v>0.0</v>
      </c>
      <c r="Y19" s="1"/>
    </row>
    <row r="20">
      <c r="A20" s="59" t="s">
        <v>72</v>
      </c>
      <c r="B20" s="60"/>
      <c r="C20" s="60">
        <v>141000.0</v>
      </c>
      <c r="D20" s="60">
        <v>172000.0</v>
      </c>
      <c r="E20" s="60">
        <v>256000.0</v>
      </c>
      <c r="F20" s="60">
        <v>-310000.0</v>
      </c>
      <c r="G20" s="60">
        <v>0.0</v>
      </c>
      <c r="H20" s="60">
        <v>0.0</v>
      </c>
      <c r="I20" s="60">
        <v>0.0</v>
      </c>
      <c r="J20" s="61">
        <v>0.0</v>
      </c>
      <c r="K20" s="60">
        <v>0.0</v>
      </c>
      <c r="L20" s="60">
        <v>0.0</v>
      </c>
      <c r="M20" s="62"/>
      <c r="N20" s="60">
        <v>459000.0</v>
      </c>
      <c r="O20" s="60">
        <v>1154000.0</v>
      </c>
      <c r="P20" s="60">
        <v>867000.0</v>
      </c>
      <c r="Q20" s="60">
        <v>821000.0</v>
      </c>
      <c r="R20" s="60">
        <v>1924000.0</v>
      </c>
      <c r="S20" s="60">
        <v>2332000.0</v>
      </c>
      <c r="T20" s="60">
        <v>1286000.0</v>
      </c>
      <c r="U20" s="60">
        <v>79000.0</v>
      </c>
      <c r="V20" s="60">
        <v>1000000.0</v>
      </c>
      <c r="W20" s="60">
        <v>259000.0</v>
      </c>
      <c r="X20" s="60">
        <v>0.0</v>
      </c>
      <c r="Y20" s="1"/>
    </row>
    <row r="21">
      <c r="A21" s="63" t="s">
        <v>73</v>
      </c>
      <c r="B21" s="64"/>
      <c r="C21" s="64">
        <f t="shared" ref="C21:L21" si="9">C16+(C17+C18+C20)</f>
        <v>97672000</v>
      </c>
      <c r="D21" s="64">
        <f t="shared" si="9"/>
        <v>88381000</v>
      </c>
      <c r="E21" s="64">
        <f t="shared" si="9"/>
        <v>229092000</v>
      </c>
      <c r="F21" s="64">
        <f t="shared" si="9"/>
        <v>132148000</v>
      </c>
      <c r="G21" s="64">
        <f t="shared" si="9"/>
        <v>112392000</v>
      </c>
      <c r="H21" s="64">
        <f t="shared" si="9"/>
        <v>135000000</v>
      </c>
      <c r="I21" s="64">
        <f t="shared" si="9"/>
        <v>126239000</v>
      </c>
      <c r="J21" s="64">
        <f t="shared" si="9"/>
        <v>130696000</v>
      </c>
      <c r="K21" s="64">
        <f t="shared" si="9"/>
        <v>174000000</v>
      </c>
      <c r="L21" s="64">
        <f t="shared" si="9"/>
        <v>91000000</v>
      </c>
      <c r="M21" s="62"/>
      <c r="N21" s="64">
        <f t="shared" ref="N21:X21" si="10">N16+(SUM(N17:N20))</f>
        <v>29634000</v>
      </c>
      <c r="O21" s="64">
        <f t="shared" si="10"/>
        <v>24416000</v>
      </c>
      <c r="P21" s="64">
        <f t="shared" si="10"/>
        <v>-10899000</v>
      </c>
      <c r="Q21" s="64">
        <f t="shared" si="10"/>
        <v>111478000</v>
      </c>
      <c r="R21" s="64">
        <f t="shared" si="10"/>
        <v>185562000</v>
      </c>
      <c r="S21" s="64">
        <f t="shared" si="10"/>
        <v>179638000</v>
      </c>
      <c r="T21" s="64">
        <f t="shared" si="10"/>
        <v>-50947000</v>
      </c>
      <c r="U21" s="64">
        <f t="shared" si="10"/>
        <v>258198000</v>
      </c>
      <c r="V21" s="64">
        <f t="shared" si="10"/>
        <v>623350000</v>
      </c>
      <c r="W21" s="64">
        <f t="shared" si="10"/>
        <v>547293000</v>
      </c>
      <c r="X21" s="64">
        <f t="shared" si="10"/>
        <v>503935000</v>
      </c>
      <c r="Y21" s="1"/>
    </row>
    <row r="22">
      <c r="A22" s="62" t="s">
        <v>74</v>
      </c>
      <c r="B22" s="60"/>
      <c r="C22" s="60">
        <v>9406000.0</v>
      </c>
      <c r="D22" s="60">
        <v>8450000.0</v>
      </c>
      <c r="E22" s="60">
        <v>2.1879E7</v>
      </c>
      <c r="F22" s="60">
        <v>6217000.0</v>
      </c>
      <c r="G22" s="60">
        <v>1.3E7</v>
      </c>
      <c r="H22" s="60">
        <v>1.2E7</v>
      </c>
      <c r="I22" s="60">
        <v>1.7194E7</v>
      </c>
      <c r="J22" s="61">
        <v>-1.41905E8</v>
      </c>
      <c r="K22" s="60">
        <v>2.1E7</v>
      </c>
      <c r="L22" s="60">
        <v>7000000.0</v>
      </c>
      <c r="M22" s="62"/>
      <c r="N22" s="61"/>
      <c r="O22" s="61"/>
      <c r="P22" s="61"/>
      <c r="Q22" s="60">
        <v>0.0</v>
      </c>
      <c r="R22" s="60">
        <v>-7.2365E7</v>
      </c>
      <c r="S22" s="60">
        <v>-4.1582E7</v>
      </c>
      <c r="T22" s="60">
        <v>1.42466E8</v>
      </c>
      <c r="U22" s="60">
        <v>1521000.0</v>
      </c>
      <c r="V22" s="60">
        <v>-3.2653E7</v>
      </c>
      <c r="W22" s="60">
        <v>4.5952E7</v>
      </c>
      <c r="X22" s="60">
        <v>-9.9711E7</v>
      </c>
      <c r="Y22" s="1"/>
    </row>
    <row r="23">
      <c r="A23" s="63" t="s">
        <v>75</v>
      </c>
      <c r="B23" s="64"/>
      <c r="C23" s="64">
        <f t="shared" ref="C23:L23" si="11">C21-C22</f>
        <v>88266000</v>
      </c>
      <c r="D23" s="64">
        <f t="shared" si="11"/>
        <v>79931000</v>
      </c>
      <c r="E23" s="64">
        <f t="shared" si="11"/>
        <v>207213000</v>
      </c>
      <c r="F23" s="64">
        <f t="shared" si="11"/>
        <v>125931000</v>
      </c>
      <c r="G23" s="64">
        <f t="shared" si="11"/>
        <v>99392000</v>
      </c>
      <c r="H23" s="64">
        <f t="shared" si="11"/>
        <v>123000000</v>
      </c>
      <c r="I23" s="64">
        <f t="shared" si="11"/>
        <v>109045000</v>
      </c>
      <c r="J23" s="64">
        <f t="shared" si="11"/>
        <v>272601000</v>
      </c>
      <c r="K23" s="64">
        <f t="shared" si="11"/>
        <v>153000000</v>
      </c>
      <c r="L23" s="64">
        <f t="shared" si="11"/>
        <v>84000000</v>
      </c>
      <c r="M23" s="62"/>
      <c r="N23" s="64">
        <f t="shared" ref="N23:X23" si="12">N21-N22</f>
        <v>29634000</v>
      </c>
      <c r="O23" s="64">
        <f t="shared" si="12"/>
        <v>24416000</v>
      </c>
      <c r="P23" s="64">
        <f t="shared" si="12"/>
        <v>-10899000</v>
      </c>
      <c r="Q23" s="64">
        <f t="shared" si="12"/>
        <v>111478000</v>
      </c>
      <c r="R23" s="64">
        <f t="shared" si="12"/>
        <v>257927000</v>
      </c>
      <c r="S23" s="64">
        <f t="shared" si="12"/>
        <v>221220000</v>
      </c>
      <c r="T23" s="64">
        <f t="shared" si="12"/>
        <v>-193413000</v>
      </c>
      <c r="U23" s="64">
        <f t="shared" si="12"/>
        <v>256677000</v>
      </c>
      <c r="V23" s="64">
        <f t="shared" si="12"/>
        <v>656003000</v>
      </c>
      <c r="W23" s="64">
        <f t="shared" si="12"/>
        <v>501341000</v>
      </c>
      <c r="X23" s="64">
        <f t="shared" si="12"/>
        <v>603646000</v>
      </c>
      <c r="Y23" s="1"/>
    </row>
    <row r="24">
      <c r="A24" s="73" t="s">
        <v>76</v>
      </c>
      <c r="B24" s="60"/>
      <c r="C24" s="60">
        <v>5.4299E7</v>
      </c>
      <c r="D24" s="60">
        <v>4.9381E7</v>
      </c>
      <c r="E24" s="60">
        <v>1.28614E8</v>
      </c>
      <c r="F24" s="60">
        <v>6.8941E7</v>
      </c>
      <c r="G24" s="60">
        <v>5.6E7</v>
      </c>
      <c r="H24" s="60">
        <v>6.6E7</v>
      </c>
      <c r="I24" s="60">
        <v>6.0128E7</v>
      </c>
      <c r="J24" s="61">
        <v>6.2273E7</v>
      </c>
      <c r="K24" s="60">
        <v>7.8E7</v>
      </c>
      <c r="L24" s="60">
        <v>4.7E7</v>
      </c>
      <c r="M24" s="61"/>
      <c r="N24" s="60">
        <v>0.0</v>
      </c>
      <c r="O24" s="60">
        <v>0.0</v>
      </c>
      <c r="P24" s="60">
        <v>0.0</v>
      </c>
      <c r="Q24" s="60">
        <v>0.0</v>
      </c>
      <c r="R24" s="60">
        <v>1.18979E8</v>
      </c>
      <c r="S24" s="60">
        <v>1.74929E8</v>
      </c>
      <c r="T24" s="60">
        <v>-1109000.0</v>
      </c>
      <c r="U24" s="60">
        <v>1.98738E8</v>
      </c>
      <c r="V24" s="60">
        <v>5.03331E8</v>
      </c>
      <c r="W24" s="60">
        <v>3.01235E8</v>
      </c>
      <c r="X24" s="60">
        <v>2.44401E8</v>
      </c>
      <c r="Y24" s="25"/>
      <c r="Z24" s="74"/>
      <c r="AA24" s="74"/>
      <c r="AB24" s="74"/>
      <c r="AC24" s="74"/>
      <c r="AD24" s="74"/>
      <c r="AE24" s="74"/>
      <c r="AF24" s="74"/>
      <c r="AG24" s="74"/>
      <c r="AH24" s="74"/>
      <c r="AI24" s="74"/>
    </row>
    <row r="25">
      <c r="A25" s="75" t="s">
        <v>77</v>
      </c>
      <c r="B25" s="64"/>
      <c r="C25" s="64">
        <f t="shared" ref="C25:L25" si="13">C23-C24</f>
        <v>33967000</v>
      </c>
      <c r="D25" s="64">
        <f t="shared" si="13"/>
        <v>30550000</v>
      </c>
      <c r="E25" s="64">
        <f t="shared" si="13"/>
        <v>78599000</v>
      </c>
      <c r="F25" s="64">
        <f t="shared" si="13"/>
        <v>56990000</v>
      </c>
      <c r="G25" s="64">
        <f t="shared" si="13"/>
        <v>43392000</v>
      </c>
      <c r="H25" s="64">
        <f t="shared" si="13"/>
        <v>57000000</v>
      </c>
      <c r="I25" s="64">
        <f t="shared" si="13"/>
        <v>48917000</v>
      </c>
      <c r="J25" s="64">
        <f t="shared" si="13"/>
        <v>210328000</v>
      </c>
      <c r="K25" s="64">
        <f t="shared" si="13"/>
        <v>75000000</v>
      </c>
      <c r="L25" s="64">
        <f t="shared" si="13"/>
        <v>37000000</v>
      </c>
      <c r="M25" s="76"/>
      <c r="N25" s="64">
        <f t="shared" ref="N25:X25" si="14">N23-N24</f>
        <v>29634000</v>
      </c>
      <c r="O25" s="64">
        <f t="shared" si="14"/>
        <v>24416000</v>
      </c>
      <c r="P25" s="64">
        <f t="shared" si="14"/>
        <v>-10899000</v>
      </c>
      <c r="Q25" s="64">
        <f t="shared" si="14"/>
        <v>111478000</v>
      </c>
      <c r="R25" s="64">
        <f t="shared" si="14"/>
        <v>138948000</v>
      </c>
      <c r="S25" s="64">
        <f t="shared" si="14"/>
        <v>46291000</v>
      </c>
      <c r="T25" s="64">
        <f t="shared" si="14"/>
        <v>-192304000</v>
      </c>
      <c r="U25" s="64">
        <f t="shared" si="14"/>
        <v>57939000</v>
      </c>
      <c r="V25" s="64">
        <f t="shared" si="14"/>
        <v>152672000</v>
      </c>
      <c r="W25" s="64">
        <f t="shared" si="14"/>
        <v>200106000</v>
      </c>
      <c r="X25" s="64">
        <f t="shared" si="14"/>
        <v>359245000</v>
      </c>
      <c r="Y25" s="77"/>
      <c r="Z25" s="78"/>
      <c r="AA25" s="78"/>
      <c r="AB25" s="79"/>
      <c r="AC25" s="79"/>
      <c r="AD25" s="79"/>
      <c r="AE25" s="79"/>
      <c r="AF25" s="79"/>
      <c r="AG25" s="79"/>
      <c r="AH25" s="79"/>
      <c r="AI25" s="79"/>
    </row>
    <row r="26">
      <c r="A26" s="62" t="s">
        <v>78</v>
      </c>
      <c r="B26" s="80"/>
      <c r="C26" s="80">
        <f t="shared" ref="C26:L26" si="15">C23/C27</f>
        <v>0.5424191088</v>
      </c>
      <c r="D26" s="80">
        <f t="shared" si="15"/>
        <v>0.4945796683</v>
      </c>
      <c r="E26" s="80">
        <f t="shared" si="15"/>
        <v>1.165072165</v>
      </c>
      <c r="F26" s="80">
        <f t="shared" si="15"/>
        <v>0.712061045</v>
      </c>
      <c r="G26" s="80">
        <f t="shared" si="15"/>
        <v>0.5750012281</v>
      </c>
      <c r="H26" s="80">
        <f t="shared" si="15"/>
        <v>0.6953927533</v>
      </c>
      <c r="I26" s="81">
        <f t="shared" si="15"/>
        <v>0.5787687128</v>
      </c>
      <c r="J26" s="81">
        <f t="shared" si="15"/>
        <v>1.243930431</v>
      </c>
      <c r="K26" s="81">
        <f t="shared" si="15"/>
        <v>0.5302519223</v>
      </c>
      <c r="L26" s="81">
        <f t="shared" si="15"/>
        <v>0.2911400318</v>
      </c>
      <c r="M26" s="62"/>
      <c r="N26" s="81" t="str">
        <f t="shared" ref="N26:O26" si="16">N23/N27</f>
        <v>#DIV/0!</v>
      </c>
      <c r="O26" s="81" t="str">
        <f t="shared" si="16"/>
        <v>#DIV/0!</v>
      </c>
      <c r="P26" s="81" t="str">
        <f>P23/#REF!</f>
        <v>#REF!</v>
      </c>
      <c r="Q26" s="81">
        <f>Q23/P27</f>
        <v>1.269675945</v>
      </c>
      <c r="R26" s="81" t="str">
        <f t="shared" ref="R26:X26" si="17">R23/R27</f>
        <v>#DIV/0!</v>
      </c>
      <c r="S26" s="81">
        <f t="shared" si="17"/>
        <v>1.395571957</v>
      </c>
      <c r="T26" s="81">
        <f t="shared" si="17"/>
        <v>-1.264106074</v>
      </c>
      <c r="U26" s="81">
        <f t="shared" si="17"/>
        <v>1.530790166</v>
      </c>
      <c r="V26" s="81">
        <f t="shared" si="17"/>
        <v>4.015026462</v>
      </c>
      <c r="W26" s="81">
        <f t="shared" si="17"/>
        <v>2.834769806</v>
      </c>
      <c r="X26" s="81">
        <f t="shared" si="17"/>
        <v>2.754551997</v>
      </c>
      <c r="Y26" s="1"/>
    </row>
    <row r="27">
      <c r="A27" s="62" t="s">
        <v>79</v>
      </c>
      <c r="B27" s="82">
        <v>1.63386968E8</v>
      </c>
      <c r="C27" s="81">
        <f>MAIN!C4</f>
        <v>162726568</v>
      </c>
      <c r="D27" s="81">
        <f>MAIN!D4</f>
        <v>161614003</v>
      </c>
      <c r="E27" s="81">
        <f>MAIN!E4</f>
        <v>177854219</v>
      </c>
      <c r="F27" s="81">
        <f>MAIN!F4</f>
        <v>176854219</v>
      </c>
      <c r="G27" s="81">
        <f>MAIN!G4</f>
        <v>172855283</v>
      </c>
      <c r="H27" s="81">
        <f>MAIN!H4</f>
        <v>176878461</v>
      </c>
      <c r="I27" s="81">
        <f>MAIN!I4</f>
        <v>188408595</v>
      </c>
      <c r="J27" s="81">
        <f>MAIN!J4</f>
        <v>219144892</v>
      </c>
      <c r="K27" s="81">
        <f>MAIN!K4</f>
        <v>288542094</v>
      </c>
      <c r="L27" s="81">
        <f>MAIN!L4</f>
        <v>288520955</v>
      </c>
      <c r="M27" s="62"/>
      <c r="N27" s="81"/>
      <c r="O27" s="81"/>
      <c r="P27" s="60">
        <f>87800356</f>
        <v>87800356</v>
      </c>
      <c r="R27" s="60"/>
      <c r="S27" s="60">
        <f>67805707+90709946</f>
        <v>158515653</v>
      </c>
      <c r="T27" s="60">
        <f>62293828+90709946</f>
        <v>153003774</v>
      </c>
      <c r="U27" s="60">
        <f>76966203+90709946</f>
        <v>167676149</v>
      </c>
      <c r="V27" s="60">
        <v>1.63386968E8</v>
      </c>
      <c r="W27" s="82">
        <v>1.76854219E8</v>
      </c>
      <c r="X27" s="60">
        <v>2.19144892E8</v>
      </c>
      <c r="Y27" s="1"/>
    </row>
    <row r="28">
      <c r="A28" s="6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62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1"/>
      <c r="Z28" s="84" t="s">
        <v>80</v>
      </c>
      <c r="AA28" s="85" t="s">
        <v>81</v>
      </c>
    </row>
    <row r="29">
      <c r="A29" s="86" t="s">
        <v>82</v>
      </c>
      <c r="B29" s="87" t="str">
        <f t="shared" ref="B29:L29" si="18">(B7-A7)/A7</f>
        <v>#VALUE!</v>
      </c>
      <c r="C29" s="87" t="str">
        <f t="shared" si="18"/>
        <v>#DIV/0!</v>
      </c>
      <c r="D29" s="87">
        <f t="shared" si="18"/>
        <v>-0.04836113117</v>
      </c>
      <c r="E29" s="87">
        <f t="shared" si="18"/>
        <v>0.8237792856</v>
      </c>
      <c r="F29" s="87">
        <f t="shared" si="18"/>
        <v>-0.3018960578</v>
      </c>
      <c r="G29" s="87">
        <f t="shared" si="18"/>
        <v>0.00332173981</v>
      </c>
      <c r="H29" s="87">
        <f t="shared" si="18"/>
        <v>0.05164758121</v>
      </c>
      <c r="I29" s="87">
        <f t="shared" si="18"/>
        <v>-0.02968518519</v>
      </c>
      <c r="J29" s="87">
        <f t="shared" si="18"/>
        <v>0.09643204764</v>
      </c>
      <c r="K29" s="87">
        <f t="shared" si="18"/>
        <v>0.06614911292</v>
      </c>
      <c r="L29" s="88">
        <f t="shared" si="18"/>
        <v>0.212244898</v>
      </c>
      <c r="M29" s="62"/>
      <c r="N29" s="88"/>
      <c r="O29" s="88">
        <f t="shared" ref="O29:X29" si="19">(O7-N7)/ABS(N7)</f>
        <v>-0.03739375313</v>
      </c>
      <c r="P29" s="88">
        <f t="shared" si="19"/>
        <v>0.05726766321</v>
      </c>
      <c r="Q29" s="88">
        <f t="shared" si="19"/>
        <v>1.173615849</v>
      </c>
      <c r="R29" s="88">
        <f t="shared" si="19"/>
        <v>0.6788639389</v>
      </c>
      <c r="S29" s="88">
        <f t="shared" si="19"/>
        <v>0.03279897514</v>
      </c>
      <c r="T29" s="88">
        <f t="shared" si="19"/>
        <v>-0.1597992578</v>
      </c>
      <c r="U29" s="88">
        <f t="shared" si="19"/>
        <v>1.014623383</v>
      </c>
      <c r="V29" s="88">
        <f t="shared" si="19"/>
        <v>0.7160582828</v>
      </c>
      <c r="W29" s="88">
        <f t="shared" si="19"/>
        <v>-0.04474492393</v>
      </c>
      <c r="X29" s="88">
        <f t="shared" si="19"/>
        <v>0.03949512926</v>
      </c>
      <c r="Y29" s="1"/>
      <c r="Z29" s="89">
        <f>AVERAGE(O29:X29)</f>
        <v>0.3470785287</v>
      </c>
      <c r="AA29" s="90">
        <f>STDEV(O29:X29)</f>
        <v>0.4956081404</v>
      </c>
    </row>
    <row r="30">
      <c r="A30" s="91" t="s">
        <v>83</v>
      </c>
      <c r="B30" s="92" t="str">
        <f t="shared" ref="B30:L30" si="20">B9/B7</f>
        <v>#DIV/0!</v>
      </c>
      <c r="C30" s="92">
        <f t="shared" si="20"/>
        <v>1</v>
      </c>
      <c r="D30" s="92">
        <f t="shared" si="20"/>
        <v>1</v>
      </c>
      <c r="E30" s="92">
        <f t="shared" si="20"/>
        <v>1</v>
      </c>
      <c r="F30" s="92">
        <f t="shared" si="20"/>
        <v>1</v>
      </c>
      <c r="G30" s="92">
        <f t="shared" si="20"/>
        <v>1</v>
      </c>
      <c r="H30" s="92">
        <f t="shared" si="20"/>
        <v>1</v>
      </c>
      <c r="I30" s="92">
        <f t="shared" si="20"/>
        <v>1</v>
      </c>
      <c r="J30" s="92">
        <f t="shared" si="20"/>
        <v>1</v>
      </c>
      <c r="K30" s="92">
        <f t="shared" si="20"/>
        <v>1</v>
      </c>
      <c r="L30" s="92">
        <f t="shared" si="20"/>
        <v>1</v>
      </c>
      <c r="M30" s="62"/>
      <c r="N30" s="92">
        <f t="shared" ref="N30:X30" si="21">N9/N7</f>
        <v>1</v>
      </c>
      <c r="O30" s="92">
        <f t="shared" si="21"/>
        <v>1</v>
      </c>
      <c r="P30" s="92">
        <f t="shared" si="21"/>
        <v>1</v>
      </c>
      <c r="Q30" s="92">
        <f t="shared" si="21"/>
        <v>1</v>
      </c>
      <c r="R30" s="92">
        <f t="shared" si="21"/>
        <v>1</v>
      </c>
      <c r="S30" s="92">
        <f t="shared" si="21"/>
        <v>1</v>
      </c>
      <c r="T30" s="92">
        <f t="shared" si="21"/>
        <v>1</v>
      </c>
      <c r="U30" s="92">
        <f t="shared" si="21"/>
        <v>1</v>
      </c>
      <c r="V30" s="92">
        <f t="shared" si="21"/>
        <v>1</v>
      </c>
      <c r="W30" s="92">
        <f t="shared" si="21"/>
        <v>1</v>
      </c>
      <c r="X30" s="92">
        <f t="shared" si="21"/>
        <v>1</v>
      </c>
      <c r="Y30" s="1"/>
    </row>
    <row r="31">
      <c r="A31" s="91" t="s">
        <v>84</v>
      </c>
      <c r="B31" s="92" t="str">
        <f t="shared" ref="B31:L31" si="22">B16/B7</f>
        <v>#DIV/0!</v>
      </c>
      <c r="C31" s="92">
        <f t="shared" si="22"/>
        <v>0.723966903</v>
      </c>
      <c r="D31" s="92">
        <f t="shared" si="22"/>
        <v>0.6971583524</v>
      </c>
      <c r="E31" s="92">
        <f t="shared" si="22"/>
        <v>0.8279702633</v>
      </c>
      <c r="F31" s="92">
        <f t="shared" si="22"/>
        <v>0.6985960764</v>
      </c>
      <c r="G31" s="92">
        <f t="shared" si="22"/>
        <v>0.6786632391</v>
      </c>
      <c r="H31" s="92">
        <f t="shared" si="22"/>
        <v>0.6851851852</v>
      </c>
      <c r="I31" s="92">
        <f t="shared" si="22"/>
        <v>0.6468309254</v>
      </c>
      <c r="J31" s="92">
        <f t="shared" si="22"/>
        <v>0.6258904521</v>
      </c>
      <c r="K31" s="92">
        <f t="shared" si="22"/>
        <v>0.6326530612</v>
      </c>
      <c r="L31" s="92">
        <f t="shared" si="22"/>
        <v>0.4545454545</v>
      </c>
      <c r="M31" s="62"/>
      <c r="N31" s="92">
        <f t="shared" ref="N31:X31" si="23">N16/N7</f>
        <v>0.5197191611</v>
      </c>
      <c r="O31" s="92">
        <f t="shared" si="23"/>
        <v>0.3255720755</v>
      </c>
      <c r="P31" s="92">
        <f t="shared" si="23"/>
        <v>-0.1176433427</v>
      </c>
      <c r="Q31" s="92">
        <f t="shared" si="23"/>
        <v>0.6616230607</v>
      </c>
      <c r="R31" s="92">
        <f t="shared" si="23"/>
        <v>0.702814902</v>
      </c>
      <c r="S31" s="92">
        <f t="shared" si="23"/>
        <v>0.6488586725</v>
      </c>
      <c r="T31" s="92">
        <f t="shared" si="23"/>
        <v>0.2111273371</v>
      </c>
      <c r="U31" s="92">
        <f t="shared" si="23"/>
        <v>0.7161018544</v>
      </c>
      <c r="V31" s="92">
        <f t="shared" si="23"/>
        <v>0.7853524716</v>
      </c>
      <c r="W31" s="92">
        <f t="shared" si="23"/>
        <v>0.749330975</v>
      </c>
      <c r="X31" s="92">
        <f t="shared" si="23"/>
        <v>0.6583049256</v>
      </c>
      <c r="Y31" s="1"/>
    </row>
    <row r="32">
      <c r="A32" s="93" t="s">
        <v>85</v>
      </c>
      <c r="B32" s="94" t="str">
        <f t="shared" ref="B32:L32" si="24">B23/B7</f>
        <v>#DIV/0!</v>
      </c>
      <c r="C32" s="94">
        <f t="shared" si="24"/>
        <v>0.5224138543</v>
      </c>
      <c r="D32" s="94">
        <f t="shared" si="24"/>
        <v>0.4971235237</v>
      </c>
      <c r="E32" s="94">
        <f t="shared" si="24"/>
        <v>0.7066327923</v>
      </c>
      <c r="F32" s="94">
        <f t="shared" si="24"/>
        <v>0.6151617883</v>
      </c>
      <c r="G32" s="94">
        <f t="shared" si="24"/>
        <v>0.483913687</v>
      </c>
      <c r="H32" s="94">
        <f t="shared" si="24"/>
        <v>0.5694444444</v>
      </c>
      <c r="I32" s="94">
        <f t="shared" si="24"/>
        <v>0.5202826498</v>
      </c>
      <c r="J32" s="94">
        <f t="shared" si="24"/>
        <v>1.186258426</v>
      </c>
      <c r="K32" s="94">
        <f t="shared" si="24"/>
        <v>0.6244897959</v>
      </c>
      <c r="L32" s="94">
        <f t="shared" si="24"/>
        <v>0.2828282828</v>
      </c>
      <c r="M32" s="62"/>
      <c r="N32" s="94">
        <f t="shared" ref="N32:X32" si="25">N23/N7</f>
        <v>0.3810613756</v>
      </c>
      <c r="O32" s="94">
        <f t="shared" si="25"/>
        <v>0.3261598472</v>
      </c>
      <c r="P32" s="94">
        <f t="shared" si="25"/>
        <v>-0.1377075279</v>
      </c>
      <c r="Q32" s="94">
        <f t="shared" si="25"/>
        <v>0.6480035807</v>
      </c>
      <c r="R32" s="94">
        <f t="shared" si="25"/>
        <v>0.8930371858</v>
      </c>
      <c r="S32" s="94">
        <f t="shared" si="25"/>
        <v>0.7416198168</v>
      </c>
      <c r="T32" s="94">
        <f t="shared" si="25"/>
        <v>-0.7717196141</v>
      </c>
      <c r="U32" s="94">
        <f t="shared" si="25"/>
        <v>0.5083548385</v>
      </c>
      <c r="V32" s="94">
        <f t="shared" si="25"/>
        <v>0.7571009629</v>
      </c>
      <c r="W32" s="94">
        <f t="shared" si="25"/>
        <v>0.6057059528</v>
      </c>
      <c r="X32" s="94">
        <f t="shared" si="25"/>
        <v>0.7015982343</v>
      </c>
      <c r="Y32" s="1"/>
      <c r="Z32" s="84" t="s">
        <v>86</v>
      </c>
      <c r="AA32" s="85" t="s">
        <v>81</v>
      </c>
    </row>
    <row r="33">
      <c r="A33" s="95" t="s">
        <v>87</v>
      </c>
      <c r="B33" s="96"/>
      <c r="C33" s="96" t="str">
        <f t="shared" ref="C33:L33" si="26">(C23-B23)/ABS(B23)</f>
        <v>#DIV/0!</v>
      </c>
      <c r="D33" s="96">
        <f t="shared" si="26"/>
        <v>-0.09443047153</v>
      </c>
      <c r="E33" s="96">
        <f t="shared" si="26"/>
        <v>1.592398444</v>
      </c>
      <c r="F33" s="96">
        <f t="shared" si="26"/>
        <v>-0.3922630337</v>
      </c>
      <c r="G33" s="96">
        <f t="shared" si="26"/>
        <v>-0.2107423907</v>
      </c>
      <c r="H33" s="96">
        <f t="shared" si="26"/>
        <v>0.2375241468</v>
      </c>
      <c r="I33" s="96">
        <f t="shared" si="26"/>
        <v>-0.1134552846</v>
      </c>
      <c r="J33" s="96">
        <f t="shared" si="26"/>
        <v>1.499894539</v>
      </c>
      <c r="K33" s="96">
        <f t="shared" si="26"/>
        <v>-0.4387401367</v>
      </c>
      <c r="L33" s="96">
        <f t="shared" si="26"/>
        <v>-0.4509803922</v>
      </c>
      <c r="M33" s="83"/>
      <c r="N33" s="96"/>
      <c r="O33" s="96">
        <f t="shared" ref="O33:X33" si="27">(O23-N23)/ABS(N23)</f>
        <v>-0.176081528</v>
      </c>
      <c r="P33" s="96">
        <f t="shared" si="27"/>
        <v>-1.446387615</v>
      </c>
      <c r="Q33" s="96">
        <f t="shared" si="27"/>
        <v>11.22827782</v>
      </c>
      <c r="R33" s="96">
        <f t="shared" si="27"/>
        <v>1.313703152</v>
      </c>
      <c r="S33" s="96">
        <f t="shared" si="27"/>
        <v>-0.1423154614</v>
      </c>
      <c r="T33" s="96">
        <f t="shared" si="27"/>
        <v>-1.8743016</v>
      </c>
      <c r="U33" s="96">
        <f t="shared" si="27"/>
        <v>2.327092801</v>
      </c>
      <c r="V33" s="96">
        <f t="shared" si="27"/>
        <v>1.55575295</v>
      </c>
      <c r="W33" s="96">
        <f t="shared" si="27"/>
        <v>-0.2357641657</v>
      </c>
      <c r="X33" s="96">
        <f t="shared" si="27"/>
        <v>0.2040627038</v>
      </c>
      <c r="Y33" s="97"/>
      <c r="Z33" s="89">
        <f>AVERAGE(O33:X33)</f>
        <v>1.275403906</v>
      </c>
      <c r="AA33" s="90">
        <f>STDEV(O33:X33)</f>
        <v>3.728609275</v>
      </c>
      <c r="AB33" s="98"/>
      <c r="AC33" s="98"/>
      <c r="AD33" s="98"/>
      <c r="AE33" s="98"/>
      <c r="AF33" s="98"/>
      <c r="AG33" s="98"/>
      <c r="AH33" s="98"/>
      <c r="AI33" s="98"/>
    </row>
    <row r="34">
      <c r="A34" s="62"/>
      <c r="B34" s="99"/>
      <c r="C34" s="99" t="s">
        <v>88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100"/>
      <c r="Y34" s="1"/>
    </row>
    <row r="35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62"/>
      <c r="N35" s="102"/>
      <c r="O35" s="103">
        <f t="shared" ref="O35:X35" si="28">(O36-N36)/ABS(N36)</f>
        <v>-0.1842386584</v>
      </c>
      <c r="P35" s="103">
        <f t="shared" si="28"/>
        <v>-1.446332774</v>
      </c>
      <c r="Q35" s="103">
        <f t="shared" si="28"/>
        <v>11.22827782</v>
      </c>
      <c r="R35" s="103">
        <f t="shared" si="28"/>
        <v>1.358106532</v>
      </c>
      <c r="S35" s="103">
        <f t="shared" si="28"/>
        <v>-0.1585037869</v>
      </c>
      <c r="T35" s="103">
        <f t="shared" si="28"/>
        <v>-1.874341124</v>
      </c>
      <c r="U35" s="103">
        <f t="shared" si="28"/>
        <v>2.327092801</v>
      </c>
      <c r="V35" s="103">
        <f t="shared" si="28"/>
        <v>1.551860899</v>
      </c>
      <c r="W35" s="103">
        <f t="shared" si="28"/>
        <v>-0.2345985673</v>
      </c>
      <c r="X35" s="103">
        <f t="shared" si="28"/>
        <v>0.2040627038</v>
      </c>
      <c r="Y35" s="1"/>
    </row>
    <row r="36">
      <c r="A36" s="104" t="s">
        <v>89</v>
      </c>
      <c r="B36" s="105"/>
      <c r="C36" s="105">
        <v>8.8266E7</v>
      </c>
      <c r="D36" s="105">
        <v>7.9931E7</v>
      </c>
      <c r="E36" s="105"/>
      <c r="F36" s="105"/>
      <c r="G36" s="105">
        <v>9.9E7</v>
      </c>
      <c r="H36" s="106">
        <v>9.9E7</v>
      </c>
      <c r="I36" s="106">
        <v>1.32846E8</v>
      </c>
      <c r="J36" s="105">
        <v>2.728E8</v>
      </c>
      <c r="K36" s="105">
        <v>1.53E8</v>
      </c>
      <c r="L36" s="106">
        <v>8.4E7</v>
      </c>
      <c r="M36" s="107"/>
      <c r="N36" s="105">
        <v>2.9934E7</v>
      </c>
      <c r="O36" s="105">
        <v>2.4419E7</v>
      </c>
      <c r="P36" s="105">
        <v>-1.0899E7</v>
      </c>
      <c r="Q36" s="105">
        <v>1.11478E8</v>
      </c>
      <c r="R36" s="105">
        <v>2.62877E8</v>
      </c>
      <c r="S36" s="105">
        <v>2.2121E8</v>
      </c>
      <c r="T36" s="105">
        <v>-1.93413E8</v>
      </c>
      <c r="U36" s="105">
        <v>2.56677E8</v>
      </c>
      <c r="V36" s="105">
        <v>6.55004E8</v>
      </c>
      <c r="W36" s="105">
        <v>5.01341E8</v>
      </c>
      <c r="X36" s="105">
        <v>6.03646E8</v>
      </c>
      <c r="Y36" s="44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</row>
    <row r="37">
      <c r="A37" s="59" t="s">
        <v>90</v>
      </c>
      <c r="B37" s="60"/>
      <c r="C37" s="60">
        <v>429000.0</v>
      </c>
      <c r="D37" s="60">
        <v>103000.0</v>
      </c>
      <c r="E37" s="60"/>
      <c r="F37" s="60"/>
      <c r="G37" s="60">
        <v>-1000000.0</v>
      </c>
      <c r="H37" s="61">
        <v>-1000000.0</v>
      </c>
      <c r="I37" s="61">
        <v>1495000.0</v>
      </c>
      <c r="J37" s="60">
        <v>-1.4858E8</v>
      </c>
      <c r="K37" s="60">
        <v>-1000000.0</v>
      </c>
      <c r="L37" s="61">
        <v>-5000000.0</v>
      </c>
      <c r="M37" s="109"/>
      <c r="N37" s="61"/>
      <c r="O37" s="61"/>
      <c r="P37" s="61"/>
      <c r="Q37" s="61"/>
      <c r="R37" s="61"/>
      <c r="S37" s="61"/>
      <c r="T37" s="61"/>
      <c r="U37" s="60">
        <v>0.0</v>
      </c>
      <c r="V37" s="60">
        <v>-4.9656E7</v>
      </c>
      <c r="W37" s="60">
        <v>-7000000.0</v>
      </c>
      <c r="X37" s="60">
        <v>-1.49085E8</v>
      </c>
      <c r="Y37" s="1"/>
    </row>
    <row r="38">
      <c r="A38" s="59" t="s">
        <v>63</v>
      </c>
      <c r="B38" s="60"/>
      <c r="C38" s="60">
        <v>3.0987E7</v>
      </c>
      <c r="D38" s="60">
        <v>3.4064E7</v>
      </c>
      <c r="E38" s="60"/>
      <c r="F38" s="60"/>
      <c r="G38" s="60">
        <v>4.7E7</v>
      </c>
      <c r="H38" s="61">
        <v>4.7E7</v>
      </c>
      <c r="I38" s="61">
        <v>5.5821E7</v>
      </c>
      <c r="J38" s="60">
        <v>6.4591E7</v>
      </c>
      <c r="K38" s="60">
        <v>6.7E7</v>
      </c>
      <c r="L38" s="61">
        <v>1.24E8</v>
      </c>
      <c r="M38" s="110"/>
      <c r="N38" s="61"/>
      <c r="O38" s="61"/>
      <c r="P38" s="61"/>
      <c r="Q38" s="61"/>
      <c r="R38" s="61"/>
      <c r="S38" s="60">
        <v>-4.1582E7</v>
      </c>
      <c r="T38" s="60">
        <v>1.42466E8</v>
      </c>
      <c r="U38" s="60">
        <v>1.02987E8</v>
      </c>
      <c r="V38" s="60">
        <v>1.21071E8</v>
      </c>
      <c r="W38" s="60">
        <v>1.46118E8</v>
      </c>
      <c r="X38" s="60">
        <v>2.14412E8</v>
      </c>
      <c r="Y38" s="1"/>
    </row>
    <row r="39">
      <c r="A39" s="59" t="s">
        <v>91</v>
      </c>
      <c r="B39" s="60"/>
      <c r="C39" s="60">
        <v>1.5103E7</v>
      </c>
      <c r="D39" s="60">
        <v>1.2594E7</v>
      </c>
      <c r="E39" s="60"/>
      <c r="F39" s="60"/>
      <c r="G39" s="60">
        <v>7000000.0</v>
      </c>
      <c r="H39" s="61">
        <v>7000000.0</v>
      </c>
      <c r="I39" s="61">
        <v>-1.9264E7</v>
      </c>
      <c r="J39" s="60">
        <v>-6122000.0</v>
      </c>
      <c r="K39" s="60">
        <v>-3.2E7</v>
      </c>
      <c r="L39" s="61">
        <v>2.9E7</v>
      </c>
      <c r="M39" s="109"/>
      <c r="N39" s="66"/>
      <c r="O39" s="66"/>
      <c r="P39" s="66"/>
      <c r="Q39" s="66"/>
      <c r="R39" s="66"/>
      <c r="S39" s="109">
        <v>7.8178E7</v>
      </c>
      <c r="T39" s="109">
        <v>1.00501E8</v>
      </c>
      <c r="U39" s="109">
        <v>0.0</v>
      </c>
      <c r="V39" s="60">
        <v>1.8138E7</v>
      </c>
      <c r="W39" s="60">
        <v>2.5793E7</v>
      </c>
      <c r="X39" s="60">
        <v>-1.1386E7</v>
      </c>
      <c r="Y39" s="1"/>
    </row>
    <row r="40">
      <c r="A40" s="59" t="s">
        <v>92</v>
      </c>
      <c r="B40" s="60"/>
      <c r="C40" s="60">
        <v>-2215000.0</v>
      </c>
      <c r="D40" s="60">
        <v>-3997000.0</v>
      </c>
      <c r="E40" s="60"/>
      <c r="F40" s="60"/>
      <c r="G40" s="60">
        <v>-3000000.0</v>
      </c>
      <c r="H40" s="61">
        <v>-3000000.0</v>
      </c>
      <c r="I40" s="61">
        <v>3962000.0</v>
      </c>
      <c r="J40" s="60">
        <v>-940000.0</v>
      </c>
      <c r="K40" s="60">
        <v>9000000.0</v>
      </c>
      <c r="L40" s="61">
        <v>3000000.0</v>
      </c>
      <c r="M40" s="109"/>
      <c r="N40" s="66"/>
      <c r="O40" s="66"/>
      <c r="P40" s="66"/>
      <c r="Q40" s="66"/>
      <c r="R40" s="66"/>
      <c r="S40" s="109">
        <v>0.0</v>
      </c>
      <c r="T40" s="109">
        <v>6.9202E7</v>
      </c>
      <c r="U40" s="109">
        <v>6.9409E7</v>
      </c>
      <c r="V40" s="60">
        <v>-3.1319E7</v>
      </c>
      <c r="W40" s="60">
        <v>-1.3319E7</v>
      </c>
      <c r="X40" s="60">
        <v>-2978000.0</v>
      </c>
      <c r="Y40" s="1"/>
    </row>
    <row r="41">
      <c r="A41" s="59" t="s">
        <v>58</v>
      </c>
      <c r="B41" s="60"/>
      <c r="C41" s="60">
        <v>643000.0</v>
      </c>
      <c r="D41" s="60">
        <v>579000.0</v>
      </c>
      <c r="E41" s="60"/>
      <c r="F41" s="60"/>
      <c r="G41" s="60">
        <v>2000000.0</v>
      </c>
      <c r="H41" s="61">
        <v>2000000.0</v>
      </c>
      <c r="I41" s="61">
        <v>470000.0</v>
      </c>
      <c r="J41" s="60">
        <v>1727000.0</v>
      </c>
      <c r="K41" s="60">
        <v>1000000.0</v>
      </c>
      <c r="L41" s="61">
        <v>3000000.0</v>
      </c>
      <c r="M41" s="109"/>
      <c r="N41" s="66"/>
      <c r="O41" s="66"/>
      <c r="P41" s="66"/>
      <c r="Q41" s="66"/>
      <c r="R41" s="66"/>
      <c r="S41" s="109">
        <v>0.0</v>
      </c>
      <c r="T41" s="109">
        <v>6.3591E7</v>
      </c>
      <c r="U41" s="109">
        <v>-9.2585E7</v>
      </c>
      <c r="V41" s="60">
        <v>5070000.0</v>
      </c>
      <c r="W41" s="60">
        <v>3442000.0</v>
      </c>
      <c r="X41" s="60">
        <v>6197000.0</v>
      </c>
      <c r="Y41" s="1"/>
    </row>
    <row r="42">
      <c r="A42" s="59" t="s">
        <v>93</v>
      </c>
      <c r="B42" s="60"/>
      <c r="C42" s="60">
        <v>-1381000.0</v>
      </c>
      <c r="D42" s="60">
        <v>2243000.0</v>
      </c>
      <c r="E42" s="60"/>
      <c r="F42" s="60"/>
      <c r="G42" s="60">
        <v>-2.3E7</v>
      </c>
      <c r="H42" s="61">
        <v>-2.3E7</v>
      </c>
      <c r="I42" s="61">
        <v>4.8886E7</v>
      </c>
      <c r="J42" s="60">
        <v>-1.6135E7</v>
      </c>
      <c r="K42" s="60">
        <v>3000000.0</v>
      </c>
      <c r="L42" s="61">
        <v>-5.7E7</v>
      </c>
      <c r="M42" s="109"/>
      <c r="N42" s="66"/>
      <c r="O42" s="66"/>
      <c r="P42" s="66"/>
      <c r="Q42" s="66"/>
      <c r="R42" s="66"/>
      <c r="S42" s="109">
        <v>0.0</v>
      </c>
      <c r="T42" s="109">
        <v>-3.6998E7</v>
      </c>
      <c r="U42" s="109">
        <v>0.0</v>
      </c>
      <c r="V42" s="60">
        <v>-1.3089E7</v>
      </c>
      <c r="W42" s="60">
        <v>-2.7379E7</v>
      </c>
      <c r="X42" s="60">
        <v>-1.3249E7</v>
      </c>
      <c r="Y42" s="1"/>
    </row>
    <row r="43">
      <c r="A43" s="59" t="s">
        <v>94</v>
      </c>
      <c r="B43" s="60"/>
      <c r="C43" s="60">
        <v>-3.0064E7</v>
      </c>
      <c r="D43" s="60">
        <v>3.194E7</v>
      </c>
      <c r="E43" s="60"/>
      <c r="F43" s="60"/>
      <c r="G43" s="60">
        <v>-3.0E7</v>
      </c>
      <c r="H43" s="61">
        <v>-3.0E7</v>
      </c>
      <c r="I43" s="61">
        <v>2.7333E7</v>
      </c>
      <c r="J43" s="60">
        <v>5025000.0</v>
      </c>
      <c r="K43" s="60">
        <v>-1.0E7</v>
      </c>
      <c r="L43" s="61">
        <v>2000000.0</v>
      </c>
      <c r="M43" s="109"/>
      <c r="N43" s="61"/>
      <c r="O43" s="61"/>
      <c r="P43" s="61"/>
      <c r="Q43" s="61"/>
      <c r="R43" s="61"/>
      <c r="S43" s="60">
        <v>-4832000.0</v>
      </c>
      <c r="T43" s="60">
        <v>8556000.0</v>
      </c>
      <c r="U43" s="60">
        <v>4710000.0</v>
      </c>
      <c r="V43" s="60">
        <v>-4116000.0</v>
      </c>
      <c r="W43" s="60">
        <v>2931000.0</v>
      </c>
      <c r="X43" s="60">
        <v>-2.7642E7</v>
      </c>
      <c r="Y43" s="1"/>
    </row>
    <row r="44">
      <c r="A44" s="59" t="s">
        <v>95</v>
      </c>
      <c r="B44" s="60"/>
      <c r="C44" s="60">
        <v>-2534000.0</v>
      </c>
      <c r="D44" s="60">
        <v>-49000.0</v>
      </c>
      <c r="E44" s="60"/>
      <c r="F44" s="60"/>
      <c r="G44" s="60">
        <v>5000000.0</v>
      </c>
      <c r="H44" s="61">
        <v>5000000.0</v>
      </c>
      <c r="I44" s="61">
        <v>4192000.0</v>
      </c>
      <c r="J44" s="60">
        <v>-7190000.0</v>
      </c>
      <c r="K44" s="109">
        <v>-4000000.0</v>
      </c>
      <c r="L44" s="61">
        <v>-3000000.0</v>
      </c>
      <c r="M44" s="109"/>
      <c r="N44" s="61"/>
      <c r="O44" s="61"/>
      <c r="P44" s="61"/>
      <c r="Q44" s="61"/>
      <c r="R44" s="61"/>
      <c r="S44" s="60">
        <v>2800000.0</v>
      </c>
      <c r="T44" s="60">
        <v>2.5879E7</v>
      </c>
      <c r="U44" s="60">
        <v>-3.6358E7</v>
      </c>
      <c r="V44" s="60">
        <v>151000.0</v>
      </c>
      <c r="W44" s="60">
        <v>6311000.0</v>
      </c>
      <c r="X44" s="60">
        <v>7002000.0</v>
      </c>
      <c r="Y44" s="1"/>
    </row>
    <row r="45">
      <c r="A45" s="59" t="s">
        <v>96</v>
      </c>
      <c r="B45" s="109"/>
      <c r="C45" s="109">
        <v>-306000.0</v>
      </c>
      <c r="D45" s="60">
        <v>0.0</v>
      </c>
      <c r="E45" s="109"/>
      <c r="F45" s="109"/>
      <c r="G45" s="109">
        <v>-1000000.0</v>
      </c>
      <c r="H45" s="61">
        <v>-1000000.0</v>
      </c>
      <c r="I45" s="61">
        <v>670000.0</v>
      </c>
      <c r="J45" s="109">
        <v>1981000.0</v>
      </c>
      <c r="K45" s="109">
        <v>0.0</v>
      </c>
      <c r="L45" s="61">
        <v>-2000000.0</v>
      </c>
      <c r="M45" s="109"/>
      <c r="N45" s="61"/>
      <c r="O45" s="61"/>
      <c r="P45" s="61"/>
      <c r="Q45" s="61"/>
      <c r="R45" s="61"/>
      <c r="S45" s="60">
        <v>-1.9266E7</v>
      </c>
      <c r="T45" s="60">
        <v>8578000.0</v>
      </c>
      <c r="U45" s="60">
        <v>-146000.0</v>
      </c>
      <c r="V45" s="109">
        <v>306000.0</v>
      </c>
      <c r="W45" s="109">
        <v>1024000.0</v>
      </c>
      <c r="X45" s="60">
        <v>651000.0</v>
      </c>
      <c r="Y45" s="1"/>
    </row>
    <row r="46">
      <c r="A46" s="59" t="s">
        <v>97</v>
      </c>
      <c r="B46" s="109"/>
      <c r="C46" s="109">
        <v>8566000.0</v>
      </c>
      <c r="D46" s="60">
        <v>-7893000.0</v>
      </c>
      <c r="E46" s="109"/>
      <c r="F46" s="109"/>
      <c r="G46" s="109">
        <v>1.2E7</v>
      </c>
      <c r="H46" s="61">
        <v>1.2E7</v>
      </c>
      <c r="I46" s="61">
        <v>-2.4109E7</v>
      </c>
      <c r="J46" s="109">
        <v>218000.0</v>
      </c>
      <c r="K46" s="67">
        <v>1.5E7</v>
      </c>
      <c r="L46" s="61">
        <v>-1.3E7</v>
      </c>
      <c r="M46" s="109"/>
      <c r="N46" s="61"/>
      <c r="O46" s="61"/>
      <c r="P46" s="61"/>
      <c r="Q46" s="61"/>
      <c r="R46" s="61"/>
      <c r="S46" s="60">
        <v>-7087000.0</v>
      </c>
      <c r="T46" s="60">
        <v>0.0</v>
      </c>
      <c r="U46" s="67">
        <v>0.0</v>
      </c>
      <c r="V46" s="109">
        <v>440000.0</v>
      </c>
      <c r="W46" s="109">
        <v>1014000.0</v>
      </c>
      <c r="X46" s="60">
        <v>109000.0</v>
      </c>
      <c r="Y46" s="1"/>
    </row>
    <row r="47">
      <c r="A47" s="59" t="s">
        <v>58</v>
      </c>
      <c r="B47" s="109"/>
      <c r="C47" s="109">
        <v>-251000.0</v>
      </c>
      <c r="D47" s="60">
        <v>-4119000.0</v>
      </c>
      <c r="E47" s="109"/>
      <c r="F47" s="109"/>
      <c r="G47" s="109">
        <v>1000000.0</v>
      </c>
      <c r="H47" s="61">
        <v>1000000.0</v>
      </c>
      <c r="I47" s="61">
        <v>-602000.0</v>
      </c>
      <c r="J47" s="109">
        <v>-9467000.0</v>
      </c>
      <c r="K47" s="109">
        <v>0.0</v>
      </c>
      <c r="L47" s="61">
        <v>7000000.0</v>
      </c>
      <c r="M47" s="109"/>
      <c r="N47" s="61"/>
      <c r="O47" s="61"/>
      <c r="P47" s="61"/>
      <c r="Q47" s="61"/>
      <c r="R47" s="61"/>
      <c r="S47" s="60">
        <v>7270000.0</v>
      </c>
      <c r="T47" s="60">
        <v>4605000.0</v>
      </c>
      <c r="U47" s="60">
        <v>2420000.0</v>
      </c>
      <c r="V47" s="109">
        <v>-2204000.0</v>
      </c>
      <c r="W47" s="109">
        <v>-2084000.0</v>
      </c>
      <c r="X47" s="60">
        <v>-8069000.0</v>
      </c>
      <c r="Y47" s="1"/>
    </row>
    <row r="48">
      <c r="A48" s="111" t="s">
        <v>98</v>
      </c>
      <c r="B48" s="64"/>
      <c r="C48" s="64">
        <f t="shared" ref="C48:K48" si="29">SUM(C36:C47)</f>
        <v>107243000</v>
      </c>
      <c r="D48" s="64">
        <f t="shared" si="29"/>
        <v>145396000</v>
      </c>
      <c r="E48" s="64">
        <f t="shared" si="29"/>
        <v>0</v>
      </c>
      <c r="F48" s="64">
        <f t="shared" si="29"/>
        <v>0</v>
      </c>
      <c r="G48" s="64">
        <f t="shared" si="29"/>
        <v>115000000</v>
      </c>
      <c r="H48" s="64">
        <f t="shared" si="29"/>
        <v>115000000</v>
      </c>
      <c r="I48" s="64">
        <f t="shared" si="29"/>
        <v>231700000</v>
      </c>
      <c r="J48" s="64">
        <f t="shared" si="29"/>
        <v>157908000</v>
      </c>
      <c r="K48" s="64">
        <f t="shared" si="29"/>
        <v>201000000</v>
      </c>
      <c r="L48" s="64">
        <f>SUM(L36:L44)</f>
        <v>180000000</v>
      </c>
      <c r="M48" s="62"/>
      <c r="N48" s="65">
        <v>5.1813E7</v>
      </c>
      <c r="O48" s="65">
        <v>6.3832E7</v>
      </c>
      <c r="P48" s="65">
        <v>6.8627E7</v>
      </c>
      <c r="Q48" s="65">
        <v>1.39219E8</v>
      </c>
      <c r="R48" s="65">
        <v>2.44493E8</v>
      </c>
      <c r="S48" s="64">
        <f>SUM(S36:S47)</f>
        <v>236691000</v>
      </c>
      <c r="T48" s="65">
        <v>1.96556E8</v>
      </c>
      <c r="U48" s="65">
        <v>3.07114E8</v>
      </c>
      <c r="V48" s="64">
        <f t="shared" ref="V48:X48" si="30">SUM(V36:V47)</f>
        <v>699796000</v>
      </c>
      <c r="W48" s="64">
        <f t="shared" si="30"/>
        <v>638192000</v>
      </c>
      <c r="X48" s="64">
        <f t="shared" si="30"/>
        <v>619608000</v>
      </c>
      <c r="Y48" s="1"/>
    </row>
    <row r="49">
      <c r="A49" s="62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1"/>
    </row>
    <row r="50">
      <c r="A50" s="59" t="s">
        <v>99</v>
      </c>
      <c r="B50" s="60"/>
      <c r="C50" s="60">
        <v>-7.5073E7</v>
      </c>
      <c r="D50" s="60">
        <v>0.0</v>
      </c>
      <c r="E50" s="60"/>
      <c r="F50" s="60"/>
      <c r="G50" s="60">
        <v>0.0</v>
      </c>
      <c r="H50" s="60">
        <v>0.0</v>
      </c>
      <c r="I50" s="61">
        <v>0.0</v>
      </c>
      <c r="J50" s="60">
        <v>0.0</v>
      </c>
      <c r="K50" s="60">
        <v>0.0</v>
      </c>
      <c r="L50" s="60">
        <v>0.0</v>
      </c>
      <c r="M50" s="109"/>
      <c r="N50" s="60">
        <v>0.0</v>
      </c>
      <c r="O50" s="60">
        <v>0.0</v>
      </c>
      <c r="P50" s="60">
        <v>0.0</v>
      </c>
      <c r="Q50" s="60">
        <v>-3.44079E8</v>
      </c>
      <c r="R50" s="60">
        <v>-6.10131E8</v>
      </c>
      <c r="S50" s="60">
        <v>-5.30572E8</v>
      </c>
      <c r="T50" s="60">
        <v>-6.5678E7</v>
      </c>
      <c r="U50" s="60">
        <v>0.0</v>
      </c>
      <c r="V50" s="60">
        <v>0.0</v>
      </c>
      <c r="W50" s="60">
        <v>-7.5073E7</v>
      </c>
      <c r="X50" s="60">
        <v>0.0</v>
      </c>
      <c r="Y50" s="1"/>
    </row>
    <row r="51">
      <c r="A51" s="59" t="s">
        <v>100</v>
      </c>
      <c r="B51" s="60"/>
      <c r="C51" s="60">
        <v>-3.9602E7</v>
      </c>
      <c r="D51" s="60">
        <v>-9007000.0</v>
      </c>
      <c r="E51" s="60"/>
      <c r="F51" s="60"/>
      <c r="G51" s="60">
        <v>-2.1E7</v>
      </c>
      <c r="H51" s="61">
        <f t="shared" ref="H51:H53" si="31">M51-G51</f>
        <v>21000000</v>
      </c>
      <c r="I51" s="61">
        <v>-2.71052E8</v>
      </c>
      <c r="J51" s="60">
        <v>-4.2519E8</v>
      </c>
      <c r="K51" s="60">
        <v>-4.86E8</v>
      </c>
      <c r="L51" s="61">
        <v>-4.95E8</v>
      </c>
      <c r="M51" s="109"/>
      <c r="N51" s="61">
        <f>-5276000-57689000-33850000</f>
        <v>-96815000</v>
      </c>
      <c r="O51" s="60">
        <v>-4.3907E7</v>
      </c>
      <c r="P51" s="60">
        <v>-2.05721E8</v>
      </c>
      <c r="Q51" s="60">
        <v>0.0</v>
      </c>
      <c r="R51" s="60">
        <v>-4687000.0</v>
      </c>
      <c r="S51" s="60">
        <v>0.0</v>
      </c>
      <c r="T51" s="60">
        <v>0.0</v>
      </c>
      <c r="U51" s="60">
        <v>-2.81176E8</v>
      </c>
      <c r="V51" s="60">
        <v>-6.4131E7</v>
      </c>
      <c r="W51" s="60">
        <v>-8.30128E8</v>
      </c>
      <c r="X51" s="60">
        <v>-6.96242E8</v>
      </c>
      <c r="Y51" s="1"/>
    </row>
    <row r="52">
      <c r="A52" s="59" t="s">
        <v>101</v>
      </c>
      <c r="B52" s="60"/>
      <c r="C52" s="60">
        <v>-1908000.0</v>
      </c>
      <c r="D52" s="60">
        <v>-67000.0</v>
      </c>
      <c r="E52" s="60"/>
      <c r="F52" s="60"/>
      <c r="G52" s="60">
        <v>1000000.0</v>
      </c>
      <c r="H52" s="61">
        <f t="shared" si="31"/>
        <v>-1000000</v>
      </c>
      <c r="I52" s="61">
        <v>8.7674E7</v>
      </c>
      <c r="J52" s="60">
        <v>-5000.0</v>
      </c>
      <c r="K52" s="61"/>
      <c r="L52" s="61">
        <v>-2.79E7</v>
      </c>
      <c r="M52" s="109"/>
      <c r="N52" s="60">
        <v>0.0</v>
      </c>
      <c r="O52" s="60">
        <v>0.0</v>
      </c>
      <c r="P52" s="61"/>
      <c r="Q52" s="60">
        <v>0.0</v>
      </c>
      <c r="R52" s="60">
        <v>441000.0</v>
      </c>
      <c r="S52" s="60">
        <v>0.0</v>
      </c>
      <c r="T52" s="60">
        <v>3.8594E7</v>
      </c>
      <c r="U52" s="60">
        <v>0.0</v>
      </c>
      <c r="V52" s="60">
        <v>1.11702E8</v>
      </c>
      <c r="W52" s="60">
        <v>-3164000.0</v>
      </c>
      <c r="X52" s="60">
        <v>8.7669E7</v>
      </c>
      <c r="Y52" s="1"/>
    </row>
    <row r="53">
      <c r="A53" s="62" t="s">
        <v>58</v>
      </c>
      <c r="B53" s="112"/>
      <c r="C53" s="112">
        <v>0.0</v>
      </c>
      <c r="D53" s="60">
        <v>1200000.0</v>
      </c>
      <c r="E53" s="60"/>
      <c r="F53" s="112"/>
      <c r="G53" s="112">
        <v>0.0</v>
      </c>
      <c r="H53" s="61">
        <f t="shared" si="31"/>
        <v>0</v>
      </c>
      <c r="I53" s="61">
        <v>0.0</v>
      </c>
      <c r="J53" s="60">
        <v>0.0</v>
      </c>
      <c r="K53" s="60">
        <v>0.0</v>
      </c>
      <c r="L53" s="61">
        <v>0.0</v>
      </c>
      <c r="M53" s="109"/>
      <c r="N53" s="60">
        <v>0.0</v>
      </c>
      <c r="O53" s="60">
        <v>0.0</v>
      </c>
      <c r="P53" s="60">
        <v>0.0</v>
      </c>
      <c r="Q53" s="60">
        <v>0.0</v>
      </c>
      <c r="R53" s="60">
        <v>124000.0</v>
      </c>
      <c r="S53" s="60">
        <v>0.0</v>
      </c>
      <c r="T53" s="60">
        <v>1.0801E7</v>
      </c>
      <c r="U53" s="60">
        <v>0.0</v>
      </c>
      <c r="V53" s="60">
        <v>0.0</v>
      </c>
      <c r="W53" s="60">
        <v>0.0</v>
      </c>
      <c r="X53" s="60">
        <v>0.0</v>
      </c>
      <c r="Y53" s="1"/>
    </row>
    <row r="54">
      <c r="A54" s="111" t="s">
        <v>102</v>
      </c>
      <c r="B54" s="64"/>
      <c r="C54" s="64">
        <f t="shared" ref="C54:L54" si="32">SUM(C51:C53)</f>
        <v>-41510000</v>
      </c>
      <c r="D54" s="64">
        <f t="shared" si="32"/>
        <v>-7874000</v>
      </c>
      <c r="E54" s="64">
        <f t="shared" si="32"/>
        <v>0</v>
      </c>
      <c r="F54" s="64">
        <f t="shared" si="32"/>
        <v>0</v>
      </c>
      <c r="G54" s="64">
        <f t="shared" si="32"/>
        <v>-20000000</v>
      </c>
      <c r="H54" s="64">
        <f t="shared" si="32"/>
        <v>20000000</v>
      </c>
      <c r="I54" s="64">
        <f t="shared" si="32"/>
        <v>-183378000</v>
      </c>
      <c r="J54" s="64">
        <f t="shared" si="32"/>
        <v>-425195000</v>
      </c>
      <c r="K54" s="64">
        <f t="shared" si="32"/>
        <v>-486000000</v>
      </c>
      <c r="L54" s="64">
        <f t="shared" si="32"/>
        <v>-522900000</v>
      </c>
      <c r="M54" s="66"/>
      <c r="N54" s="64">
        <f t="shared" ref="N54:S54" si="33">SUM(N50:N53)</f>
        <v>-96815000</v>
      </c>
      <c r="O54" s="64">
        <f t="shared" si="33"/>
        <v>-43907000</v>
      </c>
      <c r="P54" s="64">
        <f t="shared" si="33"/>
        <v>-205721000</v>
      </c>
      <c r="Q54" s="64">
        <f t="shared" si="33"/>
        <v>-344079000</v>
      </c>
      <c r="R54" s="64">
        <f t="shared" si="33"/>
        <v>-614253000</v>
      </c>
      <c r="S54" s="64">
        <f t="shared" si="33"/>
        <v>-530572000</v>
      </c>
      <c r="T54" s="65">
        <v>-1.6283E7</v>
      </c>
      <c r="U54" s="65">
        <v>-2.81176E8</v>
      </c>
      <c r="V54" s="64">
        <f t="shared" ref="V54:X54" si="34">SUM(V50:V53)</f>
        <v>47571000</v>
      </c>
      <c r="W54" s="64">
        <f t="shared" si="34"/>
        <v>-908365000</v>
      </c>
      <c r="X54" s="64">
        <f t="shared" si="34"/>
        <v>-608573000</v>
      </c>
      <c r="Y54" s="1"/>
    </row>
    <row r="55">
      <c r="A55" s="62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2"/>
      <c r="M55" s="66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1"/>
    </row>
    <row r="56">
      <c r="A56" s="59" t="s">
        <v>103</v>
      </c>
      <c r="B56" s="60"/>
      <c r="C56" s="60">
        <v>1.18E8</v>
      </c>
      <c r="D56" s="60">
        <v>7.3E7</v>
      </c>
      <c r="E56" s="60"/>
      <c r="F56" s="60"/>
      <c r="G56" s="60">
        <v>9.0E7</v>
      </c>
      <c r="H56" s="61">
        <v>5000000.0</v>
      </c>
      <c r="I56" s="61">
        <v>3.75E8</v>
      </c>
      <c r="J56" s="60">
        <v>3.72E8</v>
      </c>
      <c r="K56" s="60">
        <v>2.95E8</v>
      </c>
      <c r="L56" s="61">
        <v>4.45E8</v>
      </c>
      <c r="M56" s="109"/>
      <c r="N56" s="61"/>
      <c r="O56" s="61"/>
      <c r="P56" s="61"/>
      <c r="Q56" s="61"/>
      <c r="R56" s="61"/>
      <c r="S56" s="60">
        <v>5.905E8</v>
      </c>
      <c r="T56" s="60">
        <v>1.04E8</v>
      </c>
      <c r="U56" s="60">
        <v>3.3E8</v>
      </c>
      <c r="V56" s="60">
        <v>2.72E8</v>
      </c>
      <c r="W56" s="60">
        <v>5.73E8</v>
      </c>
      <c r="X56" s="60">
        <v>8.42E8</v>
      </c>
      <c r="Y56" s="1"/>
    </row>
    <row r="57">
      <c r="A57" s="59" t="s">
        <v>104</v>
      </c>
      <c r="B57" s="60"/>
      <c r="C57" s="60">
        <v>0.0</v>
      </c>
      <c r="D57" s="60">
        <v>-1.19E8</v>
      </c>
      <c r="E57" s="60"/>
      <c r="F57" s="60"/>
      <c r="G57" s="60">
        <v>-8.0E7</v>
      </c>
      <c r="H57" s="61">
        <v>-1.01E8</v>
      </c>
      <c r="I57" s="61">
        <v>-5.52E8</v>
      </c>
      <c r="J57" s="60">
        <v>-1.11E8</v>
      </c>
      <c r="K57" s="60">
        <v>-5.56E8</v>
      </c>
      <c r="L57" s="61">
        <v>-1.2E8</v>
      </c>
      <c r="M57" s="109"/>
      <c r="N57" s="61"/>
      <c r="O57" s="61"/>
      <c r="P57" s="61"/>
      <c r="Q57" s="61"/>
      <c r="R57" s="61"/>
      <c r="S57" s="60">
        <v>-9.05E8</v>
      </c>
      <c r="T57" s="60">
        <v>-1.165E8</v>
      </c>
      <c r="U57" s="60">
        <v>-1.1E8</v>
      </c>
      <c r="V57" s="60">
        <v>-4.24E8</v>
      </c>
      <c r="W57" s="60">
        <v>-4.62E8</v>
      </c>
      <c r="X57" s="60">
        <v>-8.44E8</v>
      </c>
      <c r="Y57" s="1"/>
    </row>
    <row r="58">
      <c r="A58" s="59" t="s">
        <v>105</v>
      </c>
      <c r="B58" s="48"/>
      <c r="C58" s="48">
        <v>0.0</v>
      </c>
      <c r="D58" s="60">
        <v>0.0</v>
      </c>
      <c r="E58" s="48"/>
      <c r="F58" s="48"/>
      <c r="G58" s="48">
        <v>0.0</v>
      </c>
      <c r="H58" s="60">
        <v>0.0</v>
      </c>
      <c r="I58" s="61">
        <v>4.75904E8</v>
      </c>
      <c r="J58" s="60">
        <v>-4.75904E8</v>
      </c>
      <c r="K58" s="113">
        <v>0.0</v>
      </c>
      <c r="L58" s="60">
        <v>0.0</v>
      </c>
      <c r="M58" s="109"/>
      <c r="N58" s="61"/>
      <c r="O58" s="61"/>
      <c r="P58" s="61"/>
      <c r="Q58" s="61"/>
      <c r="R58" s="61"/>
      <c r="S58" s="60">
        <v>5.0E8</v>
      </c>
      <c r="T58" s="60">
        <v>0.0</v>
      </c>
      <c r="U58" s="60">
        <v>0.0</v>
      </c>
      <c r="V58" s="60">
        <v>0.0</v>
      </c>
      <c r="W58" s="60">
        <v>4.0E8</v>
      </c>
      <c r="X58" s="60">
        <v>0.0</v>
      </c>
      <c r="Y58" s="1"/>
    </row>
    <row r="59">
      <c r="A59" s="59" t="s">
        <v>106</v>
      </c>
      <c r="B59" s="48"/>
      <c r="C59" s="48">
        <v>0.0</v>
      </c>
      <c r="D59" s="60">
        <v>0.0</v>
      </c>
      <c r="E59" s="48"/>
      <c r="F59" s="48"/>
      <c r="G59" s="48">
        <v>0.0</v>
      </c>
      <c r="H59" s="61">
        <v>0.0</v>
      </c>
      <c r="I59" s="61">
        <v>0.0</v>
      </c>
      <c r="J59" s="60">
        <v>0.0</v>
      </c>
      <c r="K59" s="113">
        <v>0.0</v>
      </c>
      <c r="L59" s="61">
        <v>-5.0E7</v>
      </c>
      <c r="M59" s="109"/>
      <c r="N59" s="61"/>
      <c r="O59" s="61"/>
      <c r="P59" s="61"/>
      <c r="Q59" s="61"/>
      <c r="R59" s="61"/>
      <c r="S59" s="60">
        <v>0.0</v>
      </c>
      <c r="T59" s="60">
        <v>-1.9697E7</v>
      </c>
      <c r="U59" s="60">
        <v>0.0</v>
      </c>
      <c r="V59" s="60">
        <v>-4.8963E7</v>
      </c>
      <c r="W59" s="60">
        <v>0.0</v>
      </c>
      <c r="X59" s="60">
        <v>0.0</v>
      </c>
      <c r="Y59" s="1"/>
    </row>
    <row r="60">
      <c r="A60" s="59" t="s">
        <v>107</v>
      </c>
      <c r="B60" s="48"/>
      <c r="C60" s="48">
        <v>0.0</v>
      </c>
      <c r="D60" s="60">
        <v>0.0</v>
      </c>
      <c r="E60" s="48"/>
      <c r="F60" s="48"/>
      <c r="G60" s="48">
        <v>0.0</v>
      </c>
      <c r="H60" s="60">
        <v>0.0</v>
      </c>
      <c r="I60" s="60">
        <v>0.0</v>
      </c>
      <c r="J60" s="60">
        <v>0.0</v>
      </c>
      <c r="K60" s="113">
        <v>0.0</v>
      </c>
      <c r="L60" s="60">
        <v>0.0</v>
      </c>
      <c r="M60" s="109"/>
      <c r="N60" s="61"/>
      <c r="O60" s="61"/>
      <c r="P60" s="61"/>
      <c r="Q60" s="61"/>
      <c r="R60" s="61"/>
      <c r="S60" s="60">
        <v>-1.0863E7</v>
      </c>
      <c r="T60" s="60">
        <v>-111000.0</v>
      </c>
      <c r="U60" s="60">
        <v>-2885000.0</v>
      </c>
      <c r="V60" s="60"/>
      <c r="W60" s="60"/>
      <c r="X60" s="60"/>
      <c r="Y60" s="1"/>
    </row>
    <row r="61">
      <c r="A61" s="59" t="s">
        <v>108</v>
      </c>
      <c r="B61" s="48"/>
      <c r="C61" s="48">
        <v>0.0</v>
      </c>
      <c r="D61" s="60">
        <v>0.0</v>
      </c>
      <c r="E61" s="48"/>
      <c r="F61" s="48"/>
      <c r="G61" s="48">
        <v>0.0</v>
      </c>
      <c r="H61" s="61">
        <v>0.0</v>
      </c>
      <c r="I61" s="61">
        <v>-1.56553E8</v>
      </c>
      <c r="J61" s="60">
        <v>6.32459E8</v>
      </c>
      <c r="K61" s="113">
        <v>1.232E9</v>
      </c>
      <c r="L61" s="61">
        <v>0.0</v>
      </c>
      <c r="M61" s="109"/>
      <c r="N61" s="61"/>
      <c r="O61" s="61"/>
      <c r="P61" s="61"/>
      <c r="Q61" s="61"/>
      <c r="R61" s="61"/>
      <c r="S61" s="60">
        <v>0.0</v>
      </c>
      <c r="T61" s="60">
        <v>0.0</v>
      </c>
      <c r="U61" s="60">
        <v>0.0</v>
      </c>
      <c r="V61" s="60">
        <v>0.0</v>
      </c>
      <c r="W61" s="60">
        <v>0.0</v>
      </c>
      <c r="X61" s="60">
        <v>4.75906E8</v>
      </c>
      <c r="Y61" s="1"/>
    </row>
    <row r="62">
      <c r="A62" s="59" t="s">
        <v>109</v>
      </c>
      <c r="B62" s="60"/>
      <c r="C62" s="60">
        <v>0.0</v>
      </c>
      <c r="D62" s="60">
        <v>0.0</v>
      </c>
      <c r="E62" s="60"/>
      <c r="F62" s="60"/>
      <c r="G62" s="60">
        <v>0.0</v>
      </c>
      <c r="H62" s="60">
        <v>0.0</v>
      </c>
      <c r="I62" s="61">
        <v>-1.9183E8</v>
      </c>
      <c r="J62" s="60">
        <v>1.9183E8</v>
      </c>
      <c r="K62" s="60">
        <v>0.0</v>
      </c>
      <c r="L62" s="60">
        <v>0.0</v>
      </c>
      <c r="M62" s="109"/>
      <c r="N62" s="61"/>
      <c r="O62" s="61"/>
      <c r="P62" s="61"/>
      <c r="Q62" s="61"/>
      <c r="R62" s="61"/>
      <c r="S62" s="60">
        <v>3.4086E8</v>
      </c>
      <c r="T62" s="60">
        <v>0.0</v>
      </c>
      <c r="U62" s="60">
        <v>0.0</v>
      </c>
      <c r="V62" s="60">
        <v>0.0</v>
      </c>
      <c r="W62" s="60">
        <v>2.0E8</v>
      </c>
      <c r="X62" s="60">
        <v>0.0</v>
      </c>
      <c r="Y62" s="1"/>
    </row>
    <row r="63">
      <c r="A63" s="59" t="s">
        <v>110</v>
      </c>
      <c r="B63" s="60"/>
      <c r="C63" s="60">
        <v>-3.3022E7</v>
      </c>
      <c r="D63" s="60">
        <v>-2.4509E7</v>
      </c>
      <c r="E63" s="60"/>
      <c r="F63" s="60"/>
      <c r="G63" s="60">
        <v>0.0</v>
      </c>
      <c r="H63" s="61">
        <v>0.0</v>
      </c>
      <c r="I63" s="60">
        <v>0.0</v>
      </c>
      <c r="J63" s="60">
        <v>0.0</v>
      </c>
      <c r="K63" s="60">
        <v>0.0</v>
      </c>
      <c r="L63" s="61">
        <v>-1000000.0</v>
      </c>
      <c r="M63" s="109"/>
      <c r="N63" s="61"/>
      <c r="O63" s="61"/>
      <c r="P63" s="61"/>
      <c r="Q63" s="61"/>
      <c r="R63" s="61"/>
      <c r="S63" s="60">
        <v>0.0</v>
      </c>
      <c r="T63" s="60">
        <v>-2.4026E7</v>
      </c>
      <c r="U63" s="60">
        <v>-4.5999E7</v>
      </c>
      <c r="V63" s="60">
        <v>-1.50593E8</v>
      </c>
      <c r="W63" s="60">
        <v>-9.5221E7</v>
      </c>
      <c r="X63" s="60">
        <v>0.0</v>
      </c>
      <c r="Y63" s="1"/>
    </row>
    <row r="64">
      <c r="A64" s="59" t="s">
        <v>111</v>
      </c>
      <c r="B64" s="60"/>
      <c r="C64" s="60">
        <v>-3.5325E7</v>
      </c>
      <c r="D64" s="60">
        <v>-2.3556E7</v>
      </c>
      <c r="E64" s="60"/>
      <c r="F64" s="60"/>
      <c r="G64" s="60">
        <v>-4.4E7</v>
      </c>
      <c r="H64" s="61">
        <v>-5.4E7</v>
      </c>
      <c r="I64" s="61">
        <v>9.8E7</v>
      </c>
      <c r="J64" s="60">
        <v>-2.19465E8</v>
      </c>
      <c r="K64" s="60">
        <v>-8.5E7</v>
      </c>
      <c r="L64" s="61">
        <v>-7.5E7</v>
      </c>
      <c r="M64" s="109"/>
      <c r="N64" s="61"/>
      <c r="O64" s="61"/>
      <c r="P64" s="61"/>
      <c r="Q64" s="61"/>
      <c r="R64" s="61"/>
      <c r="S64" s="60">
        <v>-1.07074E8</v>
      </c>
      <c r="T64" s="60">
        <v>-4.5674E7</v>
      </c>
      <c r="U64" s="60">
        <v>-7.5942E7</v>
      </c>
      <c r="V64" s="60">
        <v>-1.82835E8</v>
      </c>
      <c r="W64" s="60">
        <v>-1.28777E8</v>
      </c>
      <c r="X64" s="60">
        <v>-2.19465E8</v>
      </c>
      <c r="Y64" s="1"/>
    </row>
    <row r="65">
      <c r="A65" s="59" t="s">
        <v>112</v>
      </c>
      <c r="B65" s="60"/>
      <c r="C65" s="60">
        <v>-4.9366E7</v>
      </c>
      <c r="D65" s="60">
        <v>-3.8363E7</v>
      </c>
      <c r="E65" s="60"/>
      <c r="F65" s="60"/>
      <c r="G65" s="60">
        <v>-6.7E7</v>
      </c>
      <c r="H65" s="61">
        <v>-6.0E7</v>
      </c>
      <c r="I65" s="60">
        <v>0.0</v>
      </c>
      <c r="J65" s="60">
        <v>-1.27216E8</v>
      </c>
      <c r="K65" s="60">
        <v>-5.9E7</v>
      </c>
      <c r="L65" s="61">
        <v>-1.09E8</v>
      </c>
      <c r="M65" s="110"/>
      <c r="N65" s="61"/>
      <c r="O65" s="61"/>
      <c r="P65" s="61"/>
      <c r="Q65" s="61"/>
      <c r="R65" s="61"/>
      <c r="S65" s="60">
        <v>-1.33211E8</v>
      </c>
      <c r="T65" s="60">
        <v>-6.2282E7</v>
      </c>
      <c r="U65" s="60">
        <v>-1.00685E8</v>
      </c>
      <c r="V65" s="60">
        <v>-2.34103E8</v>
      </c>
      <c r="W65" s="60">
        <v>-1.95976E8</v>
      </c>
      <c r="X65" s="60">
        <v>-2.54216E8</v>
      </c>
      <c r="Y65" s="1"/>
    </row>
    <row r="66">
      <c r="A66" s="59" t="s">
        <v>113</v>
      </c>
      <c r="B66" s="67"/>
      <c r="C66" s="67">
        <v>0.0</v>
      </c>
      <c r="D66" s="60">
        <v>0.0</v>
      </c>
      <c r="E66" s="60"/>
      <c r="F66" s="60"/>
      <c r="G66" s="60">
        <v>0.0</v>
      </c>
      <c r="H66" s="61">
        <v>0.0</v>
      </c>
      <c r="I66" s="61">
        <v>0.0</v>
      </c>
      <c r="J66" s="60">
        <v>-7368000.0</v>
      </c>
      <c r="K66" s="60">
        <v>-9000000.0</v>
      </c>
      <c r="L66" s="61">
        <v>7300000.0</v>
      </c>
      <c r="M66" s="110"/>
      <c r="N66" s="61"/>
      <c r="O66" s="61"/>
      <c r="P66" s="61"/>
      <c r="Q66" s="61"/>
      <c r="R66" s="61"/>
      <c r="S66" s="60">
        <v>0.0</v>
      </c>
      <c r="T66" s="60">
        <v>0.0</v>
      </c>
      <c r="U66" s="60">
        <v>0.0</v>
      </c>
      <c r="V66" s="60">
        <v>0.0</v>
      </c>
      <c r="W66" s="60">
        <v>0.0</v>
      </c>
      <c r="X66" s="60">
        <v>-7368000.0</v>
      </c>
      <c r="Y66" s="1"/>
    </row>
    <row r="67">
      <c r="A67" s="59" t="s">
        <v>58</v>
      </c>
      <c r="B67" s="60"/>
      <c r="C67" s="60">
        <v>-20000.0</v>
      </c>
      <c r="D67" s="60">
        <v>-1151000.0</v>
      </c>
      <c r="E67" s="60"/>
      <c r="F67" s="60"/>
      <c r="G67" s="60">
        <v>0.0</v>
      </c>
      <c r="H67" s="61">
        <v>0.0</v>
      </c>
      <c r="I67" s="60">
        <v>-63000.0</v>
      </c>
      <c r="J67" s="60">
        <v>-2847000.0</v>
      </c>
      <c r="K67" s="60">
        <v>0.0</v>
      </c>
      <c r="L67" s="61">
        <v>-3000000.0</v>
      </c>
      <c r="M67" s="110"/>
      <c r="N67" s="61"/>
      <c r="O67" s="61"/>
      <c r="P67" s="61"/>
      <c r="Q67" s="61"/>
      <c r="R67" s="61"/>
      <c r="S67" s="60">
        <v>-405000.0</v>
      </c>
      <c r="T67" s="60">
        <v>-464000.0</v>
      </c>
      <c r="U67" s="60">
        <v>-100000.0</v>
      </c>
      <c r="V67" s="60">
        <v>-142000.0</v>
      </c>
      <c r="W67" s="60">
        <v>-1.3163E7</v>
      </c>
      <c r="X67" s="60">
        <v>-2910000.0</v>
      </c>
      <c r="Y67" s="1"/>
    </row>
    <row r="68">
      <c r="A68" s="111" t="s">
        <v>114</v>
      </c>
      <c r="B68" s="64"/>
      <c r="C68" s="64">
        <f t="shared" ref="C68:K68" si="35">SUM(C56:C67)</f>
        <v>267000</v>
      </c>
      <c r="D68" s="64">
        <f t="shared" si="35"/>
        <v>-133579000</v>
      </c>
      <c r="E68" s="64">
        <f t="shared" si="35"/>
        <v>0</v>
      </c>
      <c r="F68" s="64">
        <f t="shared" si="35"/>
        <v>0</v>
      </c>
      <c r="G68" s="64">
        <f t="shared" si="35"/>
        <v>-101000000</v>
      </c>
      <c r="H68" s="64">
        <f t="shared" si="35"/>
        <v>-210000000</v>
      </c>
      <c r="I68" s="64">
        <f t="shared" si="35"/>
        <v>48458000</v>
      </c>
      <c r="J68" s="64">
        <f t="shared" si="35"/>
        <v>252489000</v>
      </c>
      <c r="K68" s="64">
        <f t="shared" si="35"/>
        <v>818000000</v>
      </c>
      <c r="L68" s="64">
        <f>SUM(L56:L66)</f>
        <v>97300000</v>
      </c>
      <c r="M68" s="66"/>
      <c r="N68" s="65">
        <v>5.935E7</v>
      </c>
      <c r="O68" s="65">
        <v>-3.4496E7</v>
      </c>
      <c r="P68" s="65">
        <v>1.45768E8</v>
      </c>
      <c r="Q68" s="65">
        <v>2.19844E8</v>
      </c>
      <c r="R68" s="65">
        <v>3.68239E8</v>
      </c>
      <c r="S68" s="64">
        <f t="shared" ref="S68:X68" si="36">SUM(S56:S67)</f>
        <v>274807000</v>
      </c>
      <c r="T68" s="64">
        <f t="shared" si="36"/>
        <v>-164754000</v>
      </c>
      <c r="U68" s="64">
        <f t="shared" si="36"/>
        <v>-5611000</v>
      </c>
      <c r="V68" s="64">
        <f t="shared" si="36"/>
        <v>-768636000</v>
      </c>
      <c r="W68" s="64">
        <f t="shared" si="36"/>
        <v>277863000</v>
      </c>
      <c r="X68" s="64">
        <f t="shared" si="36"/>
        <v>-10053000</v>
      </c>
      <c r="Y68" s="1"/>
    </row>
    <row r="69">
      <c r="A69" s="62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109"/>
      <c r="T69" s="109"/>
      <c r="U69" s="109"/>
      <c r="V69" s="66"/>
      <c r="W69" s="66"/>
      <c r="X69" s="66"/>
      <c r="Y69" s="1"/>
    </row>
    <row r="70">
      <c r="A70" s="63" t="s">
        <v>115</v>
      </c>
      <c r="B70" s="64"/>
      <c r="C70" s="64">
        <f t="shared" ref="C70:L70" si="37">C48+C54+C68</f>
        <v>66000000</v>
      </c>
      <c r="D70" s="64">
        <f t="shared" si="37"/>
        <v>3943000</v>
      </c>
      <c r="E70" s="64">
        <f t="shared" si="37"/>
        <v>0</v>
      </c>
      <c r="F70" s="64">
        <f t="shared" si="37"/>
        <v>0</v>
      </c>
      <c r="G70" s="64">
        <f t="shared" si="37"/>
        <v>-6000000</v>
      </c>
      <c r="H70" s="64">
        <f t="shared" si="37"/>
        <v>-75000000</v>
      </c>
      <c r="I70" s="64">
        <f t="shared" si="37"/>
        <v>96780000</v>
      </c>
      <c r="J70" s="64">
        <f t="shared" si="37"/>
        <v>-14798000</v>
      </c>
      <c r="K70" s="64">
        <f t="shared" si="37"/>
        <v>533000000</v>
      </c>
      <c r="L70" s="64">
        <f t="shared" si="37"/>
        <v>-245600000</v>
      </c>
      <c r="M70" s="66"/>
      <c r="N70" s="64">
        <f t="shared" ref="N70:X70" si="38">N48+N54+N68</f>
        <v>14348000</v>
      </c>
      <c r="O70" s="64">
        <f t="shared" si="38"/>
        <v>-14571000</v>
      </c>
      <c r="P70" s="64">
        <f t="shared" si="38"/>
        <v>8674000</v>
      </c>
      <c r="Q70" s="64">
        <f t="shared" si="38"/>
        <v>14984000</v>
      </c>
      <c r="R70" s="64">
        <f t="shared" si="38"/>
        <v>-1521000</v>
      </c>
      <c r="S70" s="64">
        <f t="shared" si="38"/>
        <v>-19074000</v>
      </c>
      <c r="T70" s="64">
        <f t="shared" si="38"/>
        <v>15519000</v>
      </c>
      <c r="U70" s="64">
        <f t="shared" si="38"/>
        <v>20327000</v>
      </c>
      <c r="V70" s="64">
        <f t="shared" si="38"/>
        <v>-21269000</v>
      </c>
      <c r="W70" s="64">
        <f t="shared" si="38"/>
        <v>7690000</v>
      </c>
      <c r="X70" s="64">
        <f t="shared" si="38"/>
        <v>982000</v>
      </c>
      <c r="Y70" s="1"/>
    </row>
    <row r="71">
      <c r="A71" s="62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109"/>
      <c r="S71" s="66"/>
      <c r="T71" s="66"/>
      <c r="U71" s="66"/>
      <c r="V71" s="66"/>
      <c r="W71" s="66"/>
      <c r="X71" s="66"/>
      <c r="Y71" s="1"/>
    </row>
    <row r="72">
      <c r="A72" s="114" t="s">
        <v>116</v>
      </c>
      <c r="B72" s="115"/>
      <c r="C72" s="115">
        <v>1.8179E7</v>
      </c>
      <c r="D72" s="115">
        <v>1.8179E7</v>
      </c>
      <c r="E72" s="115">
        <v>1.8179E7</v>
      </c>
      <c r="F72" s="115">
        <v>1.8179E7</v>
      </c>
      <c r="G72" s="115">
        <v>2.6E7</v>
      </c>
      <c r="H72" s="115">
        <v>2.6E7</v>
      </c>
      <c r="I72" s="115">
        <v>2.6E7</v>
      </c>
      <c r="J72" s="115">
        <v>2.6E7</v>
      </c>
      <c r="K72" s="115">
        <v>2.7E7</v>
      </c>
      <c r="L72" s="115">
        <v>2.7E7</v>
      </c>
      <c r="M72" s="66"/>
      <c r="N72" s="115">
        <v>539000.0</v>
      </c>
      <c r="O72" s="115">
        <v>1.511E7</v>
      </c>
      <c r="P72" s="115">
        <v>762000.0</v>
      </c>
      <c r="Q72" s="115">
        <v>9213000.0</v>
      </c>
      <c r="R72" s="115">
        <v>2.4197E7</v>
      </c>
      <c r="S72" s="115">
        <v>2.2676E7</v>
      </c>
      <c r="T72" s="115">
        <v>3602000.0</v>
      </c>
      <c r="U72" s="115">
        <v>1.9121E7</v>
      </c>
      <c r="V72" s="115">
        <v>-2.1269E7</v>
      </c>
      <c r="W72" s="115">
        <v>1.8179E7</v>
      </c>
      <c r="X72" s="115">
        <v>2.5869E7</v>
      </c>
      <c r="Y72" s="1"/>
    </row>
    <row r="73">
      <c r="A73" s="116" t="s">
        <v>117</v>
      </c>
      <c r="B73" s="117"/>
      <c r="C73" s="117">
        <f t="shared" ref="C73:L73" si="39">+C70+C72</f>
        <v>84179000</v>
      </c>
      <c r="D73" s="117">
        <f t="shared" si="39"/>
        <v>22122000</v>
      </c>
      <c r="E73" s="117">
        <f t="shared" si="39"/>
        <v>18179000</v>
      </c>
      <c r="F73" s="117">
        <f t="shared" si="39"/>
        <v>18179000</v>
      </c>
      <c r="G73" s="117">
        <f t="shared" si="39"/>
        <v>20000000</v>
      </c>
      <c r="H73" s="117">
        <f t="shared" si="39"/>
        <v>-49000000</v>
      </c>
      <c r="I73" s="117">
        <f t="shared" si="39"/>
        <v>122780000</v>
      </c>
      <c r="J73" s="117">
        <f t="shared" si="39"/>
        <v>11202000</v>
      </c>
      <c r="K73" s="117">
        <f t="shared" si="39"/>
        <v>560000000</v>
      </c>
      <c r="L73" s="117">
        <f t="shared" si="39"/>
        <v>-218600000</v>
      </c>
      <c r="M73" s="66"/>
      <c r="N73" s="117">
        <f t="shared" ref="N73:X73" si="40">+N70+N72</f>
        <v>14887000</v>
      </c>
      <c r="O73" s="117">
        <f t="shared" si="40"/>
        <v>539000</v>
      </c>
      <c r="P73" s="117">
        <f t="shared" si="40"/>
        <v>9436000</v>
      </c>
      <c r="Q73" s="117">
        <f t="shared" si="40"/>
        <v>24197000</v>
      </c>
      <c r="R73" s="117">
        <f t="shared" si="40"/>
        <v>22676000</v>
      </c>
      <c r="S73" s="117">
        <f t="shared" si="40"/>
        <v>3602000</v>
      </c>
      <c r="T73" s="117">
        <f t="shared" si="40"/>
        <v>19121000</v>
      </c>
      <c r="U73" s="117">
        <f t="shared" si="40"/>
        <v>39448000</v>
      </c>
      <c r="V73" s="117">
        <f t="shared" si="40"/>
        <v>-42538000</v>
      </c>
      <c r="W73" s="117">
        <f t="shared" si="40"/>
        <v>25869000</v>
      </c>
      <c r="X73" s="117">
        <f t="shared" si="40"/>
        <v>26851000</v>
      </c>
      <c r="Y73" s="1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6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1"/>
    </row>
    <row r="75">
      <c r="A75" s="118" t="s">
        <v>23</v>
      </c>
      <c r="B75" s="119"/>
      <c r="C75" s="119">
        <f>MAIN!C3</f>
        <v>4570000000</v>
      </c>
      <c r="D75" s="119">
        <f>MAIN!D3</f>
        <v>4370000000</v>
      </c>
      <c r="E75" s="119">
        <f>MAIN!E3</f>
        <v>4510000000</v>
      </c>
      <c r="F75" s="119">
        <f>MAIN!F3</f>
        <v>5580000000</v>
      </c>
      <c r="G75" s="119">
        <f>MAIN!G3</f>
        <v>6800000000</v>
      </c>
      <c r="H75" s="119">
        <f>MAIN!H3</f>
        <v>6640000000</v>
      </c>
      <c r="I75" s="119">
        <f>MAIN!I3</f>
        <v>7980000000</v>
      </c>
      <c r="J75" s="119">
        <f>MAIN!J3</f>
        <v>9250000000</v>
      </c>
      <c r="K75" s="119">
        <f>MAIN!K3</f>
        <v>9890000000</v>
      </c>
      <c r="L75" s="119">
        <f>MAIN!L3</f>
        <v>11000000000</v>
      </c>
      <c r="M75" s="66"/>
      <c r="N75" s="120">
        <v>1.44E9</v>
      </c>
      <c r="O75" s="120">
        <v>1.11E9</v>
      </c>
      <c r="P75" s="120">
        <v>1.4E9</v>
      </c>
      <c r="Q75" s="120">
        <v>2.65E9</v>
      </c>
      <c r="R75" s="120">
        <v>3.23E9</v>
      </c>
      <c r="S75" s="120">
        <v>3.9E9</v>
      </c>
      <c r="T75" s="120">
        <v>1.84E9</v>
      </c>
      <c r="U75" s="120">
        <v>1.67E9</v>
      </c>
      <c r="V75" s="120">
        <v>5.24E9</v>
      </c>
      <c r="W75" s="120">
        <v>5.58E9</v>
      </c>
      <c r="X75" s="120">
        <v>9.25E9</v>
      </c>
      <c r="Y75" s="25"/>
    </row>
    <row r="76">
      <c r="A76" s="69" t="s">
        <v>118</v>
      </c>
      <c r="B76" s="70"/>
      <c r="C76" s="70">
        <f t="shared" ref="C76:L76" si="41">C51</f>
        <v>-39602000</v>
      </c>
      <c r="D76" s="70">
        <f t="shared" si="41"/>
        <v>-9007000</v>
      </c>
      <c r="E76" s="70" t="str">
        <f t="shared" si="41"/>
        <v/>
      </c>
      <c r="F76" s="70" t="str">
        <f t="shared" si="41"/>
        <v/>
      </c>
      <c r="G76" s="70">
        <f t="shared" si="41"/>
        <v>-21000000</v>
      </c>
      <c r="H76" s="70">
        <f t="shared" si="41"/>
        <v>21000000</v>
      </c>
      <c r="I76" s="70">
        <f t="shared" si="41"/>
        <v>-271052000</v>
      </c>
      <c r="J76" s="70">
        <f t="shared" si="41"/>
        <v>-425190000</v>
      </c>
      <c r="K76" s="70">
        <f t="shared" si="41"/>
        <v>-486000000</v>
      </c>
      <c r="L76" s="70">
        <f t="shared" si="41"/>
        <v>-495000000</v>
      </c>
      <c r="M76" s="66"/>
      <c r="N76" s="70">
        <f t="shared" ref="N76:X76" si="42">(N50+N51)</f>
        <v>-96815000</v>
      </c>
      <c r="O76" s="70">
        <f t="shared" si="42"/>
        <v>-43907000</v>
      </c>
      <c r="P76" s="70">
        <f t="shared" si="42"/>
        <v>-205721000</v>
      </c>
      <c r="Q76" s="70">
        <f t="shared" si="42"/>
        <v>-344079000</v>
      </c>
      <c r="R76" s="70">
        <f t="shared" si="42"/>
        <v>-614818000</v>
      </c>
      <c r="S76" s="70">
        <f t="shared" si="42"/>
        <v>-530572000</v>
      </c>
      <c r="T76" s="70">
        <f t="shared" si="42"/>
        <v>-65678000</v>
      </c>
      <c r="U76" s="70">
        <f t="shared" si="42"/>
        <v>-281176000</v>
      </c>
      <c r="V76" s="70">
        <f t="shared" si="42"/>
        <v>-64131000</v>
      </c>
      <c r="W76" s="70">
        <f t="shared" si="42"/>
        <v>-905201000</v>
      </c>
      <c r="X76" s="70">
        <f t="shared" si="42"/>
        <v>-696242000</v>
      </c>
      <c r="Y76" s="1"/>
      <c r="Z76" s="121" t="s">
        <v>119</v>
      </c>
      <c r="AA76" s="121" t="s">
        <v>81</v>
      </c>
    </row>
    <row r="77">
      <c r="A77" s="122" t="s">
        <v>119</v>
      </c>
      <c r="B77" s="117"/>
      <c r="C77" s="117">
        <f t="shared" ref="C77:K77" si="43">+C48+C76</f>
        <v>67641000</v>
      </c>
      <c r="D77" s="117">
        <f t="shared" si="43"/>
        <v>136389000</v>
      </c>
      <c r="E77" s="117">
        <f t="shared" si="43"/>
        <v>0</v>
      </c>
      <c r="F77" s="117">
        <f t="shared" si="43"/>
        <v>0</v>
      </c>
      <c r="G77" s="117">
        <f t="shared" si="43"/>
        <v>94000000</v>
      </c>
      <c r="H77" s="117">
        <f t="shared" si="43"/>
        <v>136000000</v>
      </c>
      <c r="I77" s="117">
        <f t="shared" si="43"/>
        <v>-39352000</v>
      </c>
      <c r="J77" s="117">
        <f t="shared" si="43"/>
        <v>-267282000</v>
      </c>
      <c r="K77" s="117">
        <f t="shared" si="43"/>
        <v>-285000000</v>
      </c>
      <c r="L77" s="117">
        <f>L48+L76</f>
        <v>-315000000</v>
      </c>
      <c r="M77" s="66"/>
      <c r="N77" s="117">
        <f t="shared" ref="N77:X77" si="44">N48+N76</f>
        <v>-45002000</v>
      </c>
      <c r="O77" s="117">
        <f t="shared" si="44"/>
        <v>19925000</v>
      </c>
      <c r="P77" s="117">
        <f t="shared" si="44"/>
        <v>-137094000</v>
      </c>
      <c r="Q77" s="117">
        <f t="shared" si="44"/>
        <v>-204860000</v>
      </c>
      <c r="R77" s="117">
        <f t="shared" si="44"/>
        <v>-370325000</v>
      </c>
      <c r="S77" s="117">
        <f t="shared" si="44"/>
        <v>-293881000</v>
      </c>
      <c r="T77" s="117">
        <f t="shared" si="44"/>
        <v>130878000</v>
      </c>
      <c r="U77" s="117">
        <f t="shared" si="44"/>
        <v>25938000</v>
      </c>
      <c r="V77" s="117">
        <f t="shared" si="44"/>
        <v>635665000</v>
      </c>
      <c r="W77" s="117">
        <f t="shared" si="44"/>
        <v>-267009000</v>
      </c>
      <c r="X77" s="117">
        <f t="shared" si="44"/>
        <v>-76634000</v>
      </c>
      <c r="Y77" s="25"/>
      <c r="Z77" s="123">
        <f>AVERAGE(N77:X77)</f>
        <v>-52945363.64</v>
      </c>
      <c r="AA77" s="124">
        <f t="shared" ref="AA77:AA79" si="47">STDEV(N77:X77)</f>
        <v>274753396.7</v>
      </c>
    </row>
    <row r="78">
      <c r="A78" s="125" t="s">
        <v>120</v>
      </c>
      <c r="B78" s="126"/>
      <c r="C78" s="126" t="str">
        <f>(C77-A77)/A77</f>
        <v>#VALUE!</v>
      </c>
      <c r="D78" s="126">
        <f t="shared" ref="D78:L78" si="45">(D77-C77)/C77</f>
        <v>1.016365814</v>
      </c>
      <c r="E78" s="126">
        <f t="shared" si="45"/>
        <v>-1</v>
      </c>
      <c r="F78" s="126" t="str">
        <f t="shared" si="45"/>
        <v>#DIV/0!</v>
      </c>
      <c r="G78" s="126" t="str">
        <f t="shared" si="45"/>
        <v>#DIV/0!</v>
      </c>
      <c r="H78" s="126">
        <f t="shared" si="45"/>
        <v>0.4468085106</v>
      </c>
      <c r="I78" s="126">
        <f t="shared" si="45"/>
        <v>-1.289352941</v>
      </c>
      <c r="J78" s="126">
        <f t="shared" si="45"/>
        <v>5.792081724</v>
      </c>
      <c r="K78" s="126">
        <f t="shared" si="45"/>
        <v>0.06628953689</v>
      </c>
      <c r="L78" s="126">
        <f t="shared" si="45"/>
        <v>0.1052631579</v>
      </c>
      <c r="M78" s="66"/>
      <c r="N78" s="126"/>
      <c r="O78" s="126">
        <f t="shared" ref="O78:X78" si="46">(O77-N77)/ABS(N77)</f>
        <v>1.4427581</v>
      </c>
      <c r="P78" s="126">
        <f t="shared" si="46"/>
        <v>-7.880501882</v>
      </c>
      <c r="Q78" s="126">
        <f t="shared" si="46"/>
        <v>-0.4943031788</v>
      </c>
      <c r="R78" s="126">
        <f t="shared" si="46"/>
        <v>-0.8076979401</v>
      </c>
      <c r="S78" s="126">
        <f t="shared" si="46"/>
        <v>0.206424087</v>
      </c>
      <c r="T78" s="126">
        <f t="shared" si="46"/>
        <v>1.445343523</v>
      </c>
      <c r="U78" s="126">
        <f t="shared" si="46"/>
        <v>-0.8018154312</v>
      </c>
      <c r="V78" s="126">
        <f t="shared" si="46"/>
        <v>23.50709384</v>
      </c>
      <c r="W78" s="126">
        <f t="shared" si="46"/>
        <v>-1.420046723</v>
      </c>
      <c r="X78" s="126">
        <f t="shared" si="46"/>
        <v>0.7129909479</v>
      </c>
      <c r="Y78" s="97"/>
      <c r="Z78" s="127">
        <f t="shared" ref="Z78:Z79" si="49">AVERAGE(O78:X78)</f>
        <v>1.591024534</v>
      </c>
      <c r="AA78" s="128">
        <f t="shared" si="47"/>
        <v>8.148959498</v>
      </c>
    </row>
    <row r="79">
      <c r="A79" s="71" t="s">
        <v>121</v>
      </c>
      <c r="B79" s="126"/>
      <c r="C79" s="126">
        <f>C77/MAIN!C3</f>
        <v>0.01480109409</v>
      </c>
      <c r="D79" s="126">
        <f>D77/MAIN!D3</f>
        <v>0.03121029748</v>
      </c>
      <c r="E79" s="126">
        <f>E77/MAIN!E3</f>
        <v>0</v>
      </c>
      <c r="F79" s="126">
        <f>F77/MAIN!F3</f>
        <v>0</v>
      </c>
      <c r="G79" s="126">
        <f>G77/MAIN!G3</f>
        <v>0.01382352941</v>
      </c>
      <c r="H79" s="126">
        <f>H77/MAIN!H3</f>
        <v>0.02048192771</v>
      </c>
      <c r="I79" s="126">
        <f>I77/MAIN!I3</f>
        <v>-0.004931328321</v>
      </c>
      <c r="J79" s="126">
        <f>J77/MAIN!J3</f>
        <v>-0.02889535135</v>
      </c>
      <c r="K79" s="126">
        <f>K77/MAIN!K3</f>
        <v>-0.02881698686</v>
      </c>
      <c r="L79" s="126">
        <f>L77/MAIN!L3</f>
        <v>-0.02863636364</v>
      </c>
      <c r="M79" s="66"/>
      <c r="N79" s="126">
        <f t="shared" ref="N79:X79" si="48">N77/N75</f>
        <v>-0.03125138889</v>
      </c>
      <c r="O79" s="126">
        <f t="shared" si="48"/>
        <v>0.01795045045</v>
      </c>
      <c r="P79" s="126">
        <f t="shared" si="48"/>
        <v>-0.09792428571</v>
      </c>
      <c r="Q79" s="126">
        <f t="shared" si="48"/>
        <v>-0.07730566038</v>
      </c>
      <c r="R79" s="126">
        <f t="shared" si="48"/>
        <v>-0.1146517028</v>
      </c>
      <c r="S79" s="126">
        <f t="shared" si="48"/>
        <v>-0.07535410256</v>
      </c>
      <c r="T79" s="126">
        <f t="shared" si="48"/>
        <v>0.07112934783</v>
      </c>
      <c r="U79" s="126">
        <f t="shared" si="48"/>
        <v>0.01553173653</v>
      </c>
      <c r="V79" s="126">
        <f t="shared" si="48"/>
        <v>0.1213101145</v>
      </c>
      <c r="W79" s="126">
        <f t="shared" si="48"/>
        <v>-0.04785107527</v>
      </c>
      <c r="X79" s="129">
        <f t="shared" si="48"/>
        <v>-0.008284756757</v>
      </c>
      <c r="Y79" s="130"/>
      <c r="Z79" s="131">
        <f t="shared" si="49"/>
        <v>-0.01954499342</v>
      </c>
      <c r="AA79" s="132">
        <f t="shared" si="47"/>
        <v>0.07306876389</v>
      </c>
    </row>
    <row r="80">
      <c r="A80" s="133" t="s">
        <v>122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83"/>
      <c r="N80" s="134">
        <v>0.0214</v>
      </c>
      <c r="O80" s="134">
        <v>0.0214</v>
      </c>
      <c r="P80" s="134">
        <v>0.0184</v>
      </c>
      <c r="Q80" s="134">
        <v>0.0233</v>
      </c>
      <c r="R80" s="134">
        <v>0.0291</v>
      </c>
      <c r="S80" s="135">
        <v>0.0214</v>
      </c>
      <c r="T80" s="135">
        <v>0.0089</v>
      </c>
      <c r="U80" s="135">
        <v>0.0145</v>
      </c>
      <c r="V80" s="135">
        <v>0.0284</v>
      </c>
      <c r="W80" s="135">
        <v>0.0375</v>
      </c>
      <c r="X80" s="135">
        <v>0.045</v>
      </c>
      <c r="Y80" s="136"/>
      <c r="AA80" s="137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21" t="s">
        <v>98</v>
      </c>
      <c r="AA81" s="121" t="s">
        <v>81</v>
      </c>
    </row>
    <row r="82">
      <c r="A82" s="138" t="s">
        <v>123</v>
      </c>
      <c r="B82" s="139"/>
      <c r="C82" s="139"/>
      <c r="D82" s="139">
        <f t="shared" ref="D82:L82" si="50">(D48-C48)/ABS(C48)</f>
        <v>0.3557621476</v>
      </c>
      <c r="E82" s="139">
        <f t="shared" si="50"/>
        <v>-1</v>
      </c>
      <c r="F82" s="139" t="str">
        <f t="shared" si="50"/>
        <v>#DIV/0!</v>
      </c>
      <c r="G82" s="139" t="str">
        <f t="shared" si="50"/>
        <v>#DIV/0!</v>
      </c>
      <c r="H82" s="139">
        <f t="shared" si="50"/>
        <v>0</v>
      </c>
      <c r="I82" s="139">
        <f t="shared" si="50"/>
        <v>1.014782609</v>
      </c>
      <c r="J82" s="139">
        <f t="shared" si="50"/>
        <v>-0.3184807941</v>
      </c>
      <c r="K82" s="139">
        <f t="shared" si="50"/>
        <v>0.272893077</v>
      </c>
      <c r="L82" s="139">
        <f t="shared" si="50"/>
        <v>-0.1044776119</v>
      </c>
      <c r="M82" s="140"/>
      <c r="N82" s="139"/>
      <c r="O82" s="139">
        <f t="shared" ref="O82:X82" si="51">(O48-N48)/ABS(N48)</f>
        <v>0.2319688109</v>
      </c>
      <c r="P82" s="139">
        <f t="shared" si="51"/>
        <v>0.07511906254</v>
      </c>
      <c r="Q82" s="139">
        <f t="shared" si="51"/>
        <v>1.028633045</v>
      </c>
      <c r="R82" s="139">
        <f t="shared" si="51"/>
        <v>0.756175522</v>
      </c>
      <c r="S82" s="139">
        <f t="shared" si="51"/>
        <v>-0.03191093406</v>
      </c>
      <c r="T82" s="139">
        <f t="shared" si="51"/>
        <v>-0.1695670727</v>
      </c>
      <c r="U82" s="139">
        <f t="shared" si="51"/>
        <v>0.5624758339</v>
      </c>
      <c r="V82" s="139">
        <f t="shared" si="51"/>
        <v>1.278619666</v>
      </c>
      <c r="W82" s="139">
        <f t="shared" si="51"/>
        <v>-0.08803136914</v>
      </c>
      <c r="X82" s="139">
        <f t="shared" si="51"/>
        <v>-0.02911976333</v>
      </c>
      <c r="Y82" s="98"/>
      <c r="Z82" s="127">
        <f t="shared" ref="Z82:Z83" si="54">AVERAGE(O82:X82)</f>
        <v>0.3614362801</v>
      </c>
      <c r="AA82" s="128">
        <f t="shared" ref="AA82:AA83" si="55">STDEV(N82:X82)</f>
        <v>0.5134408994</v>
      </c>
      <c r="AB82" s="98"/>
      <c r="AC82" s="98"/>
      <c r="AD82" s="98"/>
      <c r="AE82" s="98"/>
      <c r="AF82" s="98"/>
      <c r="AG82" s="98"/>
      <c r="AH82" s="98"/>
      <c r="AI82" s="98"/>
    </row>
    <row r="83">
      <c r="A83" s="141" t="s">
        <v>124</v>
      </c>
      <c r="B83" s="142"/>
      <c r="C83" s="142">
        <f t="shared" ref="C83:L83" si="52">C48/C75</f>
        <v>0.02346673961</v>
      </c>
      <c r="D83" s="142">
        <f t="shared" si="52"/>
        <v>0.03327139588</v>
      </c>
      <c r="E83" s="142">
        <f t="shared" si="52"/>
        <v>0</v>
      </c>
      <c r="F83" s="142">
        <f t="shared" si="52"/>
        <v>0</v>
      </c>
      <c r="G83" s="142">
        <f t="shared" si="52"/>
        <v>0.01691176471</v>
      </c>
      <c r="H83" s="142">
        <f t="shared" si="52"/>
        <v>0.01731927711</v>
      </c>
      <c r="I83" s="142">
        <f t="shared" si="52"/>
        <v>0.02903508772</v>
      </c>
      <c r="J83" s="142">
        <f t="shared" si="52"/>
        <v>0.01707113514</v>
      </c>
      <c r="K83" s="142">
        <f t="shared" si="52"/>
        <v>0.02032355915</v>
      </c>
      <c r="L83" s="142">
        <f t="shared" si="52"/>
        <v>0.01636363636</v>
      </c>
      <c r="M83" s="140"/>
      <c r="N83" s="142">
        <f t="shared" ref="N83:X83" si="53">N48/N75</f>
        <v>0.03598125</v>
      </c>
      <c r="O83" s="142">
        <f t="shared" si="53"/>
        <v>0.05750630631</v>
      </c>
      <c r="P83" s="142">
        <f t="shared" si="53"/>
        <v>0.04901928571</v>
      </c>
      <c r="Q83" s="142">
        <f t="shared" si="53"/>
        <v>0.0525354717</v>
      </c>
      <c r="R83" s="142">
        <f t="shared" si="53"/>
        <v>0.07569442724</v>
      </c>
      <c r="S83" s="142">
        <f t="shared" si="53"/>
        <v>0.06069</v>
      </c>
      <c r="T83" s="142">
        <f t="shared" si="53"/>
        <v>0.106823913</v>
      </c>
      <c r="U83" s="142">
        <f t="shared" si="53"/>
        <v>0.1839005988</v>
      </c>
      <c r="V83" s="142">
        <f t="shared" si="53"/>
        <v>0.133548855</v>
      </c>
      <c r="W83" s="142">
        <f t="shared" si="53"/>
        <v>0.1143713262</v>
      </c>
      <c r="X83" s="142">
        <f t="shared" si="53"/>
        <v>0.06698464865</v>
      </c>
      <c r="Y83" s="98"/>
      <c r="Z83" s="131">
        <f t="shared" si="54"/>
        <v>0.09010748326</v>
      </c>
      <c r="AA83" s="132">
        <f t="shared" si="55"/>
        <v>0.04470605612</v>
      </c>
      <c r="AB83" s="98"/>
      <c r="AC83" s="98"/>
      <c r="AD83" s="98"/>
      <c r="AE83" s="98"/>
      <c r="AF83" s="98"/>
      <c r="AG83" s="98"/>
      <c r="AH83" s="98"/>
      <c r="AI83" s="98"/>
    </row>
  </sheetData>
  <mergeCells count="3">
    <mergeCell ref="C1:L1"/>
    <mergeCell ref="C34:L34"/>
    <mergeCell ref="N1:Y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75"/>
    <col customWidth="1" min="2" max="2" width="13.5"/>
  </cols>
  <sheetData>
    <row r="1">
      <c r="A1" s="143" t="s">
        <v>125</v>
      </c>
      <c r="B1" s="144" t="s">
        <v>126</v>
      </c>
      <c r="C1" s="145" t="s">
        <v>127</v>
      </c>
      <c r="D1" s="145" t="s">
        <v>128</v>
      </c>
      <c r="E1" s="145" t="s">
        <v>129</v>
      </c>
      <c r="F1" s="145" t="s">
        <v>130</v>
      </c>
      <c r="G1" s="145" t="s">
        <v>131</v>
      </c>
      <c r="H1" s="145" t="s">
        <v>132</v>
      </c>
      <c r="I1" s="145" t="s">
        <v>133</v>
      </c>
      <c r="J1" s="145" t="s">
        <v>134</v>
      </c>
      <c r="K1" s="145" t="s">
        <v>135</v>
      </c>
      <c r="L1" s="145" t="s">
        <v>136</v>
      </c>
      <c r="M1" s="146" t="s">
        <v>137</v>
      </c>
      <c r="N1" s="1"/>
    </row>
    <row r="2">
      <c r="A2" s="147" t="s">
        <v>138</v>
      </c>
      <c r="B2" s="148">
        <v>0.05</v>
      </c>
      <c r="C2" s="149">
        <v>7.0E8</v>
      </c>
      <c r="D2" s="150">
        <f t="shared" ref="D2:M2" si="1">C2*(1+$B2)</f>
        <v>735000000</v>
      </c>
      <c r="E2" s="150">
        <f t="shared" si="1"/>
        <v>771750000</v>
      </c>
      <c r="F2" s="150">
        <f t="shared" si="1"/>
        <v>810337500</v>
      </c>
      <c r="G2" s="150">
        <f t="shared" si="1"/>
        <v>850854375</v>
      </c>
      <c r="H2" s="150">
        <f t="shared" si="1"/>
        <v>893397093.8</v>
      </c>
      <c r="I2" s="150">
        <f t="shared" si="1"/>
        <v>938066948.4</v>
      </c>
      <c r="J2" s="150">
        <f t="shared" si="1"/>
        <v>984970295.9</v>
      </c>
      <c r="K2" s="150">
        <f t="shared" si="1"/>
        <v>1034218811</v>
      </c>
      <c r="L2" s="150">
        <f t="shared" si="1"/>
        <v>1085929751</v>
      </c>
      <c r="M2" s="151">
        <f t="shared" si="1"/>
        <v>1140226239</v>
      </c>
      <c r="N2" s="1"/>
    </row>
    <row r="3">
      <c r="A3" s="147" t="s">
        <v>139</v>
      </c>
      <c r="B3" s="152">
        <v>0.2</v>
      </c>
      <c r="C3" s="153">
        <v>7.0E8</v>
      </c>
      <c r="D3" s="154">
        <f t="shared" ref="D3:M3" si="2">C3*(1+$B3)</f>
        <v>840000000</v>
      </c>
      <c r="E3" s="154">
        <f t="shared" si="2"/>
        <v>1008000000</v>
      </c>
      <c r="F3" s="154">
        <f t="shared" si="2"/>
        <v>1209600000</v>
      </c>
      <c r="G3" s="154">
        <f t="shared" si="2"/>
        <v>1451520000</v>
      </c>
      <c r="H3" s="154">
        <f t="shared" si="2"/>
        <v>1741824000</v>
      </c>
      <c r="I3" s="154">
        <f t="shared" si="2"/>
        <v>2090188800</v>
      </c>
      <c r="J3" s="154">
        <f t="shared" si="2"/>
        <v>2508226560</v>
      </c>
      <c r="K3" s="154">
        <f t="shared" si="2"/>
        <v>3009871872</v>
      </c>
      <c r="L3" s="154">
        <f t="shared" si="2"/>
        <v>3611846246</v>
      </c>
      <c r="M3" s="155">
        <f t="shared" si="2"/>
        <v>4334215496</v>
      </c>
      <c r="N3" s="1"/>
    </row>
    <row r="4">
      <c r="A4" s="147" t="s">
        <v>140</v>
      </c>
      <c r="B4" s="152">
        <v>0.3</v>
      </c>
      <c r="C4" s="153">
        <v>7.0E8</v>
      </c>
      <c r="D4" s="154">
        <f t="shared" ref="D4:M4" si="3">C4*(1+$B4)</f>
        <v>910000000</v>
      </c>
      <c r="E4" s="154">
        <f t="shared" si="3"/>
        <v>1183000000</v>
      </c>
      <c r="F4" s="154">
        <f t="shared" si="3"/>
        <v>1537900000</v>
      </c>
      <c r="G4" s="154">
        <f t="shared" si="3"/>
        <v>1999270000</v>
      </c>
      <c r="H4" s="154">
        <f t="shared" si="3"/>
        <v>2599051000</v>
      </c>
      <c r="I4" s="154">
        <f t="shared" si="3"/>
        <v>3378766300</v>
      </c>
      <c r="J4" s="154">
        <f t="shared" si="3"/>
        <v>4392396190</v>
      </c>
      <c r="K4" s="154">
        <f t="shared" si="3"/>
        <v>5710115047</v>
      </c>
      <c r="L4" s="154">
        <f t="shared" si="3"/>
        <v>7423149561</v>
      </c>
      <c r="M4" s="155">
        <f t="shared" si="3"/>
        <v>9650094429</v>
      </c>
      <c r="N4" s="1"/>
    </row>
    <row r="5">
      <c r="A5" s="147" t="s">
        <v>141</v>
      </c>
      <c r="B5" s="152">
        <v>0.4</v>
      </c>
      <c r="C5" s="153">
        <v>7.0E8</v>
      </c>
      <c r="D5" s="154">
        <f t="shared" ref="D5:M5" si="4">C5*(1+$B5)</f>
        <v>980000000</v>
      </c>
      <c r="E5" s="154">
        <f t="shared" si="4"/>
        <v>1372000000</v>
      </c>
      <c r="F5" s="154">
        <f t="shared" si="4"/>
        <v>1920800000</v>
      </c>
      <c r="G5" s="154">
        <f t="shared" si="4"/>
        <v>2689120000</v>
      </c>
      <c r="H5" s="154">
        <f t="shared" si="4"/>
        <v>3764768000</v>
      </c>
      <c r="I5" s="154">
        <f t="shared" si="4"/>
        <v>5270675200</v>
      </c>
      <c r="J5" s="154">
        <f t="shared" si="4"/>
        <v>7378945280</v>
      </c>
      <c r="K5" s="154">
        <f t="shared" si="4"/>
        <v>10330523392</v>
      </c>
      <c r="L5" s="154">
        <f t="shared" si="4"/>
        <v>14462732749</v>
      </c>
      <c r="M5" s="155">
        <f t="shared" si="4"/>
        <v>20247825848</v>
      </c>
      <c r="N5" s="1"/>
    </row>
    <row r="6">
      <c r="A6" s="156" t="s">
        <v>142</v>
      </c>
      <c r="B6" s="157">
        <v>0.55</v>
      </c>
      <c r="C6" s="158">
        <v>7.0E8</v>
      </c>
      <c r="D6" s="159">
        <f t="shared" ref="D6:M6" si="5">C6*(1+$B6)</f>
        <v>1085000000</v>
      </c>
      <c r="E6" s="159">
        <f t="shared" si="5"/>
        <v>1681750000</v>
      </c>
      <c r="F6" s="159">
        <f t="shared" si="5"/>
        <v>2606712500</v>
      </c>
      <c r="G6" s="159">
        <f t="shared" si="5"/>
        <v>4040404375</v>
      </c>
      <c r="H6" s="159">
        <f t="shared" si="5"/>
        <v>6262626781</v>
      </c>
      <c r="I6" s="159">
        <f t="shared" si="5"/>
        <v>9707071511</v>
      </c>
      <c r="J6" s="159">
        <f t="shared" si="5"/>
        <v>15045960842</v>
      </c>
      <c r="K6" s="159">
        <f t="shared" si="5"/>
        <v>23321239305</v>
      </c>
      <c r="L6" s="159">
        <f t="shared" si="5"/>
        <v>36147920923</v>
      </c>
      <c r="M6" s="160">
        <f t="shared" si="5"/>
        <v>56029277430</v>
      </c>
      <c r="N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161" t="s">
        <v>143</v>
      </c>
      <c r="B8" s="162">
        <v>0.1</v>
      </c>
      <c r="C8" s="163" t="s">
        <v>144</v>
      </c>
      <c r="D8" s="48" t="s">
        <v>145</v>
      </c>
      <c r="E8" s="164"/>
      <c r="F8" s="164"/>
      <c r="G8" s="164"/>
      <c r="H8" s="164"/>
      <c r="I8" s="164"/>
      <c r="J8" s="164"/>
      <c r="K8" s="164"/>
      <c r="L8" s="164"/>
      <c r="M8" s="1"/>
      <c r="N8" s="1"/>
    </row>
    <row r="9">
      <c r="A9" s="161" t="s">
        <v>146</v>
      </c>
      <c r="B9" s="68">
        <v>2.88520955E8</v>
      </c>
      <c r="C9" s="1"/>
      <c r="D9" s="48" t="s">
        <v>147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61" t="s">
        <v>148</v>
      </c>
      <c r="B10" s="165">
        <v>0.03</v>
      </c>
      <c r="C10" s="97"/>
      <c r="D10" s="48" t="s">
        <v>149</v>
      </c>
      <c r="E10" s="97"/>
      <c r="F10" s="97"/>
      <c r="G10" s="97"/>
      <c r="H10" s="97"/>
      <c r="I10" s="97"/>
      <c r="J10" s="97"/>
      <c r="K10" s="97"/>
      <c r="L10" s="97"/>
      <c r="M10" s="1"/>
      <c r="N10" s="1"/>
    </row>
    <row r="11">
      <c r="A11" s="161" t="s">
        <v>150</v>
      </c>
      <c r="B11" s="166">
        <v>10.0</v>
      </c>
      <c r="C11" s="1"/>
      <c r="D11" s="48" t="s">
        <v>151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1"/>
      <c r="B12" s="1"/>
      <c r="C12" s="1"/>
      <c r="D12" s="48" t="s">
        <v>152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43" t="s">
        <v>153</v>
      </c>
      <c r="B13" s="16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47" t="s">
        <v>138</v>
      </c>
      <c r="B14" s="168">
        <f t="shared" ref="B14:B18" si="6">((M2*(1+$B$10))/((1+$B$8-$B$10)))/((1+$B$8)^$B$11)</f>
        <v>423172684.1</v>
      </c>
      <c r="C14" s="1"/>
      <c r="D14" s="45" t="s">
        <v>154</v>
      </c>
      <c r="E14" s="45" t="s">
        <v>155</v>
      </c>
      <c r="F14" s="45" t="s">
        <v>156</v>
      </c>
      <c r="G14" s="44"/>
      <c r="H14" s="45" t="s">
        <v>157</v>
      </c>
      <c r="I14" s="1"/>
      <c r="J14" s="1"/>
      <c r="K14" s="1"/>
      <c r="L14" s="1"/>
      <c r="M14" s="1"/>
      <c r="N14" s="1"/>
    </row>
    <row r="15">
      <c r="A15" s="147" t="s">
        <v>139</v>
      </c>
      <c r="B15" s="168">
        <f t="shared" si="6"/>
        <v>1608559374</v>
      </c>
      <c r="C15" s="44" t="s">
        <v>158</v>
      </c>
      <c r="D15" s="169" t="s">
        <v>159</v>
      </c>
      <c r="E15" s="48" t="s">
        <v>160</v>
      </c>
      <c r="F15" s="170" t="s">
        <v>161</v>
      </c>
      <c r="G15" s="67" t="s">
        <v>162</v>
      </c>
      <c r="H15" s="171" t="s">
        <v>163</v>
      </c>
      <c r="I15" s="48" t="s">
        <v>164</v>
      </c>
      <c r="J15" s="1"/>
      <c r="K15" s="1"/>
      <c r="L15" s="1"/>
      <c r="M15" s="1"/>
      <c r="N15" s="1"/>
    </row>
    <row r="16">
      <c r="A16" s="147" t="s">
        <v>140</v>
      </c>
      <c r="B16" s="168">
        <f t="shared" si="6"/>
        <v>3581443948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47" t="s">
        <v>141</v>
      </c>
      <c r="B17" s="168">
        <f t="shared" si="6"/>
        <v>7514584844</v>
      </c>
      <c r="C17" s="44" t="s">
        <v>165</v>
      </c>
      <c r="D17" s="48" t="s">
        <v>166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56" t="s">
        <v>142</v>
      </c>
      <c r="B18" s="172">
        <f t="shared" si="6"/>
        <v>20794171292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43" t="s">
        <v>167</v>
      </c>
      <c r="B20" s="17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47" t="s">
        <v>138</v>
      </c>
      <c r="B21" s="168">
        <f t="shared" ref="B21:B25" si="7">NPV($B$8,D2:M2)</f>
        <v>5468261930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>
      <c r="A22" s="147" t="s">
        <v>139</v>
      </c>
      <c r="B22" s="168">
        <f t="shared" si="7"/>
        <v>11652332392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>
      <c r="A23" s="147" t="s">
        <v>140</v>
      </c>
      <c r="B23" s="168">
        <f t="shared" si="7"/>
        <v>19633439473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>
      <c r="A24" s="147" t="s">
        <v>141</v>
      </c>
      <c r="B24" s="168">
        <f t="shared" si="7"/>
        <v>33163262446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>
      <c r="A25" s="156" t="s">
        <v>142</v>
      </c>
      <c r="B25" s="172">
        <f t="shared" si="7"/>
        <v>71994785519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17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>
      <c r="A27" s="161" t="s">
        <v>168</v>
      </c>
      <c r="B27" s="154">
        <f>MAIN!L5-MAIN!L6</f>
        <v>1070000000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>
      <c r="A28" s="1"/>
      <c r="B28" s="17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>
      <c r="A29" s="143" t="s">
        <v>33</v>
      </c>
      <c r="B29" s="17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>
      <c r="A30" s="147" t="s">
        <v>138</v>
      </c>
      <c r="B30" s="168">
        <f t="shared" ref="B30:B34" si="8">B21+B14</f>
        <v>5891434614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>
      <c r="A31" s="147" t="s">
        <v>139</v>
      </c>
      <c r="B31" s="168">
        <f t="shared" si="8"/>
        <v>13260891766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>
      <c r="A32" s="147" t="s">
        <v>140</v>
      </c>
      <c r="B32" s="168">
        <f t="shared" si="8"/>
        <v>23214883420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>
      <c r="A33" s="147" t="s">
        <v>141</v>
      </c>
      <c r="B33" s="168">
        <f t="shared" si="8"/>
        <v>40677847290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>
      <c r="A34" s="156" t="s">
        <v>142</v>
      </c>
      <c r="B34" s="172">
        <f t="shared" si="8"/>
        <v>92788956811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7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>
      <c r="A36" s="143" t="s">
        <v>169</v>
      </c>
      <c r="B36" s="17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>
      <c r="A37" s="147" t="s">
        <v>138</v>
      </c>
      <c r="B37" s="28">
        <f t="shared" ref="B37:B41" si="9">((B30-$B$27)/$B$9)</f>
        <v>16.7108646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47" t="s">
        <v>139</v>
      </c>
      <c r="B38" s="28">
        <f t="shared" si="9"/>
        <v>42.25305495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47" t="s">
        <v>140</v>
      </c>
      <c r="B39" s="28">
        <f t="shared" si="9"/>
        <v>76.75311979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47" t="s">
        <v>141</v>
      </c>
      <c r="B40" s="28">
        <f t="shared" si="9"/>
        <v>137.2789276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56" t="s">
        <v>142</v>
      </c>
      <c r="B41" s="176">
        <f t="shared" si="9"/>
        <v>317.8935714</v>
      </c>
      <c r="C41" s="97"/>
      <c r="D41" s="97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74"/>
      <c r="C42" s="97"/>
      <c r="D42" s="97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77" t="s">
        <v>170</v>
      </c>
      <c r="B43" s="178">
        <v>37.96</v>
      </c>
      <c r="C43" s="97"/>
      <c r="D43" s="97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79" t="s">
        <v>171</v>
      </c>
      <c r="B45" s="180"/>
      <c r="C45" s="181" t="s">
        <v>172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47" t="s">
        <v>138</v>
      </c>
      <c r="B46" s="182">
        <f t="shared" ref="B46:B50" si="10">((B37-$B$43)/B37)</f>
        <v>-1.271576062</v>
      </c>
      <c r="C46" s="183">
        <v>1.0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47" t="s">
        <v>139</v>
      </c>
      <c r="B47" s="184">
        <f t="shared" si="10"/>
        <v>0.1016034214</v>
      </c>
      <c r="C47" s="183">
        <v>2.0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47" t="s">
        <v>140</v>
      </c>
      <c r="B48" s="185">
        <f t="shared" si="10"/>
        <v>0.5054272699</v>
      </c>
      <c r="C48" s="183">
        <v>3.0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47" t="s">
        <v>141</v>
      </c>
      <c r="B49" s="185">
        <f t="shared" si="10"/>
        <v>0.7234826884</v>
      </c>
      <c r="C49" s="183">
        <v>2.0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56" t="s">
        <v>142</v>
      </c>
      <c r="B50" s="186">
        <f t="shared" si="10"/>
        <v>0.8805889662</v>
      </c>
      <c r="C50" s="183">
        <v>1.0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87">
        <f>SUM(C46:C50)</f>
        <v>9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</sheetData>
  <drawing r:id="rId1"/>
</worksheet>
</file>