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odel" sheetId="2" r:id="rId5"/>
    <sheet state="visible" name="Prediction" sheetId="3" r:id="rId6"/>
  </sheets>
  <definedNames/>
  <calcPr/>
</workbook>
</file>

<file path=xl/sharedStrings.xml><?xml version="1.0" encoding="utf-8"?>
<sst xmlns="http://schemas.openxmlformats.org/spreadsheetml/2006/main" count="236" uniqueCount="189">
  <si>
    <t>February 2, 2025</t>
  </si>
  <si>
    <t>August 3, 2025</t>
  </si>
  <si>
    <t>October 31, 2014</t>
  </si>
  <si>
    <t>October 31, 2015</t>
  </si>
  <si>
    <t>October 31, 2016</t>
  </si>
  <si>
    <t>October 31, 2017</t>
  </si>
  <si>
    <t>October 31, 2018</t>
  </si>
  <si>
    <t>October 31, 2019</t>
  </si>
  <si>
    <t>October 31, 2020</t>
  </si>
  <si>
    <t>October 31, 2021</t>
  </si>
  <si>
    <t>October 31, 2022</t>
  </si>
  <si>
    <t>October 31, 2023</t>
  </si>
  <si>
    <t>October 31, 2024</t>
  </si>
  <si>
    <t>Variables</t>
  </si>
  <si>
    <t>4Q 2022</t>
  </si>
  <si>
    <t>1Q 2023</t>
  </si>
  <si>
    <t>2Q 2023</t>
  </si>
  <si>
    <t>3Q 2023</t>
  </si>
  <si>
    <t>4Q 2023</t>
  </si>
  <si>
    <t>1Q 2024</t>
  </si>
  <si>
    <t>2Q 2024</t>
  </si>
  <si>
    <t>3Q 2024</t>
  </si>
  <si>
    <t>4Q 2024</t>
  </si>
  <si>
    <t>1Q 2025</t>
  </si>
  <si>
    <t>2Q 2025</t>
  </si>
  <si>
    <t>3Q 2025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</si>
  <si>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</si>
  <si>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</si>
  <si>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</si>
  <si>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</si>
  <si>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</si>
  <si>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</si>
  <si>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</si>
  <si>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</si>
  <si>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</si>
  <si>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</si>
  <si>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</si>
  <si>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Market Cap</t>
  </si>
  <si>
    <t>Nº Shares</t>
  </si>
  <si>
    <t>Debt</t>
  </si>
  <si>
    <t>Cash</t>
  </si>
  <si>
    <t>Receivables</t>
  </si>
  <si>
    <t>Inventory</t>
  </si>
  <si>
    <t>Current Assets</t>
  </si>
  <si>
    <t>Total Assets</t>
  </si>
  <si>
    <t>Current Liabilities</t>
  </si>
  <si>
    <t>Total Liabilities</t>
  </si>
  <si>
    <t>Equity</t>
  </si>
  <si>
    <t>EV</t>
  </si>
  <si>
    <t>NCAV</t>
  </si>
  <si>
    <t>Market Price</t>
  </si>
  <si>
    <t>NCAV Price</t>
  </si>
  <si>
    <t>NCAV ratio</t>
  </si>
  <si>
    <t>Cash Burn Out q/q</t>
  </si>
  <si>
    <t>(simple anualization)</t>
  </si>
  <si>
    <t xml:space="preserve">ROA </t>
  </si>
  <si>
    <t>ROE</t>
  </si>
  <si>
    <t>ROIC</t>
  </si>
  <si>
    <t>Current Ratio</t>
  </si>
  <si>
    <t>Quick Ratio</t>
  </si>
  <si>
    <t>Debt / Equity</t>
  </si>
  <si>
    <t>BY QUARTERS</t>
  </si>
  <si>
    <t>BY YEARS</t>
  </si>
  <si>
    <t>IC / High-end</t>
  </si>
  <si>
    <t>IC / Mainstream</t>
  </si>
  <si>
    <t>FPD / High-end</t>
  </si>
  <si>
    <t>FDP / Mainstream</t>
  </si>
  <si>
    <t>Revenue</t>
  </si>
  <si>
    <t>COGS</t>
  </si>
  <si>
    <t>Gross Profit</t>
  </si>
  <si>
    <t>S&amp;G&amp;A</t>
  </si>
  <si>
    <t>R&amp;D</t>
  </si>
  <si>
    <t>Other expenses</t>
  </si>
  <si>
    <t>Operating Expenses</t>
  </si>
  <si>
    <t>Operating Income</t>
  </si>
  <si>
    <t>Foreign currency transactions impacts, net</t>
  </si>
  <si>
    <t>Interest income and other income, net</t>
  </si>
  <si>
    <t>Gains on sales of investments</t>
  </si>
  <si>
    <t>Gain on acquisition</t>
  </si>
  <si>
    <t>Interest expense, net of subsidies</t>
  </si>
  <si>
    <t>Other income, net</t>
  </si>
  <si>
    <t>Pretax Income</t>
  </si>
  <si>
    <t>Taxes</t>
  </si>
  <si>
    <t>Net Income</t>
  </si>
  <si>
    <t>Net income attributable to noncontrolling interests</t>
  </si>
  <si>
    <t>Net income (loss) attributable to Viper Energy, Inc.</t>
  </si>
  <si>
    <t>EPS</t>
  </si>
  <si>
    <t>Shares</t>
  </si>
  <si>
    <t>AVG REVENUE GROWTH</t>
  </si>
  <si>
    <t>STD</t>
  </si>
  <si>
    <t>Revenue q/q Y/Y</t>
  </si>
  <si>
    <t>Gross Margin</t>
  </si>
  <si>
    <t>Operating Margin</t>
  </si>
  <si>
    <t>Profit Margin</t>
  </si>
  <si>
    <t>AVG NET INCOME GROWTH</t>
  </si>
  <si>
    <t>Net Income q/q Y/Y</t>
  </si>
  <si>
    <t>***CASH FLOW QUARTERS NOT VERY REALIABLE***</t>
  </si>
  <si>
    <t>Net income</t>
  </si>
  <si>
    <t>Depreciation and amortization of property, plant and equipment</t>
  </si>
  <si>
    <t>Amortization of intangible assets</t>
  </si>
  <si>
    <t>Gains on sales of investments</t>
  </si>
  <si>
    <t>Share-based compensation</t>
  </si>
  <si>
    <t>Deferred income taxes</t>
  </si>
  <si>
    <t>Accounts receivable</t>
  </si>
  <si>
    <t>Inventories</t>
  </si>
  <si>
    <t>Other current assets</t>
  </si>
  <si>
    <t>Accounts payable, accrued liabilities and other</t>
  </si>
  <si>
    <t>CFO</t>
  </si>
  <si>
    <t>Purchases of property, plant and equipment</t>
  </si>
  <si>
    <t>Purchases of short-term investments</t>
  </si>
  <si>
    <t>Proceeds from maturities of short-term investments</t>
  </si>
  <si>
    <t>Government incentives</t>
  </si>
  <si>
    <t>Cash from acquisition</t>
  </si>
  <si>
    <t>Purchases of intangible assets</t>
  </si>
  <si>
    <t>Acquisition of business</t>
  </si>
  <si>
    <t>Proceeds from sales of investments</t>
  </si>
  <si>
    <t>Other</t>
  </si>
  <si>
    <t>CFI</t>
  </si>
  <si>
    <t>Proceeds from debt</t>
  </si>
  <si>
    <t>Repayments of debt</t>
  </si>
  <si>
    <t>Common stock repurchases</t>
  </si>
  <si>
    <t>Purchases of treasury stock</t>
  </si>
  <si>
    <t>Dividends paid to noncontrolling interests</t>
  </si>
  <si>
    <t>Contributions from noncontrolling interests</t>
  </si>
  <si>
    <t>Proceeds from share-based arrangements</t>
  </si>
  <si>
    <t>Net settlements of restricted stock awards</t>
  </si>
  <si>
    <t>Return of capital to noncontrolling interests</t>
  </si>
  <si>
    <t>CFF</t>
  </si>
  <si>
    <t>Net change in cash and cash equivalents</t>
  </si>
  <si>
    <t>Effects of exchange rate changes on cash, cash equivalents, and restricted cash</t>
  </si>
  <si>
    <t>Cash and cash equivalents at beginning of period</t>
  </si>
  <si>
    <t>Cash and cash equivalents at end of period</t>
  </si>
  <si>
    <t>CAPEX</t>
  </si>
  <si>
    <t>FCF</t>
  </si>
  <si>
    <t>FCF Growth q/q Y/Y</t>
  </si>
  <si>
    <t>FCF Yield</t>
  </si>
  <si>
    <t>Avg 10-Year US Treasury Yield</t>
  </si>
  <si>
    <t>CFO Growth q/q Y/Y</t>
  </si>
  <si>
    <t>CFO Yield Growth q/q Y/Y</t>
  </si>
  <si>
    <t>CFO Yield</t>
  </si>
  <si>
    <t>Expected Growth</t>
  </si>
  <si>
    <t>FCF based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</si>
  <si>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</si>
  <si>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</si>
  <si>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</si>
  <si>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</si>
  <si>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</si>
  <si>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</si>
  <si>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</si>
  <si>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</si>
  <si>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</si>
  <si>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</si>
  <si>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</si>
  <si>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Bearish</t>
  </si>
  <si>
    <t>Mildly Bearish</t>
  </si>
  <si>
    <t>Average</t>
  </si>
  <si>
    <t>Mildly Bullish</t>
  </si>
  <si>
    <t>Bulllish</t>
  </si>
  <si>
    <t>Discount rate</t>
  </si>
  <si>
    <t>Insights:</t>
  </si>
  <si>
    <t>- Due to the royalty structure of Viper, we will use CFO as measure of valuation, FCF is way to lumpy due to high investments in royalty rights and so forth.</t>
  </si>
  <si>
    <t>N Shares</t>
  </si>
  <si>
    <t>- Strong finantials due to be a royalty company, strong current and quick ratios, moderately low debt.</t>
  </si>
  <si>
    <t>LTGR</t>
  </si>
  <si>
    <t>- Strong dividend payment (Around 6% yield).</t>
  </si>
  <si>
    <t>N years</t>
  </si>
  <si>
    <t>- Recent merge with Sitio Royalties it might put Viper in the scope of Mutual Funds because of its size.</t>
  </si>
  <si>
    <t>- Very strong company to face a reccesion, as the primary impact will fall on the extracting companies first.</t>
  </si>
  <si>
    <t>PV Terminal Value</t>
  </si>
  <si>
    <t>MS &lt; -30%</t>
  </si>
  <si>
    <t xml:space="preserve"> </t>
  </si>
  <si>
    <t>-30% &lt; MS &lt; +30%</t>
  </si>
  <si>
    <t>MS &gt; +30%</t>
  </si>
  <si>
    <t>Strategy:</t>
  </si>
  <si>
    <t>SHORT</t>
  </si>
  <si>
    <t>1 of 9</t>
  </si>
  <si>
    <t>UNDECISIVE</t>
  </si>
  <si>
    <t>5 of 9</t>
  </si>
  <si>
    <t>LONG</t>
  </si>
  <si>
    <t>3 of 9</t>
  </si>
  <si>
    <t>Problems:</t>
  </si>
  <si>
    <t>- In the long run, the overgrowing adoption of electrical vehicules might impact the demand for oil severely damaging growth prospects for the company.</t>
  </si>
  <si>
    <t>- Crashing oil prices as a result of a new crisis like 2008.</t>
  </si>
  <si>
    <t>NPV</t>
  </si>
  <si>
    <t>NET DEBT</t>
  </si>
  <si>
    <t>IV</t>
  </si>
  <si>
    <t>Current Stock price</t>
  </si>
  <si>
    <t>Margin of Safety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</si>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</sst>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 d, yyyy"/>
    <numFmt numFmtId="165" formatCode="[$$]#,##0.00"/>
    <numFmt numFmtId="166" formatCode="[$$]#,##0"/>
    <numFmt numFmtId="167" formatCode="#,##0.000"/>
    <numFmt numFmtId="168" formatCode="#,##0.00\ [$€-1]"/>
    <numFmt numFmtId="169" formatCode="0.000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i/>
      <color theme="1"/>
      <name val="Arial"/>
    </font>
    <font>
      <b/>
      <color theme="1"/>
      <name val="Arial"/>
    </font>
    <font/>
    <font>
      <i/>
      <color rgb="FFBF9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34A853"/>
        <bgColor rgb="FF34A85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</fills>
  <borders count="4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bottom style="medium">
        <color rgb="FF000000"/>
      </bottom>
    </border>
    <border>
      <bottom style="double">
        <color rgb="FF000000"/>
      </bottom>
    </border>
    <border>
      <top style="double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3" xfId="0" applyAlignment="1" applyBorder="1" applyFont="1" applyNumberFormat="1">
      <alignment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6" fillId="0" fontId="2" numFmtId="3" xfId="0" applyAlignment="1" applyBorder="1" applyFont="1" applyNumberFormat="1">
      <alignment readingOrder="0" shrinkToFit="0" vertical="center" wrapText="0"/>
    </xf>
    <xf borderId="4" fillId="0" fontId="2" numFmtId="3" xfId="0" applyAlignment="1" applyBorder="1" applyFont="1" applyNumberFormat="1">
      <alignment readingOrder="0" shrinkToFit="0" vertical="center" wrapText="0"/>
    </xf>
    <xf borderId="6" fillId="0" fontId="2" numFmtId="3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3" xfId="0" applyAlignment="1" applyBorder="1" applyFont="1" applyNumberFormat="1">
      <alignment shrinkToFit="0" vertical="center" wrapText="0"/>
    </xf>
    <xf borderId="8" fillId="0" fontId="2" numFmtId="3" xfId="0" applyAlignment="1" applyBorder="1" applyFont="1" applyNumberFormat="1">
      <alignment readingOrder="0" shrinkToFit="0" vertical="center" wrapText="0"/>
    </xf>
    <xf borderId="8" fillId="0" fontId="2" numFmtId="3" xfId="0" applyAlignment="1" applyBorder="1" applyFont="1" applyNumberFormat="1">
      <alignment readingOrder="0" shrinkToFit="0" vertical="center" wrapText="0"/>
    </xf>
    <xf borderId="9" fillId="0" fontId="2" numFmtId="3" xfId="0" applyAlignment="1" applyBorder="1" applyFont="1" applyNumberFormat="1">
      <alignment readingOrder="0" shrinkToFit="0" vertical="center" wrapText="0"/>
    </xf>
    <xf borderId="7" fillId="0" fontId="2" numFmtId="3" xfId="0" applyAlignment="1" applyBorder="1" applyFont="1" applyNumberFormat="1">
      <alignment readingOrder="0" shrinkToFit="0" vertical="center" wrapText="0"/>
    </xf>
    <xf borderId="9" fillId="0" fontId="2" numFmtId="3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3" xfId="0" applyAlignment="1" applyBorder="1" applyFont="1" applyNumberFormat="1">
      <alignment shrinkToFit="0" vertical="center" wrapText="0"/>
    </xf>
    <xf borderId="11" fillId="0" fontId="2" numFmtId="3" xfId="0" applyAlignment="1" applyBorder="1" applyFont="1" applyNumberFormat="1">
      <alignment readingOrder="0" shrinkToFit="0" vertical="center" wrapText="0"/>
    </xf>
    <xf borderId="12" fillId="0" fontId="2" numFmtId="3" xfId="0" applyAlignment="1" applyBorder="1" applyFont="1" applyNumberFormat="1">
      <alignment readingOrder="0" shrinkToFit="0" vertical="center" wrapText="0"/>
    </xf>
    <xf borderId="10" fillId="0" fontId="2" numFmtId="3" xfId="0" applyAlignment="1" applyBorder="1" applyFont="1" applyNumberFormat="1">
      <alignment readingOrder="0" shrinkToFit="0" vertical="center" wrapText="0"/>
    </xf>
    <xf borderId="0" fillId="0" fontId="1" numFmtId="3" xfId="0" applyAlignment="1" applyFont="1" applyNumberFormat="1">
      <alignment vertical="bottom"/>
    </xf>
    <xf borderId="13" fillId="0" fontId="1" numFmtId="0" xfId="0" applyAlignment="1" applyBorder="1" applyFont="1">
      <alignment vertical="bottom"/>
    </xf>
    <xf borderId="13" fillId="0" fontId="1" numFmtId="3" xfId="0" applyAlignment="1" applyBorder="1" applyFont="1" applyNumberFormat="1">
      <alignment horizontal="right" vertical="bottom"/>
    </xf>
    <xf borderId="14" fillId="0" fontId="1" numFmtId="3" xfId="0" applyAlignment="1" applyBorder="1" applyFont="1" applyNumberFormat="1">
      <alignment horizontal="right" vertical="bottom"/>
    </xf>
    <xf borderId="15" fillId="0" fontId="1" numFmtId="3" xfId="0" applyAlignment="1" applyBorder="1" applyFont="1" applyNumberFormat="1">
      <alignment horizontal="right" vertical="bottom"/>
    </xf>
    <xf borderId="16" fillId="0" fontId="1" numFmtId="0" xfId="0" applyAlignment="1" applyBorder="1" applyFont="1">
      <alignment vertical="bottom"/>
    </xf>
    <xf borderId="16" fillId="0" fontId="1" numFmtId="3" xfId="0" applyAlignment="1" applyBorder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17" fillId="0" fontId="1" numFmtId="3" xfId="0" applyAlignment="1" applyBorder="1" applyFont="1" applyNumberFormat="1">
      <alignment horizontal="right" vertical="bottom"/>
    </xf>
    <xf borderId="16" fillId="0" fontId="1" numFmtId="165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17" fillId="0" fontId="1" numFmtId="165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16" fillId="0" fontId="1" numFmtId="10" xfId="0" applyAlignment="1" applyBorder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17" fillId="0" fontId="1" numFmtId="10" xfId="0" applyAlignment="1" applyBorder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18" fillId="0" fontId="1" numFmtId="0" xfId="0" applyAlignment="1" applyBorder="1" applyFont="1">
      <alignment vertical="bottom"/>
    </xf>
    <xf borderId="18" fillId="0" fontId="1" numFmtId="10" xfId="0" applyAlignment="1" applyBorder="1" applyFont="1" applyNumberFormat="1">
      <alignment vertical="bottom"/>
    </xf>
    <xf borderId="19" fillId="0" fontId="1" numFmtId="10" xfId="0" applyAlignment="1" applyBorder="1" applyFont="1" applyNumberFormat="1">
      <alignment horizontal="right" vertical="bottom"/>
    </xf>
    <xf borderId="20" fillId="0" fontId="1" numFmtId="10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14" fillId="0" fontId="1" numFmtId="10" xfId="0" applyAlignment="1" applyBorder="1" applyFont="1" applyNumberFormat="1">
      <alignment vertical="bottom"/>
    </xf>
    <xf borderId="14" fillId="0" fontId="1" numFmtId="10" xfId="0" applyAlignment="1" applyBorder="1" applyFont="1" applyNumberFormat="1">
      <alignment horizontal="right" vertical="bottom"/>
    </xf>
    <xf borderId="15" fillId="0" fontId="1" numFmtId="10" xfId="0" applyAlignment="1" applyBorder="1" applyFont="1" applyNumberFormat="1">
      <alignment horizontal="right" vertical="bottom"/>
    </xf>
    <xf borderId="13" fillId="0" fontId="1" numFmtId="10" xfId="0" applyAlignment="1" applyBorder="1" applyFont="1" applyNumberFormat="1">
      <alignment horizontal="right" vertical="bottom"/>
    </xf>
    <xf borderId="19" fillId="0" fontId="1" numFmtId="10" xfId="0" applyAlignment="1" applyBorder="1" applyFont="1" applyNumberFormat="1">
      <alignment vertical="bottom"/>
    </xf>
    <xf borderId="18" fillId="0" fontId="1" numFmtId="10" xfId="0" applyAlignment="1" applyBorder="1" applyFont="1" applyNumberFormat="1">
      <alignment horizontal="right" vertical="bottom"/>
    </xf>
    <xf borderId="0" fillId="0" fontId="1" numFmtId="2" xfId="0" applyAlignment="1" applyFont="1" applyNumberFormat="1">
      <alignment vertical="bottom"/>
    </xf>
    <xf borderId="14" fillId="0" fontId="1" numFmtId="2" xfId="0" applyAlignment="1" applyBorder="1" applyFont="1" applyNumberFormat="1">
      <alignment horizontal="right" vertical="bottom"/>
    </xf>
    <xf borderId="15" fillId="0" fontId="1" numFmtId="2" xfId="0" applyAlignment="1" applyBorder="1" applyFont="1" applyNumberFormat="1">
      <alignment horizontal="right" vertical="bottom"/>
    </xf>
    <xf borderId="13" fillId="0" fontId="1" numFmtId="2" xfId="0" applyAlignment="1" applyBorder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17" fillId="0" fontId="1" numFmtId="2" xfId="0" applyAlignment="1" applyBorder="1" applyFont="1" applyNumberFormat="1">
      <alignment horizontal="right" vertical="bottom"/>
    </xf>
    <xf borderId="16" fillId="0" fontId="1" numFmtId="2" xfId="0" applyAlignment="1" applyBorder="1" applyFont="1" applyNumberFormat="1">
      <alignment horizontal="right" vertical="bottom"/>
    </xf>
    <xf borderId="19" fillId="0" fontId="1" numFmtId="2" xfId="0" applyAlignment="1" applyBorder="1" applyFont="1" applyNumberFormat="1">
      <alignment horizontal="right" vertical="bottom"/>
    </xf>
    <xf borderId="20" fillId="0" fontId="1" numFmtId="2" xfId="0" applyAlignment="1" applyBorder="1" applyFont="1" applyNumberFormat="1">
      <alignment horizontal="right" vertical="bottom"/>
    </xf>
    <xf borderId="18" fillId="0" fontId="1" numFmtId="2" xfId="0" applyAlignment="1" applyBorder="1" applyFont="1" applyNumberFormat="1">
      <alignment horizontal="right" vertical="bottom"/>
    </xf>
    <xf borderId="0" fillId="2" fontId="1" numFmtId="0" xfId="0" applyAlignment="1" applyFill="1" applyFont="1">
      <alignment vertical="bottom"/>
    </xf>
    <xf borderId="19" fillId="2" fontId="4" numFmtId="0" xfId="0" applyAlignment="1" applyBorder="1" applyFont="1">
      <alignment horizontal="center" vertical="bottom"/>
    </xf>
    <xf borderId="19" fillId="0" fontId="5" numFmtId="0" xfId="0" applyBorder="1" applyFont="1"/>
    <xf borderId="21" fillId="2" fontId="4" numFmtId="0" xfId="0" applyAlignment="1" applyBorder="1" applyFont="1">
      <alignment vertical="bottom"/>
    </xf>
    <xf borderId="19" fillId="2" fontId="4" numFmtId="0" xfId="0" applyAlignment="1" applyBorder="1" applyFont="1">
      <alignment vertical="bottom"/>
    </xf>
    <xf borderId="19" fillId="2" fontId="4" numFmtId="0" xfId="0" applyAlignment="1" applyBorder="1" applyFont="1">
      <alignment readingOrder="0" vertical="bottom"/>
    </xf>
    <xf borderId="19" fillId="2" fontId="4" numFmtId="0" xfId="0" applyAlignment="1" applyBorder="1" applyFont="1">
      <alignment horizontal="right" vertical="bottom"/>
    </xf>
    <xf borderId="0" fillId="3" fontId="1" numFmtId="0" xfId="0" applyAlignment="1" applyFill="1" applyFont="1">
      <alignment readingOrder="0" vertical="bottom"/>
    </xf>
    <xf borderId="0" fillId="3" fontId="1" numFmtId="3" xfId="0" applyAlignment="1" applyFont="1" applyNumberFormat="1">
      <alignment vertical="bottom"/>
    </xf>
    <xf borderId="0" fillId="3" fontId="1" numFmtId="3" xfId="0" applyAlignment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3" fontId="1" numFmtId="3" xfId="0" applyAlignment="1" applyFont="1" applyNumberFormat="1">
      <alignment readingOrder="0" vertical="bottom"/>
    </xf>
    <xf borderId="0" fillId="3" fontId="1" numFmtId="3" xfId="0" applyAlignment="1" applyFont="1" applyNumberFormat="1">
      <alignment horizontal="right" readingOrder="0" vertical="bottom"/>
    </xf>
    <xf borderId="22" fillId="3" fontId="4" numFmtId="0" xfId="0" applyAlignment="1" applyBorder="1" applyFont="1">
      <alignment vertical="bottom"/>
    </xf>
    <xf borderId="21" fillId="3" fontId="1" numFmtId="3" xfId="0" applyAlignment="1" applyBorder="1" applyFont="1" applyNumberFormat="1">
      <alignment vertical="bottom"/>
    </xf>
    <xf borderId="21" fillId="3" fontId="4" numFmtId="3" xfId="0" applyAlignment="1" applyBorder="1" applyFont="1" applyNumberFormat="1">
      <alignment horizontal="right" vertical="bottom"/>
    </xf>
    <xf borderId="21" fillId="3" fontId="4" numFmtId="3" xfId="0" applyAlignment="1" applyBorder="1" applyFont="1" applyNumberFormat="1">
      <alignment horizontal="right" readingOrder="0" vertical="bottom"/>
    </xf>
    <xf borderId="0" fillId="0" fontId="1" numFmtId="3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14" fillId="3" fontId="1" numFmtId="0" xfId="0" applyAlignment="1" applyBorder="1" applyFont="1">
      <alignment vertical="bottom"/>
    </xf>
    <xf borderId="14" fillId="3" fontId="1" numFmtId="3" xfId="0" applyAlignment="1" applyBorder="1" applyFont="1" applyNumberFormat="1">
      <alignment vertical="bottom"/>
    </xf>
    <xf borderId="14" fillId="3" fontId="1" numFmtId="3" xfId="0" applyAlignment="1" applyBorder="1" applyFont="1" applyNumberFormat="1">
      <alignment horizontal="right" vertical="bottom"/>
    </xf>
    <xf borderId="19" fillId="3" fontId="4" numFmtId="0" xfId="0" applyAlignment="1" applyBorder="1" applyFont="1">
      <alignment vertical="bottom"/>
    </xf>
    <xf borderId="19" fillId="3" fontId="1" numFmtId="3" xfId="0" applyAlignment="1" applyBorder="1" applyFont="1" applyNumberFormat="1">
      <alignment vertical="bottom"/>
    </xf>
    <xf borderId="19" fillId="3" fontId="4" numFmtId="3" xfId="0" applyAlignment="1" applyBorder="1" applyFont="1" applyNumberFormat="1">
      <alignment horizontal="right" vertical="bottom"/>
    </xf>
    <xf borderId="21" fillId="3" fontId="4" numFmtId="3" xfId="0" applyAlignment="1" applyBorder="1" applyFont="1" applyNumberFormat="1">
      <alignment vertical="bottom"/>
    </xf>
    <xf borderId="21" fillId="0" fontId="1" numFmtId="3" xfId="0" applyAlignment="1" applyBorder="1" applyFont="1" applyNumberFormat="1">
      <alignment vertical="bottom"/>
    </xf>
    <xf borderId="0" fillId="3" fontId="1" numFmtId="4" xfId="0" applyAlignment="1" applyFont="1" applyNumberFormat="1">
      <alignment vertical="bottom"/>
    </xf>
    <xf borderId="0" fillId="3" fontId="1" numFmtId="4" xfId="0" applyAlignment="1" applyFont="1" applyNumberFormat="1">
      <alignment horizontal="center" vertical="bottom"/>
    </xf>
    <xf borderId="0" fillId="3" fontId="1" numFmtId="4" xfId="0" applyAlignment="1" applyFont="1" applyNumberFormat="1">
      <alignment horizontal="right" vertical="bottom"/>
    </xf>
    <xf borderId="0" fillId="3" fontId="1" numFmtId="10" xfId="0" applyAlignment="1" applyFont="1" applyNumberFormat="1">
      <alignment vertical="bottom"/>
    </xf>
    <xf borderId="23" fillId="0" fontId="4" numFmtId="0" xfId="0" applyAlignment="1" applyBorder="1" applyFont="1">
      <alignment vertical="bottom"/>
    </xf>
    <xf borderId="24" fillId="0" fontId="4" numFmtId="0" xfId="0" applyAlignment="1" applyBorder="1" applyFont="1">
      <alignment vertical="bottom"/>
    </xf>
    <xf borderId="23" fillId="3" fontId="4" numFmtId="0" xfId="0" applyAlignment="1" applyBorder="1" applyFont="1">
      <alignment vertical="bottom"/>
    </xf>
    <xf borderId="25" fillId="3" fontId="4" numFmtId="10" xfId="0" applyAlignment="1" applyBorder="1" applyFont="1" applyNumberFormat="1">
      <alignment horizontal="center" vertical="bottom"/>
    </xf>
    <xf borderId="25" fillId="3" fontId="4" numFmtId="10" xfId="0" applyAlignment="1" applyBorder="1" applyFont="1" applyNumberFormat="1">
      <alignment horizontal="right" vertical="bottom"/>
    </xf>
    <xf borderId="25" fillId="3" fontId="1" numFmtId="10" xfId="0" applyAlignment="1" applyBorder="1" applyFont="1" applyNumberFormat="1">
      <alignment vertical="bottom"/>
    </xf>
    <xf borderId="26" fillId="0" fontId="1" numFmtId="10" xfId="0" applyAlignment="1" applyBorder="1" applyFont="1" applyNumberFormat="1">
      <alignment horizontal="right" vertical="bottom"/>
    </xf>
    <xf borderId="27" fillId="0" fontId="1" numFmtId="10" xfId="0" applyAlignment="1" applyBorder="1" applyFont="1" applyNumberFormat="1">
      <alignment horizontal="right" vertical="bottom"/>
    </xf>
    <xf borderId="28" fillId="3" fontId="1" numFmtId="0" xfId="0" applyAlignment="1" applyBorder="1" applyFont="1">
      <alignment vertical="bottom"/>
    </xf>
    <xf borderId="0" fillId="3" fontId="1" numFmtId="10" xfId="0" applyAlignment="1" applyFont="1" applyNumberFormat="1">
      <alignment horizontal="right" vertical="bottom"/>
    </xf>
    <xf borderId="26" fillId="3" fontId="1" numFmtId="0" xfId="0" applyAlignment="1" applyBorder="1" applyFont="1">
      <alignment vertical="bottom"/>
    </xf>
    <xf borderId="29" fillId="3" fontId="1" numFmtId="10" xfId="0" applyAlignment="1" applyBorder="1" applyFont="1" applyNumberFormat="1">
      <alignment horizontal="right" vertical="bottom"/>
    </xf>
    <xf borderId="29" fillId="3" fontId="4" numFmtId="10" xfId="0" applyAlignment="1" applyBorder="1" applyFont="1" applyNumberFormat="1">
      <alignment vertical="bottom"/>
    </xf>
    <xf borderId="29" fillId="3" fontId="1" numFmtId="10" xfId="0" applyAlignment="1" applyBorder="1" applyFont="1" applyNumberFormat="1">
      <alignment vertical="bottom"/>
    </xf>
    <xf borderId="29" fillId="3" fontId="1" numFmtId="10" xfId="0" applyAlignment="1" applyBorder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30" fillId="3" fontId="1" numFmtId="0" xfId="0" applyAlignment="1" applyBorder="1" applyFont="1">
      <alignment vertical="bottom"/>
    </xf>
    <xf borderId="31" fillId="3" fontId="1" numFmtId="0" xfId="0" applyAlignment="1" applyBorder="1" applyFont="1">
      <alignment vertical="bottom"/>
    </xf>
    <xf borderId="31" fillId="3" fontId="1" numFmtId="10" xfId="0" applyAlignment="1" applyBorder="1" applyFont="1" applyNumberFormat="1">
      <alignment vertical="bottom"/>
    </xf>
    <xf borderId="31" fillId="3" fontId="1" numFmtId="10" xfId="0" applyAlignment="1" applyBorder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3" fontId="4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readingOrder="0"/>
    </xf>
    <xf borderId="21" fillId="3" fontId="4" numFmtId="0" xfId="0" applyAlignment="1" applyBorder="1" applyFont="1">
      <alignment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21" fillId="3" fontId="1" numFmtId="0" xfId="0" applyAlignment="1" applyBorder="1" applyFont="1">
      <alignment readingOrder="0" vertical="bottom"/>
    </xf>
    <xf borderId="21" fillId="3" fontId="1" numFmtId="3" xfId="0" applyAlignment="1" applyBorder="1" applyFont="1" applyNumberFormat="1">
      <alignment horizontal="right" vertical="bottom"/>
    </xf>
    <xf borderId="21" fillId="3" fontId="1" numFmtId="3" xfId="0" applyAlignment="1" applyBorder="1" applyFont="1" applyNumberFormat="1">
      <alignment horizontal="right" readingOrder="0" vertical="bottom"/>
    </xf>
    <xf borderId="13" fillId="3" fontId="1" numFmtId="0" xfId="0" applyAlignment="1" applyBorder="1" applyFont="1">
      <alignment vertical="bottom"/>
    </xf>
    <xf borderId="14" fillId="3" fontId="1" numFmtId="3" xfId="0" applyAlignment="1" applyBorder="1" applyFont="1" applyNumberFormat="1">
      <alignment horizontal="right" readingOrder="0" vertical="bottom"/>
    </xf>
    <xf borderId="18" fillId="3" fontId="1" numFmtId="0" xfId="0" applyAlignment="1" applyBorder="1" applyFont="1">
      <alignment vertical="bottom"/>
    </xf>
    <xf borderId="19" fillId="3" fontId="1" numFmtId="3" xfId="0" applyAlignment="1" applyBorder="1" applyFont="1" applyNumberFormat="1">
      <alignment horizontal="right" vertical="bottom"/>
    </xf>
    <xf borderId="32" fillId="3" fontId="1" numFmtId="3" xfId="0" applyAlignment="1" applyBorder="1" applyFont="1" applyNumberFormat="1">
      <alignment vertical="bottom"/>
    </xf>
    <xf borderId="32" fillId="3" fontId="1" numFmtId="3" xfId="0" applyAlignment="1" applyBorder="1" applyFont="1" applyNumberFormat="1">
      <alignment horizontal="right" vertical="bottom"/>
    </xf>
    <xf borderId="33" fillId="0" fontId="4" numFmtId="0" xfId="0" applyAlignment="1" applyBorder="1" applyFont="1">
      <alignment vertical="bottom"/>
    </xf>
    <xf borderId="0" fillId="3" fontId="4" numFmtId="3" xfId="0" applyAlignment="1" applyFont="1" applyNumberFormat="1">
      <alignment vertical="bottom"/>
    </xf>
    <xf borderId="34" fillId="0" fontId="1" numFmtId="3" xfId="0" applyAlignment="1" applyBorder="1" applyFont="1" applyNumberFormat="1">
      <alignment horizontal="right" vertical="bottom"/>
    </xf>
    <xf borderId="35" fillId="0" fontId="1" numFmtId="3" xfId="0" applyAlignment="1" applyBorder="1" applyFont="1" applyNumberFormat="1">
      <alignment horizontal="right" vertical="bottom"/>
    </xf>
    <xf borderId="19" fillId="3" fontId="1" numFmtId="10" xfId="0" applyAlignment="1" applyBorder="1" applyFont="1" applyNumberFormat="1">
      <alignment vertical="bottom"/>
    </xf>
    <xf borderId="19" fillId="3" fontId="1" numFmtId="10" xfId="0" applyAlignment="1" applyBorder="1" applyFont="1" applyNumberFormat="1">
      <alignment horizontal="right" vertical="bottom"/>
    </xf>
    <xf borderId="34" fillId="0" fontId="1" numFmtId="10" xfId="0" applyAlignment="1" applyBorder="1" applyFont="1" applyNumberFormat="1">
      <alignment horizontal="right" vertical="bottom"/>
    </xf>
    <xf borderId="35" fillId="0" fontId="1" numFmtId="10" xfId="0" applyAlignment="1" applyBorder="1" applyFont="1" applyNumberFormat="1">
      <alignment horizontal="right" vertical="bottom"/>
    </xf>
    <xf borderId="19" fillId="3" fontId="4" numFmtId="10" xfId="0" applyAlignment="1" applyBorder="1" applyFont="1" applyNumberFormat="1">
      <alignment horizontal="right" vertical="bottom"/>
    </xf>
    <xf borderId="19" fillId="0" fontId="4" numFmtId="10" xfId="0" applyAlignment="1" applyBorder="1" applyFont="1" applyNumberFormat="1">
      <alignment horizontal="right" vertical="bottom"/>
    </xf>
    <xf borderId="36" fillId="0" fontId="1" numFmtId="10" xfId="0" applyAlignment="1" applyBorder="1" applyFont="1" applyNumberFormat="1">
      <alignment horizontal="right" vertical="bottom"/>
    </xf>
    <xf borderId="37" fillId="0" fontId="1" numFmtId="10" xfId="0" applyAlignment="1" applyBorder="1" applyFont="1" applyNumberFormat="1">
      <alignment horizontal="right" vertical="bottom"/>
    </xf>
    <xf borderId="29" fillId="0" fontId="6" numFmtId="10" xfId="0" applyAlignment="1" applyBorder="1" applyFont="1" applyNumberFormat="1">
      <alignment vertical="bottom"/>
    </xf>
    <xf borderId="29" fillId="0" fontId="6" numFmtId="10" xfId="0" applyAlignment="1" applyBorder="1" applyFont="1" applyNumberFormat="1">
      <alignment horizontal="right" vertical="bottom"/>
    </xf>
    <xf borderId="32" fillId="0" fontId="1" numFmtId="10" xfId="0" applyAlignment="1" applyBorder="1" applyFont="1" applyNumberFormat="1">
      <alignment vertical="bottom"/>
    </xf>
    <xf borderId="32" fillId="0" fontId="1" numFmtId="10" xfId="0" applyAlignment="1" applyBorder="1" applyFont="1" applyNumberFormat="1">
      <alignment horizontal="right" vertical="bottom"/>
    </xf>
    <xf borderId="29" fillId="0" fontId="4" numFmtId="10" xfId="0" applyAlignment="1" applyBorder="1" applyFont="1" applyNumberFormat="1">
      <alignment vertical="bottom"/>
    </xf>
    <xf borderId="29" fillId="0" fontId="4" numFmtId="10" xfId="0" applyAlignment="1" applyBorder="1" applyFont="1" applyNumberFormat="1">
      <alignment horizontal="right" vertical="bottom"/>
    </xf>
    <xf borderId="13" fillId="2" fontId="4" numFmtId="0" xfId="0" applyAlignment="1" applyBorder="1" applyFont="1">
      <alignment vertical="bottom"/>
    </xf>
    <xf borderId="14" fillId="2" fontId="4" numFmtId="0" xfId="0" applyAlignment="1" applyBorder="1" applyFont="1">
      <alignment readingOrder="0" vertical="bottom"/>
    </xf>
    <xf borderId="14" fillId="2" fontId="4" numFmtId="0" xfId="0" applyAlignment="1" applyBorder="1" applyFont="1">
      <alignment vertical="bottom"/>
    </xf>
    <xf borderId="15" fillId="2" fontId="4" numFmtId="0" xfId="0" applyAlignment="1" applyBorder="1" applyFont="1">
      <alignment vertical="bottom"/>
    </xf>
    <xf borderId="16" fillId="0" fontId="1" numFmtId="0" xfId="0" applyAlignment="1" applyBorder="1" applyFont="1">
      <alignment horizontal="center" vertical="bottom"/>
    </xf>
    <xf borderId="38" fillId="0" fontId="1" numFmtId="2" xfId="0" applyAlignment="1" applyBorder="1" applyFont="1" applyNumberFormat="1">
      <alignment horizontal="right" vertical="bottom"/>
    </xf>
    <xf borderId="39" fillId="0" fontId="1" numFmtId="166" xfId="0" applyAlignment="1" applyBorder="1" applyFont="1" applyNumberFormat="1">
      <alignment horizontal="right" readingOrder="0" vertical="bottom"/>
    </xf>
    <xf borderId="32" fillId="0" fontId="1" numFmtId="166" xfId="0" applyAlignment="1" applyBorder="1" applyFont="1" applyNumberFormat="1">
      <alignment horizontal="right" vertical="bottom"/>
    </xf>
    <xf borderId="40" fillId="0" fontId="1" numFmtId="166" xfId="0" applyAlignment="1" applyBorder="1" applyFont="1" applyNumberFormat="1">
      <alignment horizontal="right" vertical="bottom"/>
    </xf>
    <xf borderId="38" fillId="0" fontId="1" numFmtId="2" xfId="0" applyAlignment="1" applyBorder="1" applyFont="1" applyNumberFormat="1">
      <alignment horizontal="right" readingOrder="0" vertical="bottom"/>
    </xf>
    <xf borderId="28" fillId="0" fontId="1" numFmtId="166" xfId="0" applyAlignment="1" applyBorder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38" fillId="0" fontId="1" numFmtId="166" xfId="0" applyAlignment="1" applyBorder="1" applyFont="1" applyNumberFormat="1">
      <alignment horizontal="right" vertical="bottom"/>
    </xf>
    <xf borderId="18" fillId="0" fontId="1" numFmtId="0" xfId="0" applyAlignment="1" applyBorder="1" applyFont="1">
      <alignment horizontal="center" vertical="bottom"/>
    </xf>
    <xf borderId="41" fillId="0" fontId="1" numFmtId="2" xfId="0" applyAlignment="1" applyBorder="1" applyFont="1" applyNumberFormat="1">
      <alignment horizontal="right" readingOrder="0" vertical="bottom"/>
    </xf>
    <xf borderId="26" fillId="0" fontId="1" numFmtId="166" xfId="0" applyAlignment="1" applyBorder="1" applyFont="1" applyNumberFormat="1">
      <alignment horizontal="right" readingOrder="0" vertical="bottom"/>
    </xf>
    <xf borderId="29" fillId="0" fontId="1" numFmtId="166" xfId="0" applyAlignment="1" applyBorder="1" applyFont="1" applyNumberFormat="1">
      <alignment horizontal="right" vertical="bottom"/>
    </xf>
    <xf borderId="27" fillId="0" fontId="1" numFmtId="166" xfId="0" applyAlignment="1" applyBorder="1" applyFont="1" applyNumberFormat="1">
      <alignment horizontal="right" vertical="bottom"/>
    </xf>
    <xf borderId="0" fillId="2" fontId="4" numFmtId="0" xfId="0" applyAlignment="1" applyFon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4" numFmtId="168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0" fontId="1" numFmtId="169" xfId="0" applyAlignment="1" applyFont="1" applyNumberFormat="1">
      <alignment horizontal="right" vertical="bottom"/>
    </xf>
    <xf borderId="15" fillId="2" fontId="1" numFmtId="0" xfId="0" applyAlignment="1" applyBorder="1" applyFont="1">
      <alignment vertical="bottom"/>
    </xf>
    <xf borderId="17" fillId="0" fontId="1" numFmtId="166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4" fontId="4" numFmtId="168" xfId="0" applyAlignment="1" applyFill="1" applyFont="1" applyNumberFormat="1">
      <alignment vertical="bottom"/>
    </xf>
    <xf borderId="0" fillId="5" fontId="4" numFmtId="0" xfId="0" applyAlignment="1" applyFill="1" applyFont="1">
      <alignment vertical="bottom"/>
    </xf>
    <xf borderId="0" fillId="6" fontId="4" numFmtId="0" xfId="0" applyAlignment="1" applyFill="1" applyFont="1">
      <alignment vertical="bottom"/>
    </xf>
    <xf borderId="20" fillId="0" fontId="1" numFmtId="166" xfId="0" applyAlignment="1" applyBorder="1" applyFont="1" applyNumberFormat="1">
      <alignment horizontal="right" vertical="bottom"/>
    </xf>
    <xf borderId="15" fillId="2" fontId="1" numFmtId="165" xfId="0" applyAlignment="1" applyBorder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166" xfId="0" applyAlignment="1" applyFont="1" applyNumberFormat="1">
      <alignment horizontal="right" readingOrder="0" vertical="bottom"/>
    </xf>
    <xf borderId="15" fillId="2" fontId="1" numFmtId="166" xfId="0" applyAlignment="1" applyBorder="1" applyFont="1" applyNumberFormat="1">
      <alignment vertical="bottom"/>
    </xf>
    <xf borderId="20" fillId="0" fontId="1" numFmtId="165" xfId="0" applyAlignment="1" applyBorder="1" applyFont="1" applyNumberFormat="1">
      <alignment horizontal="right" vertical="bottom"/>
    </xf>
    <xf borderId="0" fillId="2" fontId="4" numFmtId="168" xfId="0" applyAlignment="1" applyFont="1" applyNumberFormat="1">
      <alignment vertical="bottom"/>
    </xf>
    <xf borderId="0" fillId="0" fontId="1" numFmtId="165" xfId="0" applyAlignment="1" applyFont="1" applyNumberFormat="1">
      <alignment readingOrder="0" vertical="bottom"/>
    </xf>
    <xf borderId="13" fillId="2" fontId="4" numFmtId="10" xfId="0" applyAlignment="1" applyBorder="1" applyFont="1" applyNumberFormat="1">
      <alignment vertical="bottom"/>
    </xf>
    <xf borderId="14" fillId="2" fontId="1" numFmtId="10" xfId="0" applyAlignment="1" applyBorder="1" applyFont="1" applyNumberFormat="1">
      <alignment vertical="bottom"/>
    </xf>
    <xf borderId="42" fillId="2" fontId="1" numFmtId="0" xfId="0" applyAlignment="1" applyBorder="1" applyFont="1">
      <alignment vertical="bottom"/>
    </xf>
    <xf borderId="17" fillId="7" fontId="1" numFmtId="10" xfId="0" applyAlignment="1" applyBorder="1" applyFill="1" applyFont="1" applyNumberFormat="1">
      <alignment horizontal="right" vertical="bottom"/>
    </xf>
    <xf borderId="43" fillId="0" fontId="1" numFmtId="0" xfId="0" applyAlignment="1" applyBorder="1" applyFont="1">
      <alignment horizontal="right" vertical="bottom"/>
    </xf>
    <xf borderId="17" fillId="8" fontId="1" numFmtId="10" xfId="0" applyAlignment="1" applyBorder="1" applyFill="1" applyFont="1" applyNumberFormat="1">
      <alignment horizontal="right" vertical="bottom"/>
    </xf>
    <xf borderId="17" fillId="9" fontId="1" numFmtId="10" xfId="0" applyAlignment="1" applyBorder="1" applyFill="1" applyFont="1" applyNumberFormat="1">
      <alignment horizontal="right" vertical="bottom"/>
    </xf>
    <xf borderId="20" fillId="9" fontId="1" numFmtId="10" xfId="0" applyAlignment="1" applyBorder="1" applyFont="1" applyNumberFormat="1">
      <alignment horizontal="right" vertical="bottom"/>
    </xf>
    <xf borderId="44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MAIN-style">
      <tableStyleElement dxfId="1" type="headerRow"/>
      <tableStyleElement dxfId="2" type="firstRowStripe"/>
      <tableStyleElement dxfId="3" type="secondRowStripe"/>
    </tableStyle>
    <tableStyle count="3" pivot="0" name="MAIN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M13" displayName="Tabla_1" name="Tabla_1" id="1">
  <tableColumns count="13">
    <tableColumn name="Variables" id="1"/>
    <tableColumn name="4Q 2022" id="2"/>
    <tableColumn name="1Q 2023" id="3"/>
    <tableColumn name="2Q 2023" id="4"/>
    <tableColumn name="3Q 2023" id="5"/>
    <tableColumn name="4Q 2023" id="6"/>
    <tableColumn name="1Q 2024" id="7"/>
    <tableColumn name="2Q 2024" id="8"/>
    <tableColumn name="3Q 2024" id="9"/>
    <tableColumn name="4Q 2024" id="10"/>
    <tableColumn name="1Q 2025" id="11"/>
    <tableColumn name="2Q 2025" id="12"/>
    <tableColumn name="3Q 2025" id="13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O2:Y13" displayName="Tabla_2" name="Tabla_2" id="2">
  <tableColumns count="11">
    <tableColumn name="2014" id="1"/>
    <tableColumn name="2015" id="2"/>
    <tableColumn name="2016" id="3"/>
    <tableColumn name="2017" id="4"/>
    <tableColumn name="2018" id="5"/>
    <tableColumn name="2019" id="6"/>
    <tableColumn name="2020" id="7"/>
    <tableColumn name="2021" id="8"/>
    <tableColumn name="2022" id="9"/>
    <tableColumn name="2023" id="10"/>
    <tableColumn name="2024" id="11"/>
  </tableColumns>
  <tableStyleInfo name="MAIN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6.25"/>
    <col customWidth="1" min="11" max="11" width="15.0"/>
    <col customWidth="1" min="13" max="13" width="15.13"/>
    <col customWidth="1" min="25" max="25" width="13.8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3"/>
      <c r="K1" s="4" t="s">
        <v>0</v>
      </c>
      <c r="L1" s="5">
        <v>45781.0</v>
      </c>
      <c r="M1" s="4" t="s">
        <v>1</v>
      </c>
      <c r="N1" s="4"/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</row>
    <row r="2">
      <c r="A2" s="6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8" t="s">
        <v>22</v>
      </c>
      <c r="K2" s="7" t="s">
        <v>23</v>
      </c>
      <c r="L2" s="7" t="s">
        <v>24</v>
      </c>
      <c r="M2" s="9" t="s">
        <v>25</v>
      </c>
      <c r="N2" s="1"/>
      <c r="O2" s="6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9" t="s">
        <v>36</v>
      </c>
    </row>
    <row r="3">
      <c r="A3" s="10" t="s">
        <v>37</v>
      </c>
      <c r="B3" s="11"/>
      <c r="C3" s="11"/>
      <c r="D3" s="11"/>
      <c r="E3" s="11"/>
      <c r="F3" s="11"/>
      <c r="G3" s="11"/>
      <c r="H3" s="11"/>
      <c r="I3" s="11"/>
      <c r="J3" s="11"/>
      <c r="K3" s="12">
        <v>1.38E9</v>
      </c>
      <c r="L3" s="13">
        <v>1.36E9</v>
      </c>
      <c r="M3" s="14">
        <v>1.37E9</v>
      </c>
      <c r="N3" s="1"/>
      <c r="O3" s="15">
        <v>5.13E8</v>
      </c>
      <c r="P3" s="12">
        <v>8.31E8</v>
      </c>
      <c r="Q3" s="12">
        <v>7.7E8</v>
      </c>
      <c r="R3" s="12">
        <v>5.89E8</v>
      </c>
      <c r="S3" s="12">
        <v>6.48E8</v>
      </c>
      <c r="T3" s="12">
        <v>1.03E9</v>
      </c>
      <c r="U3" s="12">
        <v>7.328E8</v>
      </c>
      <c r="V3" s="12">
        <v>1.14E9</v>
      </c>
      <c r="W3" s="12">
        <v>1.04E9</v>
      </c>
      <c r="X3" s="12">
        <v>1.96E9</v>
      </c>
      <c r="Y3" s="16">
        <v>1.729553783E9</v>
      </c>
    </row>
    <row r="4">
      <c r="A4" s="17" t="s">
        <v>38</v>
      </c>
      <c r="B4" s="18"/>
      <c r="C4" s="18"/>
      <c r="D4" s="18"/>
      <c r="E4" s="18"/>
      <c r="F4" s="18"/>
      <c r="G4" s="18"/>
      <c r="H4" s="18"/>
      <c r="I4" s="18"/>
      <c r="J4" s="18"/>
      <c r="K4" s="19">
        <v>6.3561709E7</v>
      </c>
      <c r="L4" s="20">
        <v>6.0150512E7</v>
      </c>
      <c r="M4" s="21">
        <v>5.9004625E7</v>
      </c>
      <c r="N4" s="1"/>
      <c r="O4" s="22">
        <v>6.2E7</v>
      </c>
      <c r="P4" s="19">
        <v>6.6E7</v>
      </c>
      <c r="Q4" s="19">
        <v>6.8E7</v>
      </c>
      <c r="R4" s="19">
        <v>6.9E7</v>
      </c>
      <c r="S4" s="19">
        <v>6.9E7</v>
      </c>
      <c r="T4" s="19">
        <v>6.6E7</v>
      </c>
      <c r="U4" s="19">
        <v>6.5E7</v>
      </c>
      <c r="V4" s="19">
        <v>6.2E7</v>
      </c>
      <c r="W4" s="19">
        <v>6.1E7</v>
      </c>
      <c r="X4" s="19">
        <v>6.1E7</v>
      </c>
      <c r="Y4" s="23">
        <v>6.3335388E7</v>
      </c>
    </row>
    <row r="5">
      <c r="A5" s="10" t="s">
        <v>39</v>
      </c>
      <c r="B5" s="11"/>
      <c r="C5" s="11"/>
      <c r="D5" s="11"/>
      <c r="E5" s="11"/>
      <c r="F5" s="11"/>
      <c r="G5" s="11"/>
      <c r="H5" s="11"/>
      <c r="I5" s="11"/>
      <c r="J5" s="11"/>
      <c r="K5" s="11">
        <f>2631000+21000</f>
        <v>2652000</v>
      </c>
      <c r="L5" s="13">
        <v>19000.0</v>
      </c>
      <c r="M5" s="14">
        <v>16000.0</v>
      </c>
      <c r="N5" s="1"/>
      <c r="O5" s="15">
        <v>1.31805E8</v>
      </c>
      <c r="P5" s="12">
        <v>6.712E7</v>
      </c>
      <c r="Q5" s="12">
        <v>6.2139E7</v>
      </c>
      <c r="R5" s="12">
        <v>5.7337E7</v>
      </c>
      <c r="S5" s="12">
        <v>0.0</v>
      </c>
      <c r="T5" s="12">
        <v>4.1887E7</v>
      </c>
      <c r="U5" s="12">
        <v>5.498E7</v>
      </c>
      <c r="V5" s="12">
        <v>8.9446E7</v>
      </c>
      <c r="W5" s="12">
        <v>3.231E7</v>
      </c>
      <c r="X5" s="12">
        <v>1.7998E7</v>
      </c>
      <c r="Y5" s="16">
        <v>25000.0</v>
      </c>
    </row>
    <row r="6">
      <c r="A6" s="17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9">
        <v>6.422E8</v>
      </c>
      <c r="L6" s="20">
        <v>5.30708E8</v>
      </c>
      <c r="M6" s="21">
        <v>4.79521E8</v>
      </c>
      <c r="N6" s="1"/>
      <c r="O6" s="22">
        <v>1.92929E8</v>
      </c>
      <c r="P6" s="19">
        <v>2.05867E8</v>
      </c>
      <c r="Q6" s="19">
        <v>3.14074E8</v>
      </c>
      <c r="R6" s="19">
        <v>3.08021E8</v>
      </c>
      <c r="S6" s="19">
        <v>3.29277E8</v>
      </c>
      <c r="T6" s="19">
        <v>2.0653E8</v>
      </c>
      <c r="U6" s="19">
        <v>2.78665E8</v>
      </c>
      <c r="V6" s="19">
        <v>2.7667E8</v>
      </c>
      <c r="W6" s="19">
        <v>3.1968E8</v>
      </c>
      <c r="X6" s="19">
        <v>4.99292E8</v>
      </c>
      <c r="Y6" s="23">
        <v>5.98485E8</v>
      </c>
    </row>
    <row r="7">
      <c r="A7" s="10" t="s">
        <v>41</v>
      </c>
      <c r="B7" s="11"/>
      <c r="C7" s="11"/>
      <c r="D7" s="11"/>
      <c r="E7" s="11"/>
      <c r="F7" s="11"/>
      <c r="G7" s="11"/>
      <c r="H7" s="11"/>
      <c r="I7" s="11"/>
      <c r="J7" s="11"/>
      <c r="K7" s="13">
        <v>1.88438E8</v>
      </c>
      <c r="L7" s="13">
        <v>1.95977E8</v>
      </c>
      <c r="M7" s="14">
        <v>1.90875E8</v>
      </c>
      <c r="N7" s="1"/>
      <c r="O7" s="15">
        <v>9.4515E7</v>
      </c>
      <c r="P7" s="12">
        <v>1.10056E8</v>
      </c>
      <c r="Q7" s="12">
        <v>9.2636E7</v>
      </c>
      <c r="R7" s="12">
        <v>1.0532E8</v>
      </c>
      <c r="S7" s="12">
        <v>1.20515E8</v>
      </c>
      <c r="T7" s="12">
        <v>1.34454E8</v>
      </c>
      <c r="U7" s="12">
        <v>1.3447E8</v>
      </c>
      <c r="V7" s="12">
        <v>1.74447E8</v>
      </c>
      <c r="W7" s="12">
        <v>1.98147E8</v>
      </c>
      <c r="X7" s="12">
        <v>1.94927E8</v>
      </c>
      <c r="Y7" s="16">
        <v>2.0083E8</v>
      </c>
    </row>
    <row r="8">
      <c r="A8" s="24" t="s">
        <v>42</v>
      </c>
      <c r="B8" s="18"/>
      <c r="C8" s="18"/>
      <c r="D8" s="18"/>
      <c r="E8" s="18"/>
      <c r="F8" s="18"/>
      <c r="G8" s="18"/>
      <c r="H8" s="18"/>
      <c r="I8" s="18"/>
      <c r="J8" s="18"/>
      <c r="K8" s="20">
        <v>5.7583E7</v>
      </c>
      <c r="L8" s="20">
        <v>6.1201E7</v>
      </c>
      <c r="M8" s="21">
        <v>6.349E7</v>
      </c>
      <c r="N8" s="1"/>
      <c r="O8" s="22">
        <v>2.2478E7</v>
      </c>
      <c r="P8" s="19">
        <v>2.4157E7</v>
      </c>
      <c r="Q8" s="19">
        <v>2.2081E7</v>
      </c>
      <c r="R8" s="19">
        <v>2.3703E7</v>
      </c>
      <c r="S8" s="19">
        <v>2.918E7</v>
      </c>
      <c r="T8" s="19">
        <v>4.8155E7</v>
      </c>
      <c r="U8" s="19">
        <v>5.7269E7</v>
      </c>
      <c r="V8" s="19">
        <v>5.5249E7</v>
      </c>
      <c r="W8" s="19">
        <v>5.0753E7</v>
      </c>
      <c r="X8" s="19">
        <v>4.9963E7</v>
      </c>
      <c r="Y8" s="23">
        <v>5.6527E7</v>
      </c>
    </row>
    <row r="9">
      <c r="A9" s="10" t="s">
        <v>43</v>
      </c>
      <c r="B9" s="11"/>
      <c r="C9" s="11"/>
      <c r="D9" s="11"/>
      <c r="E9" s="11"/>
      <c r="F9" s="11"/>
      <c r="G9" s="11"/>
      <c r="H9" s="11"/>
      <c r="I9" s="11"/>
      <c r="J9" s="11"/>
      <c r="K9" s="12">
        <v>9.20834E8</v>
      </c>
      <c r="L9" s="12">
        <v>8.55806E8</v>
      </c>
      <c r="M9" s="16">
        <v>8.72236E8</v>
      </c>
      <c r="N9" s="1"/>
      <c r="O9" s="15">
        <v>3.36492E8</v>
      </c>
      <c r="P9" s="12">
        <v>3.6076E8</v>
      </c>
      <c r="Q9" s="12">
        <v>4.41586E8</v>
      </c>
      <c r="R9" s="12">
        <v>4.49124E8</v>
      </c>
      <c r="S9" s="12">
        <v>5.02731E8</v>
      </c>
      <c r="T9" s="12">
        <v>4.27527E8</v>
      </c>
      <c r="U9" s="12">
        <v>5.00139E8</v>
      </c>
      <c r="V9" s="12">
        <v>5.50616E8</v>
      </c>
      <c r="W9" s="12">
        <v>6.44652E8</v>
      </c>
      <c r="X9" s="12">
        <v>7.8545E8</v>
      </c>
      <c r="Y9" s="16">
        <v>9.31062E8</v>
      </c>
    </row>
    <row r="10">
      <c r="A10" s="17" t="s">
        <v>44</v>
      </c>
      <c r="B10" s="18"/>
      <c r="C10" s="18"/>
      <c r="D10" s="18"/>
      <c r="E10" s="18"/>
      <c r="F10" s="18"/>
      <c r="G10" s="18"/>
      <c r="H10" s="18"/>
      <c r="I10" s="18"/>
      <c r="J10" s="18"/>
      <c r="K10" s="19">
        <v>1.704671E9</v>
      </c>
      <c r="L10" s="19">
        <v>1.703032E9</v>
      </c>
      <c r="M10" s="23">
        <v>1.752765E9</v>
      </c>
      <c r="N10" s="1"/>
      <c r="O10" s="22">
        <v>1.029183E9</v>
      </c>
      <c r="P10" s="19">
        <v>1.043376E9</v>
      </c>
      <c r="Q10" s="19">
        <v>9.88267E8</v>
      </c>
      <c r="R10" s="19">
        <v>1.020794E9</v>
      </c>
      <c r="S10" s="19">
        <v>1.110009E9</v>
      </c>
      <c r="T10" s="19">
        <v>1.118665E9</v>
      </c>
      <c r="U10" s="19">
        <v>1.188182E9</v>
      </c>
      <c r="V10" s="19">
        <v>1.294202E9</v>
      </c>
      <c r="W10" s="19">
        <v>1.31583E9</v>
      </c>
      <c r="X10" s="19">
        <v>1.526221E9</v>
      </c>
      <c r="Y10" s="23">
        <v>1.712059E9</v>
      </c>
    </row>
    <row r="11">
      <c r="A11" s="10" t="s">
        <v>45</v>
      </c>
      <c r="B11" s="11"/>
      <c r="C11" s="11"/>
      <c r="D11" s="11"/>
      <c r="E11" s="11"/>
      <c r="F11" s="11"/>
      <c r="G11" s="11"/>
      <c r="H11" s="11"/>
      <c r="I11" s="11"/>
      <c r="J11" s="11"/>
      <c r="K11" s="12">
        <v>1.62643E8</v>
      </c>
      <c r="L11" s="12">
        <v>1.66783E8</v>
      </c>
      <c r="M11" s="16">
        <v>1.74925E8</v>
      </c>
      <c r="N11" s="1"/>
      <c r="O11" s="15">
        <v>1.39117E8</v>
      </c>
      <c r="P11" s="12">
        <v>1.92692E8</v>
      </c>
      <c r="Q11" s="12">
        <v>8.1317E7</v>
      </c>
      <c r="R11" s="12">
        <v>8.1776E7</v>
      </c>
      <c r="S11" s="12">
        <v>1.91076E8</v>
      </c>
      <c r="T11" s="12">
        <v>1.51954E8</v>
      </c>
      <c r="U11" s="12">
        <v>1.42939E8</v>
      </c>
      <c r="V11" s="12">
        <v>1.76148E8</v>
      </c>
      <c r="W11" s="12">
        <v>1.93797E8</v>
      </c>
      <c r="X11" s="12">
        <v>1.85223E8</v>
      </c>
      <c r="Y11" s="16">
        <v>1.83811E8</v>
      </c>
    </row>
    <row r="12">
      <c r="A12" s="17" t="s">
        <v>46</v>
      </c>
      <c r="B12" s="18"/>
      <c r="C12" s="18"/>
      <c r="D12" s="18"/>
      <c r="E12" s="18"/>
      <c r="F12" s="18"/>
      <c r="G12" s="18"/>
      <c r="H12" s="18"/>
      <c r="I12" s="18"/>
      <c r="J12" s="18"/>
      <c r="K12" s="19">
        <v>2.10462E8</v>
      </c>
      <c r="L12" s="19">
        <v>2.06263E8</v>
      </c>
      <c r="M12" s="23">
        <v>2.14765E8</v>
      </c>
      <c r="N12" s="1"/>
      <c r="O12" s="22">
        <v>2.89689E8</v>
      </c>
      <c r="P12" s="19">
        <v>2.8131E8</v>
      </c>
      <c r="Q12" s="19">
        <v>1.62793E8</v>
      </c>
      <c r="R12" s="19">
        <v>1.55499E8</v>
      </c>
      <c r="S12" s="19">
        <v>2.0544E8</v>
      </c>
      <c r="T12" s="19">
        <v>2.07573E8</v>
      </c>
      <c r="U12" s="19">
        <v>2.25916E8</v>
      </c>
      <c r="V12" s="19">
        <v>2.9364E8</v>
      </c>
      <c r="W12" s="19">
        <v>2.53741E8</v>
      </c>
      <c r="X12" s="19">
        <v>2.50612E8</v>
      </c>
      <c r="Y12" s="23">
        <v>2.313E8</v>
      </c>
    </row>
    <row r="13">
      <c r="A13" s="25" t="s">
        <v>47</v>
      </c>
      <c r="B13" s="26"/>
      <c r="C13" s="26"/>
      <c r="D13" s="26"/>
      <c r="E13" s="26"/>
      <c r="F13" s="26"/>
      <c r="G13" s="26"/>
      <c r="H13" s="26"/>
      <c r="I13" s="26"/>
      <c r="J13" s="26"/>
      <c r="K13" s="27">
        <v>1.494209E9</v>
      </c>
      <c r="L13" s="27">
        <v>1.496769E9</v>
      </c>
      <c r="M13" s="28">
        <v>1.538E9</v>
      </c>
      <c r="N13" s="1"/>
      <c r="O13" s="29">
        <v>7.39494E8</v>
      </c>
      <c r="P13" s="27">
        <v>7.62066E8</v>
      </c>
      <c r="Q13" s="27">
        <v>8.25474E8</v>
      </c>
      <c r="R13" s="27">
        <v>8.65295E8</v>
      </c>
      <c r="S13" s="27">
        <v>9.04569E8</v>
      </c>
      <c r="T13" s="27">
        <v>9.11092E8</v>
      </c>
      <c r="U13" s="27">
        <v>1.188182E9</v>
      </c>
      <c r="V13" s="27">
        <v>1.000562E9</v>
      </c>
      <c r="W13" s="27">
        <v>1.062089E9</v>
      </c>
      <c r="X13" s="27">
        <v>1.275609E9</v>
      </c>
      <c r="Y13" s="28">
        <v>1.480759E9</v>
      </c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0"/>
      <c r="M14" s="3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31" t="s">
        <v>48</v>
      </c>
      <c r="B15" s="32">
        <f t="shared" ref="B15:M15" si="1">B3++B5-B6</f>
        <v>0</v>
      </c>
      <c r="C15" s="33">
        <f t="shared" si="1"/>
        <v>0</v>
      </c>
      <c r="D15" s="33">
        <f t="shared" si="1"/>
        <v>0</v>
      </c>
      <c r="E15" s="33">
        <f t="shared" si="1"/>
        <v>0</v>
      </c>
      <c r="F15" s="33">
        <f t="shared" si="1"/>
        <v>0</v>
      </c>
      <c r="G15" s="33">
        <f t="shared" si="1"/>
        <v>0</v>
      </c>
      <c r="H15" s="33">
        <f t="shared" si="1"/>
        <v>0</v>
      </c>
      <c r="I15" s="33">
        <f t="shared" si="1"/>
        <v>0</v>
      </c>
      <c r="J15" s="33">
        <f t="shared" si="1"/>
        <v>0</v>
      </c>
      <c r="K15" s="33">
        <f t="shared" si="1"/>
        <v>740452000</v>
      </c>
      <c r="L15" s="34">
        <f t="shared" si="1"/>
        <v>829311000</v>
      </c>
      <c r="M15" s="34">
        <f t="shared" si="1"/>
        <v>890495000</v>
      </c>
      <c r="N15" s="30"/>
      <c r="O15" s="32">
        <f t="shared" ref="O15:Y15" si="2">O3++O5-O6</f>
        <v>451876000</v>
      </c>
      <c r="P15" s="33">
        <f t="shared" si="2"/>
        <v>692253000</v>
      </c>
      <c r="Q15" s="33">
        <f t="shared" si="2"/>
        <v>518065000</v>
      </c>
      <c r="R15" s="33">
        <f t="shared" si="2"/>
        <v>338316000</v>
      </c>
      <c r="S15" s="33">
        <f t="shared" si="2"/>
        <v>318723000</v>
      </c>
      <c r="T15" s="33">
        <f t="shared" si="2"/>
        <v>865357000</v>
      </c>
      <c r="U15" s="33">
        <f t="shared" si="2"/>
        <v>509115000</v>
      </c>
      <c r="V15" s="33">
        <f t="shared" si="2"/>
        <v>952776000</v>
      </c>
      <c r="W15" s="33">
        <f t="shared" si="2"/>
        <v>752630000</v>
      </c>
      <c r="X15" s="33">
        <f t="shared" si="2"/>
        <v>1478706000</v>
      </c>
      <c r="Y15" s="34">
        <f t="shared" si="2"/>
        <v>1131093783</v>
      </c>
    </row>
    <row r="16">
      <c r="A16" s="35" t="s">
        <v>49</v>
      </c>
      <c r="B16" s="36">
        <f t="shared" ref="B16:J16" si="3">B9-B12</f>
        <v>0</v>
      </c>
      <c r="C16" s="37">
        <f t="shared" si="3"/>
        <v>0</v>
      </c>
      <c r="D16" s="37">
        <f t="shared" si="3"/>
        <v>0</v>
      </c>
      <c r="E16" s="37">
        <f t="shared" si="3"/>
        <v>0</v>
      </c>
      <c r="F16" s="37">
        <f t="shared" si="3"/>
        <v>0</v>
      </c>
      <c r="G16" s="37">
        <f t="shared" si="3"/>
        <v>0</v>
      </c>
      <c r="H16" s="37">
        <f t="shared" si="3"/>
        <v>0</v>
      </c>
      <c r="I16" s="37">
        <f t="shared" si="3"/>
        <v>0</v>
      </c>
      <c r="J16" s="37">
        <f t="shared" si="3"/>
        <v>0</v>
      </c>
      <c r="K16" s="37" t="str">
        <f t="shared" ref="K16:M16" si="4">#REF!-K12</f>
        <v>#REF!</v>
      </c>
      <c r="L16" s="38" t="str">
        <f t="shared" si="4"/>
        <v>#REF!</v>
      </c>
      <c r="M16" s="38" t="str">
        <f t="shared" si="4"/>
        <v>#REF!</v>
      </c>
      <c r="N16" s="30"/>
      <c r="O16" s="36">
        <f t="shared" ref="O16:Y16" si="5">O9-O12</f>
        <v>46803000</v>
      </c>
      <c r="P16" s="37">
        <f t="shared" si="5"/>
        <v>79450000</v>
      </c>
      <c r="Q16" s="37">
        <f t="shared" si="5"/>
        <v>278793000</v>
      </c>
      <c r="R16" s="37">
        <f t="shared" si="5"/>
        <v>293625000</v>
      </c>
      <c r="S16" s="37">
        <f t="shared" si="5"/>
        <v>297291000</v>
      </c>
      <c r="T16" s="37">
        <f t="shared" si="5"/>
        <v>219954000</v>
      </c>
      <c r="U16" s="37">
        <f t="shared" si="5"/>
        <v>274223000</v>
      </c>
      <c r="V16" s="37">
        <f t="shared" si="5"/>
        <v>256976000</v>
      </c>
      <c r="W16" s="37">
        <f t="shared" si="5"/>
        <v>390911000</v>
      </c>
      <c r="X16" s="37">
        <f t="shared" si="5"/>
        <v>534838000</v>
      </c>
      <c r="Y16" s="38">
        <f t="shared" si="5"/>
        <v>699762000</v>
      </c>
    </row>
    <row r="17">
      <c r="A17" s="35" t="s">
        <v>50</v>
      </c>
      <c r="B17" s="39" t="str">
        <f t="shared" ref="B17:M17" si="6">B3/B4</f>
        <v>#DIV/0!</v>
      </c>
      <c r="C17" s="40" t="str">
        <f t="shared" si="6"/>
        <v>#DIV/0!</v>
      </c>
      <c r="D17" s="40" t="str">
        <f t="shared" si="6"/>
        <v>#DIV/0!</v>
      </c>
      <c r="E17" s="40" t="str">
        <f t="shared" si="6"/>
        <v>#DIV/0!</v>
      </c>
      <c r="F17" s="40" t="str">
        <f t="shared" si="6"/>
        <v>#DIV/0!</v>
      </c>
      <c r="G17" s="40" t="str">
        <f t="shared" si="6"/>
        <v>#DIV/0!</v>
      </c>
      <c r="H17" s="40" t="str">
        <f t="shared" si="6"/>
        <v>#DIV/0!</v>
      </c>
      <c r="I17" s="40" t="str">
        <f t="shared" si="6"/>
        <v>#DIV/0!</v>
      </c>
      <c r="J17" s="40" t="str">
        <f t="shared" si="6"/>
        <v>#DIV/0!</v>
      </c>
      <c r="K17" s="40">
        <f t="shared" si="6"/>
        <v>21.71118464</v>
      </c>
      <c r="L17" s="41">
        <f t="shared" si="6"/>
        <v>22.60994886</v>
      </c>
      <c r="M17" s="41">
        <f t="shared" si="6"/>
        <v>23.21851889</v>
      </c>
      <c r="N17" s="42"/>
      <c r="O17" s="39">
        <f t="shared" ref="O17:Y17" si="7">O3/O4</f>
        <v>8.274193548</v>
      </c>
      <c r="P17" s="40">
        <f t="shared" si="7"/>
        <v>12.59090909</v>
      </c>
      <c r="Q17" s="40">
        <f t="shared" si="7"/>
        <v>11.32352941</v>
      </c>
      <c r="R17" s="40">
        <f t="shared" si="7"/>
        <v>8.536231884</v>
      </c>
      <c r="S17" s="40">
        <f t="shared" si="7"/>
        <v>9.391304348</v>
      </c>
      <c r="T17" s="40">
        <f t="shared" si="7"/>
        <v>15.60606061</v>
      </c>
      <c r="U17" s="40">
        <f t="shared" si="7"/>
        <v>11.27384615</v>
      </c>
      <c r="V17" s="40">
        <f t="shared" si="7"/>
        <v>18.38709677</v>
      </c>
      <c r="W17" s="40">
        <f t="shared" si="7"/>
        <v>17.04918033</v>
      </c>
      <c r="X17" s="40">
        <f t="shared" si="7"/>
        <v>32.13114754</v>
      </c>
      <c r="Y17" s="41">
        <f t="shared" si="7"/>
        <v>27.30785802</v>
      </c>
    </row>
    <row r="18">
      <c r="A18" s="35" t="s">
        <v>51</v>
      </c>
      <c r="B18" s="39" t="str">
        <f t="shared" ref="B18:M18" si="8">B16/B4</f>
        <v>#DIV/0!</v>
      </c>
      <c r="C18" s="40" t="str">
        <f t="shared" si="8"/>
        <v>#DIV/0!</v>
      </c>
      <c r="D18" s="40" t="str">
        <f t="shared" si="8"/>
        <v>#DIV/0!</v>
      </c>
      <c r="E18" s="40" t="str">
        <f t="shared" si="8"/>
        <v>#DIV/0!</v>
      </c>
      <c r="F18" s="40" t="str">
        <f t="shared" si="8"/>
        <v>#DIV/0!</v>
      </c>
      <c r="G18" s="40" t="str">
        <f t="shared" si="8"/>
        <v>#DIV/0!</v>
      </c>
      <c r="H18" s="40" t="str">
        <f t="shared" si="8"/>
        <v>#DIV/0!</v>
      </c>
      <c r="I18" s="40" t="str">
        <f t="shared" si="8"/>
        <v>#DIV/0!</v>
      </c>
      <c r="J18" s="40" t="str">
        <f t="shared" si="8"/>
        <v>#DIV/0!</v>
      </c>
      <c r="K18" s="40" t="str">
        <f t="shared" si="8"/>
        <v>#REF!</v>
      </c>
      <c r="L18" s="41" t="str">
        <f t="shared" si="8"/>
        <v>#REF!</v>
      </c>
      <c r="M18" s="41" t="str">
        <f t="shared" si="8"/>
        <v>#REF!</v>
      </c>
      <c r="N18" s="42"/>
      <c r="O18" s="39">
        <f t="shared" ref="O18:Y18" si="9">O16/O4</f>
        <v>0.7548870968</v>
      </c>
      <c r="P18" s="40">
        <f t="shared" si="9"/>
        <v>1.203787879</v>
      </c>
      <c r="Q18" s="40">
        <f t="shared" si="9"/>
        <v>4.099897059</v>
      </c>
      <c r="R18" s="40">
        <f t="shared" si="9"/>
        <v>4.255434783</v>
      </c>
      <c r="S18" s="40">
        <f t="shared" si="9"/>
        <v>4.308565217</v>
      </c>
      <c r="T18" s="40">
        <f t="shared" si="9"/>
        <v>3.332636364</v>
      </c>
      <c r="U18" s="40">
        <f t="shared" si="9"/>
        <v>4.218815385</v>
      </c>
      <c r="V18" s="40">
        <f t="shared" si="9"/>
        <v>4.144774194</v>
      </c>
      <c r="W18" s="40">
        <f t="shared" si="9"/>
        <v>6.408377049</v>
      </c>
      <c r="X18" s="40">
        <f t="shared" si="9"/>
        <v>8.767836066</v>
      </c>
      <c r="Y18" s="41">
        <f t="shared" si="9"/>
        <v>11.04851525</v>
      </c>
    </row>
    <row r="19">
      <c r="A19" s="35" t="s">
        <v>52</v>
      </c>
      <c r="B19" s="43" t="str">
        <f t="shared" ref="B19:M19" si="10">B18/B17</f>
        <v>#DIV/0!</v>
      </c>
      <c r="C19" s="44" t="str">
        <f t="shared" si="10"/>
        <v>#DIV/0!</v>
      </c>
      <c r="D19" s="44" t="str">
        <f t="shared" si="10"/>
        <v>#DIV/0!</v>
      </c>
      <c r="E19" s="44" t="str">
        <f t="shared" si="10"/>
        <v>#DIV/0!</v>
      </c>
      <c r="F19" s="44" t="str">
        <f t="shared" si="10"/>
        <v>#DIV/0!</v>
      </c>
      <c r="G19" s="44" t="str">
        <f t="shared" si="10"/>
        <v>#DIV/0!</v>
      </c>
      <c r="H19" s="44" t="str">
        <f t="shared" si="10"/>
        <v>#DIV/0!</v>
      </c>
      <c r="I19" s="44" t="str">
        <f t="shared" si="10"/>
        <v>#DIV/0!</v>
      </c>
      <c r="J19" s="44" t="str">
        <f t="shared" si="10"/>
        <v>#DIV/0!</v>
      </c>
      <c r="K19" s="44" t="str">
        <f t="shared" si="10"/>
        <v>#REF!</v>
      </c>
      <c r="L19" s="45" t="str">
        <f t="shared" si="10"/>
        <v>#REF!</v>
      </c>
      <c r="M19" s="45" t="str">
        <f t="shared" si="10"/>
        <v>#REF!</v>
      </c>
      <c r="N19" s="46"/>
      <c r="O19" s="43">
        <f t="shared" ref="O19:Y19" si="11">O18/O17</f>
        <v>0.09123391813</v>
      </c>
      <c r="P19" s="44">
        <f t="shared" si="11"/>
        <v>0.09560770156</v>
      </c>
      <c r="Q19" s="44">
        <f t="shared" si="11"/>
        <v>0.3620688312</v>
      </c>
      <c r="R19" s="44">
        <f t="shared" si="11"/>
        <v>0.4985144312</v>
      </c>
      <c r="S19" s="44">
        <f t="shared" si="11"/>
        <v>0.4587824074</v>
      </c>
      <c r="T19" s="44">
        <f t="shared" si="11"/>
        <v>0.2135475728</v>
      </c>
      <c r="U19" s="44">
        <f t="shared" si="11"/>
        <v>0.3742126092</v>
      </c>
      <c r="V19" s="44">
        <f t="shared" si="11"/>
        <v>0.2254175439</v>
      </c>
      <c r="W19" s="44">
        <f t="shared" si="11"/>
        <v>0.3758759615</v>
      </c>
      <c r="X19" s="44">
        <f t="shared" si="11"/>
        <v>0.2728765306</v>
      </c>
      <c r="Y19" s="45">
        <f t="shared" si="11"/>
        <v>0.4045910609</v>
      </c>
    </row>
    <row r="20">
      <c r="A20" s="47" t="s">
        <v>53</v>
      </c>
      <c r="B20" s="48"/>
      <c r="C20" s="49" t="str">
        <f t="shared" ref="C20:M20" si="12">(C6-B6)/ABS(B6)</f>
        <v>#DIV/0!</v>
      </c>
      <c r="D20" s="49" t="str">
        <f t="shared" si="12"/>
        <v>#DIV/0!</v>
      </c>
      <c r="E20" s="49" t="str">
        <f t="shared" si="12"/>
        <v>#DIV/0!</v>
      </c>
      <c r="F20" s="49" t="str">
        <f t="shared" si="12"/>
        <v>#DIV/0!</v>
      </c>
      <c r="G20" s="49" t="str">
        <f t="shared" si="12"/>
        <v>#DIV/0!</v>
      </c>
      <c r="H20" s="49" t="str">
        <f t="shared" si="12"/>
        <v>#DIV/0!</v>
      </c>
      <c r="I20" s="49" t="str">
        <f t="shared" si="12"/>
        <v>#DIV/0!</v>
      </c>
      <c r="J20" s="49" t="str">
        <f t="shared" si="12"/>
        <v>#DIV/0!</v>
      </c>
      <c r="K20" s="49" t="str">
        <f t="shared" si="12"/>
        <v>#DIV/0!</v>
      </c>
      <c r="L20" s="50">
        <f t="shared" si="12"/>
        <v>-0.1736094675</v>
      </c>
      <c r="M20" s="50">
        <f t="shared" si="12"/>
        <v>-0.0964504021</v>
      </c>
      <c r="N20" s="46"/>
      <c r="O20" s="48"/>
      <c r="P20" s="49">
        <f t="shared" ref="P20:Y20" si="13">(P6-O6)/ABS(O6)</f>
        <v>0.06706093952</v>
      </c>
      <c r="Q20" s="49">
        <f t="shared" si="13"/>
        <v>0.5256160531</v>
      </c>
      <c r="R20" s="49">
        <f t="shared" si="13"/>
        <v>-0.01927252813</v>
      </c>
      <c r="S20" s="49">
        <f t="shared" si="13"/>
        <v>0.0690082819</v>
      </c>
      <c r="T20" s="49">
        <f t="shared" si="13"/>
        <v>-0.3727773273</v>
      </c>
      <c r="U20" s="49">
        <f t="shared" si="13"/>
        <v>0.3492712923</v>
      </c>
      <c r="V20" s="49">
        <f t="shared" si="13"/>
        <v>-0.007159133727</v>
      </c>
      <c r="W20" s="49">
        <f t="shared" si="13"/>
        <v>0.1554559584</v>
      </c>
      <c r="X20" s="49">
        <f t="shared" si="13"/>
        <v>0.5618493493</v>
      </c>
      <c r="Y20" s="50">
        <f t="shared" si="13"/>
        <v>0.1986673129</v>
      </c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51" t="s">
        <v>54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31" t="s">
        <v>55</v>
      </c>
      <c r="B23" s="52" t="str">
        <f>(Model!B21)/B10</f>
        <v>#DIV/0!</v>
      </c>
      <c r="C23" s="53" t="str">
        <f>(Model!C21)/C10</f>
        <v>#DIV/0!</v>
      </c>
      <c r="D23" s="53" t="str">
        <f>(Model!D21)/D10</f>
        <v>#DIV/0!</v>
      </c>
      <c r="E23" s="53" t="str">
        <f>(Model!E21)/E10</f>
        <v>#DIV/0!</v>
      </c>
      <c r="F23" s="53" t="str">
        <f>(Model!F21)/F10</f>
        <v>#DIV/0!</v>
      </c>
      <c r="G23" s="53" t="str">
        <f>(Model!G21)/G10</f>
        <v>#DIV/0!</v>
      </c>
      <c r="H23" s="53" t="str">
        <f>(Model!H21)/H10</f>
        <v>#DIV/0!</v>
      </c>
      <c r="I23" s="53" t="str">
        <f>(Model!I21)/I10</f>
        <v>#DIV/0!</v>
      </c>
      <c r="J23" s="53" t="str">
        <f>(Model!J21)/J10</f>
        <v>#DIV/0!</v>
      </c>
      <c r="K23" s="53">
        <f>(Model!K21)/K10</f>
        <v>0.04529026422</v>
      </c>
      <c r="L23" s="54">
        <f>(Model!L21)/L10</f>
        <v>0.01757747359</v>
      </c>
      <c r="M23" s="54">
        <f>(Model!M21)/M10</f>
        <v>0.02209822766</v>
      </c>
      <c r="N23" s="1"/>
      <c r="O23" s="55">
        <f>(Model!O21)/O10</f>
        <v>0.04015806713</v>
      </c>
      <c r="P23" s="53">
        <f>(Model!P21)/P10</f>
        <v>0.06712824523</v>
      </c>
      <c r="Q23" s="53">
        <f>(Model!Q21)/Q10</f>
        <v>0.06119196533</v>
      </c>
      <c r="R23" s="53">
        <f>(Model!R21)/R10</f>
        <v>0.02602385986</v>
      </c>
      <c r="S23" s="53">
        <f>(Model!S21)/S10</f>
        <v>0.0617751748</v>
      </c>
      <c r="T23" s="53">
        <f>(Model!T21)/T10</f>
        <v>0.04532277313</v>
      </c>
      <c r="U23" s="53">
        <f>(Model!U21)/U10</f>
        <v>0.05184475106</v>
      </c>
      <c r="V23" s="53">
        <f>(Model!V21)/V10</f>
        <v>0.0788176807</v>
      </c>
      <c r="W23" s="53">
        <f>(Model!W21)/W10</f>
        <v>0.1816853241</v>
      </c>
      <c r="X23" s="53">
        <f>(Model!X21)/X10</f>
        <v>0.1768721568</v>
      </c>
      <c r="Y23" s="54">
        <f>(Model!Y21)/Y10</f>
        <v>0.1445131272</v>
      </c>
    </row>
    <row r="24">
      <c r="A24" s="35" t="s">
        <v>56</v>
      </c>
      <c r="B24" s="46" t="str">
        <f>(Model!B21)/B13</f>
        <v>#DIV/0!</v>
      </c>
      <c r="C24" s="44" t="str">
        <f>(Model!C21)/C13</f>
        <v>#DIV/0!</v>
      </c>
      <c r="D24" s="44" t="str">
        <f>(Model!D21)/D13</f>
        <v>#DIV/0!</v>
      </c>
      <c r="E24" s="44" t="str">
        <f>(Model!E21)/E13</f>
        <v>#DIV/0!</v>
      </c>
      <c r="F24" s="44" t="str">
        <f>(Model!F21)/F13</f>
        <v>#DIV/0!</v>
      </c>
      <c r="G24" s="44" t="str">
        <f>(Model!G21)/G13</f>
        <v>#DIV/0!</v>
      </c>
      <c r="H24" s="44" t="str">
        <f>(Model!H21)/H13</f>
        <v>#DIV/0!</v>
      </c>
      <c r="I24" s="44" t="str">
        <f>(Model!I21)/I13</f>
        <v>#DIV/0!</v>
      </c>
      <c r="J24" s="44" t="str">
        <f>(Model!J21)/J13</f>
        <v>#DIV/0!</v>
      </c>
      <c r="K24" s="44">
        <f>(Model!K21)/K13</f>
        <v>0.05166947863</v>
      </c>
      <c r="L24" s="45">
        <f>(Model!L21)/L13</f>
        <v>0.01999974612</v>
      </c>
      <c r="M24" s="45">
        <f>(Model!M21)/M13</f>
        <v>0.0251840052</v>
      </c>
      <c r="N24" s="1"/>
      <c r="O24" s="43">
        <f>(Model!O21)/O13</f>
        <v>0.05588956773</v>
      </c>
      <c r="P24" s="44">
        <f>(Model!P21)/P13</f>
        <v>0.09190804996</v>
      </c>
      <c r="Q24" s="44">
        <f>(Model!Q21)/Q13</f>
        <v>0.07325972714</v>
      </c>
      <c r="R24" s="44">
        <f>(Model!R21)/R13</f>
        <v>0.03070051254</v>
      </c>
      <c r="S24" s="44">
        <f>(Model!S21)/S13</f>
        <v>0.07580516246</v>
      </c>
      <c r="T24" s="44">
        <f>(Model!T21)/T13</f>
        <v>0.05564860629</v>
      </c>
      <c r="U24" s="44">
        <f>(Model!U21)/U13</f>
        <v>0.05184475106</v>
      </c>
      <c r="V24" s="44">
        <f>(Model!V21)/V13</f>
        <v>0.1019487048</v>
      </c>
      <c r="W24" s="44">
        <f>(Model!W21)/W13</f>
        <v>0.2250913059</v>
      </c>
      <c r="X24" s="44">
        <f>(Model!X21)/X13</f>
        <v>0.2116212727</v>
      </c>
      <c r="Y24" s="45">
        <f>(Model!Y21)/Y13</f>
        <v>0.167086609</v>
      </c>
    </row>
    <row r="25">
      <c r="A25" s="47" t="s">
        <v>57</v>
      </c>
      <c r="B25" s="56" t="str">
        <f>((Model!B9-Model!B22))/(B5+B13)</f>
        <v>#DIV/0!</v>
      </c>
      <c r="C25" s="49" t="str">
        <f>((Model!C9-Model!C22))/(C5+C13)</f>
        <v>#DIV/0!</v>
      </c>
      <c r="D25" s="49" t="str">
        <f>((Model!D9-Model!D22))/(D5+D13)</f>
        <v>#DIV/0!</v>
      </c>
      <c r="E25" s="49" t="str">
        <f>((Model!E9-Model!E22))/(E5+E13)</f>
        <v>#DIV/0!</v>
      </c>
      <c r="F25" s="49" t="str">
        <f>((Model!F9-Model!F22))/(F5+F13)</f>
        <v>#DIV/0!</v>
      </c>
      <c r="G25" s="49" t="str">
        <f>((Model!G9-Model!G22))/(G5+G13)</f>
        <v>#DIV/0!</v>
      </c>
      <c r="H25" s="49" t="str">
        <f>((Model!H9-Model!H22))/(H5+H13)</f>
        <v>#DIV/0!</v>
      </c>
      <c r="I25" s="49" t="str">
        <f>((Model!I9-Model!I22))/(I5+I13)</f>
        <v>#DIV/0!</v>
      </c>
      <c r="J25" s="49" t="str">
        <f>((Model!J9-Model!J22))/(J5+J13)</f>
        <v>#DIV/0!</v>
      </c>
      <c r="K25" s="49">
        <f>((Model!K9-Model!K22))/(K5+K13)</f>
        <v>0.03783517641</v>
      </c>
      <c r="L25" s="50">
        <f>((Model!L9-Model!L22))/(L5+L13)</f>
        <v>0.04823127925</v>
      </c>
      <c r="M25" s="50">
        <f>((Model!M9-Model!M22))/(M5+M13)</f>
        <v>0.03983118511</v>
      </c>
      <c r="N25" s="1"/>
      <c r="O25" s="57">
        <f>((Model!O9-Model!O22))/(O5+O13)</f>
        <v>0.1045002921</v>
      </c>
      <c r="P25" s="49">
        <f>((Model!P9-Model!P22))/(P5+P13)</f>
        <v>0.1567259939</v>
      </c>
      <c r="Q25" s="49">
        <f>((Model!Q9-Model!Q22))/(Q5+Q13)</f>
        <v>0.1283307027</v>
      </c>
      <c r="R25" s="49">
        <f>((Model!R9-Model!R22))/(R5+R13)</f>
        <v>0.09325386503</v>
      </c>
      <c r="S25" s="49">
        <f>((Model!S9-Model!S22))/(S5+S13)</f>
        <v>0.1372675827</v>
      </c>
      <c r="T25" s="49">
        <f>((Model!T9-Model!T22))/(T5+T13)</f>
        <v>0.1160896515</v>
      </c>
      <c r="U25" s="49">
        <f>((Model!U9-Model!U22))/(U5+U13)</f>
        <v>0.09121578684</v>
      </c>
      <c r="V25" s="49">
        <f>((Model!V9-Model!V22))/(V5+V13)</f>
        <v>0.1319751782</v>
      </c>
      <c r="W25" s="49">
        <f>((Model!W9-Model!W22))/(W5+W13)</f>
        <v>0.2142015846</v>
      </c>
      <c r="X25" s="49">
        <f>((Model!X9-Model!X22))/(X5+X13)</f>
        <v>0.2055106381</v>
      </c>
      <c r="Y25" s="50">
        <f>((Model!Y9-Model!Y22))/(Y5+Y13)</f>
        <v>0.1704158068</v>
      </c>
    </row>
    <row r="26">
      <c r="A26" s="1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31" t="s">
        <v>58</v>
      </c>
      <c r="B27" s="59" t="str">
        <f t="shared" ref="B27:I27" si="14">B9/B11</f>
        <v>#DIV/0!</v>
      </c>
      <c r="C27" s="59" t="str">
        <f t="shared" si="14"/>
        <v>#DIV/0!</v>
      </c>
      <c r="D27" s="59" t="str">
        <f t="shared" si="14"/>
        <v>#DIV/0!</v>
      </c>
      <c r="E27" s="59" t="str">
        <f t="shared" si="14"/>
        <v>#DIV/0!</v>
      </c>
      <c r="F27" s="59" t="str">
        <f t="shared" si="14"/>
        <v>#DIV/0!</v>
      </c>
      <c r="G27" s="59" t="str">
        <f t="shared" si="14"/>
        <v>#DIV/0!</v>
      </c>
      <c r="H27" s="59" t="str">
        <f t="shared" si="14"/>
        <v>#DIV/0!</v>
      </c>
      <c r="I27" s="59" t="str">
        <f t="shared" si="14"/>
        <v>#DIV/0!</v>
      </c>
      <c r="J27" s="59" t="str">
        <f>J9/J12</f>
        <v>#DIV/0!</v>
      </c>
      <c r="K27" s="59" t="str">
        <f>#REF!/K12</f>
        <v>#REF!</v>
      </c>
      <c r="L27" s="60" t="str">
        <f t="shared" ref="L27:M27" si="15">#REF!/L11</f>
        <v>#REF!</v>
      </c>
      <c r="M27" s="60" t="str">
        <f t="shared" si="15"/>
        <v>#REF!</v>
      </c>
      <c r="N27" s="1"/>
      <c r="O27" s="61">
        <f t="shared" ref="O27:Y27" si="16">O9/O11</f>
        <v>2.418769812</v>
      </c>
      <c r="P27" s="59">
        <f t="shared" si="16"/>
        <v>1.872210574</v>
      </c>
      <c r="Q27" s="59">
        <f t="shared" si="16"/>
        <v>5.430426602</v>
      </c>
      <c r="R27" s="59">
        <f t="shared" si="16"/>
        <v>5.492124829</v>
      </c>
      <c r="S27" s="59">
        <f t="shared" si="16"/>
        <v>2.631052565</v>
      </c>
      <c r="T27" s="59">
        <f t="shared" si="16"/>
        <v>2.813529094</v>
      </c>
      <c r="U27" s="59">
        <f t="shared" si="16"/>
        <v>3.498968091</v>
      </c>
      <c r="V27" s="59">
        <f t="shared" si="16"/>
        <v>3.125871426</v>
      </c>
      <c r="W27" s="59">
        <f t="shared" si="16"/>
        <v>3.326429202</v>
      </c>
      <c r="X27" s="59">
        <f t="shared" si="16"/>
        <v>4.240564077</v>
      </c>
      <c r="Y27" s="60">
        <f t="shared" si="16"/>
        <v>5.065322532</v>
      </c>
    </row>
    <row r="28">
      <c r="A28" s="35" t="s">
        <v>59</v>
      </c>
      <c r="B28" s="62" t="str">
        <f t="shared" ref="B28:J28" si="17">(B6+B7)/B11</f>
        <v>#DIV/0!</v>
      </c>
      <c r="C28" s="62" t="str">
        <f t="shared" si="17"/>
        <v>#DIV/0!</v>
      </c>
      <c r="D28" s="62" t="str">
        <f t="shared" si="17"/>
        <v>#DIV/0!</v>
      </c>
      <c r="E28" s="62" t="str">
        <f t="shared" si="17"/>
        <v>#DIV/0!</v>
      </c>
      <c r="F28" s="62" t="str">
        <f t="shared" si="17"/>
        <v>#DIV/0!</v>
      </c>
      <c r="G28" s="62" t="str">
        <f t="shared" si="17"/>
        <v>#DIV/0!</v>
      </c>
      <c r="H28" s="62" t="str">
        <f t="shared" si="17"/>
        <v>#DIV/0!</v>
      </c>
      <c r="I28" s="62" t="str">
        <f t="shared" si="17"/>
        <v>#DIV/0!</v>
      </c>
      <c r="J28" s="62" t="str">
        <f t="shared" si="17"/>
        <v>#DIV/0!</v>
      </c>
      <c r="K28" s="62">
        <f t="shared" ref="K28:M28" si="18">(K6+K9)/K11</f>
        <v>9.610213781</v>
      </c>
      <c r="L28" s="63">
        <f t="shared" si="18"/>
        <v>8.31328133</v>
      </c>
      <c r="M28" s="63">
        <f t="shared" si="18"/>
        <v>7.727637559</v>
      </c>
      <c r="N28" s="1"/>
      <c r="O28" s="64">
        <f t="shared" ref="O28:Y28" si="19">(O6+O7)/O11</f>
        <v>2.066203268</v>
      </c>
      <c r="P28" s="62">
        <f t="shared" si="19"/>
        <v>1.639523177</v>
      </c>
      <c r="Q28" s="62">
        <f t="shared" si="19"/>
        <v>5.001537194</v>
      </c>
      <c r="R28" s="62">
        <f t="shared" si="19"/>
        <v>5.054551458</v>
      </c>
      <c r="S28" s="62">
        <f t="shared" si="19"/>
        <v>2.353995269</v>
      </c>
      <c r="T28" s="62">
        <f t="shared" si="19"/>
        <v>2.243994893</v>
      </c>
      <c r="U28" s="62">
        <f t="shared" si="19"/>
        <v>2.890288864</v>
      </c>
      <c r="V28" s="62">
        <f t="shared" si="19"/>
        <v>2.561011195</v>
      </c>
      <c r="W28" s="62">
        <f t="shared" si="19"/>
        <v>2.672007307</v>
      </c>
      <c r="X28" s="62">
        <f t="shared" si="19"/>
        <v>3.748017255</v>
      </c>
      <c r="Y28" s="63">
        <f t="shared" si="19"/>
        <v>4.348569999</v>
      </c>
    </row>
    <row r="29">
      <c r="A29" s="47" t="s">
        <v>60</v>
      </c>
      <c r="B29" s="65" t="str">
        <f t="shared" ref="B29:F29" si="20">B5/B13</f>
        <v>#DIV/0!</v>
      </c>
      <c r="C29" s="65" t="str">
        <f t="shared" si="20"/>
        <v>#DIV/0!</v>
      </c>
      <c r="D29" s="65" t="str">
        <f t="shared" si="20"/>
        <v>#DIV/0!</v>
      </c>
      <c r="E29" s="65" t="str">
        <f t="shared" si="20"/>
        <v>#DIV/0!</v>
      </c>
      <c r="F29" s="65" t="str">
        <f t="shared" si="20"/>
        <v>#DIV/0!</v>
      </c>
      <c r="G29" s="65" t="str">
        <f>G6/G13</f>
        <v>#DIV/0!</v>
      </c>
      <c r="H29" s="65" t="str">
        <f t="shared" ref="H29:M29" si="21">H5/H13</f>
        <v>#DIV/0!</v>
      </c>
      <c r="I29" s="65" t="str">
        <f t="shared" si="21"/>
        <v>#DIV/0!</v>
      </c>
      <c r="J29" s="65" t="str">
        <f t="shared" si="21"/>
        <v>#DIV/0!</v>
      </c>
      <c r="K29" s="65">
        <f t="shared" si="21"/>
        <v>0.001774852112</v>
      </c>
      <c r="L29" s="66">
        <f t="shared" si="21"/>
        <v>0.00001269400956</v>
      </c>
      <c r="M29" s="66">
        <f t="shared" si="21"/>
        <v>0.00001040312094</v>
      </c>
      <c r="N29" s="1"/>
      <c r="O29" s="67">
        <f t="shared" ref="O29:Y29" si="22">O5/O13</f>
        <v>0.1782367403</v>
      </c>
      <c r="P29" s="65">
        <f t="shared" si="22"/>
        <v>0.08807636084</v>
      </c>
      <c r="Q29" s="65">
        <f t="shared" si="22"/>
        <v>0.07527675009</v>
      </c>
      <c r="R29" s="65">
        <f t="shared" si="22"/>
        <v>0.06626295079</v>
      </c>
      <c r="S29" s="65">
        <f t="shared" si="22"/>
        <v>0</v>
      </c>
      <c r="T29" s="65">
        <f t="shared" si="22"/>
        <v>0.04597450093</v>
      </c>
      <c r="U29" s="65">
        <f t="shared" si="22"/>
        <v>0.04627237241</v>
      </c>
      <c r="V29" s="65">
        <f t="shared" si="22"/>
        <v>0.08939575958</v>
      </c>
      <c r="W29" s="65">
        <f t="shared" si="22"/>
        <v>0.03042117939</v>
      </c>
      <c r="X29" s="65">
        <f t="shared" si="22"/>
        <v>0.01410933915</v>
      </c>
      <c r="Y29" s="66">
        <f t="shared" si="22"/>
        <v>0.00001688323353</v>
      </c>
    </row>
  </sheetData>
  <dataValidations>
    <dataValidation type="custom" allowBlank="1" showDropDown="1" sqref="K3:M13">
      <formula1>AND(ISNUMBER(K3),(NOT(OR(NOT(ISERROR(DATEVALUE(K3))), AND(ISNUMBER(K3), LEFT(CELL("format", K3))="D")))))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8.5"/>
    <col customWidth="1" min="27" max="27" width="23.5"/>
  </cols>
  <sheetData>
    <row r="1">
      <c r="A1" s="68"/>
      <c r="B1" s="68"/>
      <c r="C1" s="69" t="s">
        <v>61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68"/>
      <c r="O1" s="69" t="s">
        <v>62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1"/>
      <c r="AB1" s="1"/>
      <c r="AC1" s="1"/>
      <c r="AD1" s="1"/>
      <c r="AE1" s="1"/>
    </row>
    <row r="2">
      <c r="A2" s="68"/>
      <c r="B2" s="71" t="s">
        <v>14</v>
      </c>
      <c r="C2" s="72" t="s">
        <v>15</v>
      </c>
      <c r="D2" s="72" t="s">
        <v>16</v>
      </c>
      <c r="E2" s="72" t="s">
        <v>17</v>
      </c>
      <c r="F2" s="72" t="s">
        <v>18</v>
      </c>
      <c r="G2" s="72" t="s">
        <v>19</v>
      </c>
      <c r="H2" s="72" t="s">
        <v>20</v>
      </c>
      <c r="I2" s="72" t="s">
        <v>21</v>
      </c>
      <c r="J2" s="72" t="s">
        <v>22</v>
      </c>
      <c r="K2" s="72" t="s">
        <v>23</v>
      </c>
      <c r="L2" s="72" t="s">
        <v>24</v>
      </c>
      <c r="M2" s="73" t="s">
        <v>25</v>
      </c>
      <c r="N2" s="68"/>
      <c r="O2" s="74">
        <v>2014.0</v>
      </c>
      <c r="P2" s="74">
        <v>2015.0</v>
      </c>
      <c r="Q2" s="74">
        <v>2016.0</v>
      </c>
      <c r="R2" s="74">
        <v>2017.0</v>
      </c>
      <c r="S2" s="74">
        <v>2018.0</v>
      </c>
      <c r="T2" s="74">
        <v>2019.0</v>
      </c>
      <c r="U2" s="74">
        <v>2020.0</v>
      </c>
      <c r="V2" s="74">
        <v>2021.0</v>
      </c>
      <c r="W2" s="74">
        <v>2022.0</v>
      </c>
      <c r="X2" s="74">
        <v>2023.0</v>
      </c>
      <c r="Y2" s="74">
        <v>2024.0</v>
      </c>
      <c r="Z2" s="74">
        <v>2025.0</v>
      </c>
      <c r="AA2" s="1"/>
      <c r="AB2" s="1"/>
      <c r="AC2" s="1"/>
      <c r="AD2" s="1"/>
      <c r="AE2" s="1"/>
    </row>
    <row r="3">
      <c r="A3" s="75" t="s">
        <v>63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8"/>
      <c r="O3" s="76"/>
      <c r="P3" s="76"/>
      <c r="Q3" s="76"/>
      <c r="R3" s="76"/>
      <c r="S3" s="76"/>
      <c r="T3" s="79">
        <v>1.564E8</v>
      </c>
      <c r="U3" s="77"/>
      <c r="V3" s="80">
        <v>1.63E8</v>
      </c>
      <c r="W3" s="77"/>
      <c r="X3" s="77"/>
      <c r="Y3" s="80">
        <v>2.285E8</v>
      </c>
      <c r="Z3" s="1"/>
      <c r="AA3" s="1"/>
      <c r="AB3" s="1"/>
      <c r="AC3" s="1"/>
      <c r="AD3" s="1"/>
      <c r="AE3" s="1"/>
    </row>
    <row r="4">
      <c r="A4" s="75" t="s">
        <v>64</v>
      </c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8"/>
      <c r="O4" s="76"/>
      <c r="P4" s="76"/>
      <c r="Q4" s="76"/>
      <c r="R4" s="76"/>
      <c r="S4" s="76"/>
      <c r="T4" s="79">
        <v>2.498E8</v>
      </c>
      <c r="U4" s="77"/>
      <c r="V4" s="80">
        <v>2.972E8</v>
      </c>
      <c r="W4" s="77"/>
      <c r="X4" s="77"/>
      <c r="Y4" s="80">
        <v>4.096E8</v>
      </c>
      <c r="Z4" s="1"/>
      <c r="AA4" s="1"/>
      <c r="AB4" s="1"/>
      <c r="AC4" s="1"/>
      <c r="AD4" s="1"/>
      <c r="AE4" s="1"/>
    </row>
    <row r="5">
      <c r="A5" s="75" t="s">
        <v>65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8"/>
      <c r="O5" s="76"/>
      <c r="P5" s="76"/>
      <c r="Q5" s="76"/>
      <c r="R5" s="76"/>
      <c r="S5" s="76"/>
      <c r="T5" s="79">
        <v>9.88E7</v>
      </c>
      <c r="U5" s="77"/>
      <c r="V5" s="80">
        <v>1.557E8</v>
      </c>
      <c r="W5" s="77"/>
      <c r="X5" s="77"/>
      <c r="Y5" s="80">
        <v>1.954E8</v>
      </c>
      <c r="Z5" s="1"/>
      <c r="AA5" s="1"/>
      <c r="AB5" s="1"/>
      <c r="AC5" s="1"/>
      <c r="AD5" s="1"/>
      <c r="AE5" s="1"/>
    </row>
    <row r="6">
      <c r="A6" s="75" t="s">
        <v>66</v>
      </c>
      <c r="B6" s="76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8"/>
      <c r="O6" s="76"/>
      <c r="P6" s="76"/>
      <c r="Q6" s="76"/>
      <c r="R6" s="76"/>
      <c r="S6" s="76"/>
      <c r="T6" s="79">
        <v>4.56E7</v>
      </c>
      <c r="U6" s="77"/>
      <c r="V6" s="80">
        <v>4.79E7</v>
      </c>
      <c r="W6" s="77"/>
      <c r="X6" s="77"/>
      <c r="Y6" s="80">
        <v>3.34E7</v>
      </c>
      <c r="Z6" s="1"/>
      <c r="AA6" s="1"/>
      <c r="AB6" s="1"/>
      <c r="AC6" s="1"/>
      <c r="AD6" s="1"/>
      <c r="AE6" s="1"/>
    </row>
    <row r="7">
      <c r="A7" s="81" t="s">
        <v>67</v>
      </c>
      <c r="B7" s="82"/>
      <c r="C7" s="83">
        <f t="shared" ref="C7:D7" si="1">SUM(C3:C6)</f>
        <v>0</v>
      </c>
      <c r="D7" s="83">
        <f t="shared" si="1"/>
        <v>0</v>
      </c>
      <c r="E7" s="83"/>
      <c r="F7" s="83"/>
      <c r="G7" s="84">
        <v>2.16334E8</v>
      </c>
      <c r="H7" s="84">
        <v>2.17E8</v>
      </c>
      <c r="I7" s="83"/>
      <c r="J7" s="83"/>
      <c r="K7" s="84">
        <v>2.12138E8</v>
      </c>
      <c r="L7" s="84">
        <v>2.10992E8</v>
      </c>
      <c r="M7" s="84">
        <v>2.10394E8</v>
      </c>
      <c r="N7" s="78"/>
      <c r="O7" s="84">
        <v>4.55527E8</v>
      </c>
      <c r="P7" s="84">
        <v>5.24206E8</v>
      </c>
      <c r="Q7" s="84">
        <v>4.83456E8</v>
      </c>
      <c r="R7" s="84">
        <v>4.50678E8</v>
      </c>
      <c r="S7" s="84">
        <v>5.35276E8</v>
      </c>
      <c r="T7" s="84">
        <v>5.5066E8</v>
      </c>
      <c r="U7" s="84">
        <v>6.09691E8</v>
      </c>
      <c r="V7" s="84">
        <v>6.63761E8</v>
      </c>
      <c r="W7" s="84">
        <v>8.24549E8</v>
      </c>
      <c r="X7" s="84">
        <v>8.92076E8</v>
      </c>
      <c r="Y7" s="84">
        <v>8.66946E8</v>
      </c>
      <c r="Z7" s="1"/>
      <c r="AA7" s="1"/>
      <c r="AB7" s="1"/>
      <c r="AC7" s="1"/>
      <c r="AD7" s="1"/>
      <c r="AE7" s="1"/>
    </row>
    <row r="8">
      <c r="A8" s="78" t="s">
        <v>68</v>
      </c>
      <c r="B8" s="76"/>
      <c r="C8" s="77">
        <v>0.0</v>
      </c>
      <c r="D8" s="77">
        <v>0.0</v>
      </c>
      <c r="E8" s="77">
        <v>0.0</v>
      </c>
      <c r="F8" s="77">
        <v>0.0</v>
      </c>
      <c r="G8" s="80">
        <v>1.37079E8</v>
      </c>
      <c r="H8" s="80">
        <v>1.37749E8</v>
      </c>
      <c r="I8" s="77"/>
      <c r="J8" s="77"/>
      <c r="K8" s="80">
        <v>1.36603E8</v>
      </c>
      <c r="L8" s="80">
        <v>1.33086E8</v>
      </c>
      <c r="M8" s="80">
        <v>1.39539E8</v>
      </c>
      <c r="N8" s="78"/>
      <c r="O8" s="80">
        <v>3.55181E8</v>
      </c>
      <c r="P8" s="80">
        <v>3.8107E8</v>
      </c>
      <c r="Q8" s="80">
        <v>3.6475E8</v>
      </c>
      <c r="R8" s="80">
        <v>3.59363E8</v>
      </c>
      <c r="S8" s="80">
        <v>4.03773E8</v>
      </c>
      <c r="T8" s="80">
        <v>4.29819E8</v>
      </c>
      <c r="U8" s="80">
        <v>4.75037E8</v>
      </c>
      <c r="V8" s="80">
        <v>4.96717E8</v>
      </c>
      <c r="W8" s="80">
        <v>5.30336E8</v>
      </c>
      <c r="X8" s="80">
        <v>5.55914E8</v>
      </c>
      <c r="Y8" s="80">
        <v>5.51E8</v>
      </c>
      <c r="Z8" s="1"/>
      <c r="AA8" s="1"/>
      <c r="AB8" s="1"/>
      <c r="AC8" s="1"/>
      <c r="AD8" s="1"/>
      <c r="AE8" s="1"/>
    </row>
    <row r="9">
      <c r="A9" s="81" t="s">
        <v>69</v>
      </c>
      <c r="B9" s="82"/>
      <c r="C9" s="83">
        <f t="shared" ref="C9:M9" si="2">C7-C8</f>
        <v>0</v>
      </c>
      <c r="D9" s="83">
        <f t="shared" si="2"/>
        <v>0</v>
      </c>
      <c r="E9" s="83">
        <f t="shared" si="2"/>
        <v>0</v>
      </c>
      <c r="F9" s="83">
        <f t="shared" si="2"/>
        <v>0</v>
      </c>
      <c r="G9" s="83">
        <f t="shared" si="2"/>
        <v>79255000</v>
      </c>
      <c r="H9" s="83">
        <f t="shared" si="2"/>
        <v>79251000</v>
      </c>
      <c r="I9" s="83">
        <f t="shared" si="2"/>
        <v>0</v>
      </c>
      <c r="J9" s="83">
        <f t="shared" si="2"/>
        <v>0</v>
      </c>
      <c r="K9" s="83">
        <f t="shared" si="2"/>
        <v>75535000</v>
      </c>
      <c r="L9" s="83">
        <f t="shared" si="2"/>
        <v>77906000</v>
      </c>
      <c r="M9" s="83">
        <f t="shared" si="2"/>
        <v>70855000</v>
      </c>
      <c r="N9" s="76"/>
      <c r="O9" s="83">
        <f t="shared" ref="O9:Y9" si="3">O7-O8</f>
        <v>100346000</v>
      </c>
      <c r="P9" s="83">
        <f t="shared" si="3"/>
        <v>143136000</v>
      </c>
      <c r="Q9" s="83">
        <f t="shared" si="3"/>
        <v>118706000</v>
      </c>
      <c r="R9" s="83">
        <f t="shared" si="3"/>
        <v>91315000</v>
      </c>
      <c r="S9" s="83">
        <f t="shared" si="3"/>
        <v>131503000</v>
      </c>
      <c r="T9" s="83">
        <f t="shared" si="3"/>
        <v>120841000</v>
      </c>
      <c r="U9" s="83">
        <f t="shared" si="3"/>
        <v>134654000</v>
      </c>
      <c r="V9" s="83">
        <f t="shared" si="3"/>
        <v>167044000</v>
      </c>
      <c r="W9" s="83">
        <f t="shared" si="3"/>
        <v>294213000</v>
      </c>
      <c r="X9" s="83">
        <f t="shared" si="3"/>
        <v>336162000</v>
      </c>
      <c r="Y9" s="83">
        <f t="shared" si="3"/>
        <v>315946000</v>
      </c>
      <c r="Z9" s="1"/>
      <c r="AA9" s="1"/>
      <c r="AB9" s="1"/>
      <c r="AC9" s="1"/>
      <c r="AD9" s="1"/>
      <c r="AE9" s="1"/>
    </row>
    <row r="10">
      <c r="A10" s="75" t="s">
        <v>70</v>
      </c>
      <c r="B10" s="76"/>
      <c r="C10" s="77"/>
      <c r="D10" s="77"/>
      <c r="E10" s="77"/>
      <c r="F10" s="77"/>
      <c r="G10" s="77"/>
      <c r="H10" s="77"/>
      <c r="I10" s="77"/>
      <c r="J10" s="77"/>
      <c r="K10" s="80">
        <v>1.9101E7</v>
      </c>
      <c r="L10" s="80">
        <v>1.8099E7</v>
      </c>
      <c r="M10" s="80">
        <v>1.8423E7</v>
      </c>
      <c r="N10" s="78"/>
      <c r="O10" s="80">
        <v>4.9638E7</v>
      </c>
      <c r="P10" s="80">
        <v>4.8983E7</v>
      </c>
      <c r="Q10" s="80">
        <v>4.4577E7</v>
      </c>
      <c r="R10" s="80">
        <v>4.3585E7</v>
      </c>
      <c r="S10" s="80">
        <v>5.1395E7</v>
      </c>
      <c r="T10" s="80">
        <v>5.2326E7</v>
      </c>
      <c r="U10" s="80">
        <v>5.3582E7</v>
      </c>
      <c r="V10" s="80">
        <v>5.7525E7</v>
      </c>
      <c r="W10" s="80">
        <v>6.3989E7</v>
      </c>
      <c r="X10" s="80">
        <v>6.9458E7</v>
      </c>
      <c r="Y10" s="80">
        <v>7.776E7</v>
      </c>
      <c r="Z10" s="1"/>
      <c r="AA10" s="1"/>
      <c r="AB10" s="1"/>
      <c r="AC10" s="1"/>
      <c r="AD10" s="1"/>
      <c r="AE10" s="1"/>
    </row>
    <row r="11">
      <c r="A11" s="75" t="s">
        <v>71</v>
      </c>
      <c r="B11" s="76"/>
      <c r="C11" s="77"/>
      <c r="D11" s="77"/>
      <c r="E11" s="77"/>
      <c r="F11" s="77"/>
      <c r="G11" s="77"/>
      <c r="H11" s="77"/>
      <c r="I11" s="77"/>
      <c r="J11" s="77"/>
      <c r="K11" s="80">
        <v>4257000.0</v>
      </c>
      <c r="L11" s="80">
        <v>4090000.0</v>
      </c>
      <c r="M11" s="80">
        <v>4271000.0</v>
      </c>
      <c r="N11" s="78"/>
      <c r="O11" s="80">
        <v>2.1913E7</v>
      </c>
      <c r="P11" s="80">
        <v>2.192E7</v>
      </c>
      <c r="Q11" s="80">
        <v>2.1654E7</v>
      </c>
      <c r="R11" s="80">
        <v>1.5862E7</v>
      </c>
      <c r="S11" s="80">
        <v>1.4481E7</v>
      </c>
      <c r="T11" s="80">
        <v>1.6394E7</v>
      </c>
      <c r="U11" s="80">
        <v>1.7144E7</v>
      </c>
      <c r="V11" s="80">
        <v>1.849E7</v>
      </c>
      <c r="W11" s="80">
        <v>1.8341E7</v>
      </c>
      <c r="X11" s="80">
        <v>1.3654E7</v>
      </c>
      <c r="Y11" s="80">
        <v>1.6576E7</v>
      </c>
      <c r="Z11" s="1"/>
      <c r="AA11" s="1"/>
      <c r="AB11" s="1"/>
      <c r="AC11" s="1"/>
      <c r="AD11" s="1"/>
      <c r="AE11" s="1"/>
    </row>
    <row r="12" ht="16.5" customHeight="1">
      <c r="A12" s="78" t="s">
        <v>72</v>
      </c>
      <c r="B12" s="76"/>
      <c r="C12" s="77"/>
      <c r="D12" s="77"/>
      <c r="E12" s="77"/>
      <c r="F12" s="77"/>
      <c r="G12" s="76"/>
      <c r="H12" s="77"/>
      <c r="I12" s="77"/>
      <c r="J12" s="77"/>
      <c r="K12" s="80">
        <v>0.0</v>
      </c>
      <c r="L12" s="80">
        <v>0.0</v>
      </c>
      <c r="M12" s="80">
        <v>0.0</v>
      </c>
      <c r="N12" s="78"/>
      <c r="O12" s="80">
        <v>0.0</v>
      </c>
      <c r="P12" s="80">
        <v>0.0</v>
      </c>
      <c r="Q12" s="80">
        <v>0.0</v>
      </c>
      <c r="R12" s="80">
        <v>0.0</v>
      </c>
      <c r="S12" s="80">
        <v>0.0</v>
      </c>
      <c r="T12" s="80">
        <v>0.0</v>
      </c>
      <c r="U12" s="85">
        <v>0.0</v>
      </c>
      <c r="V12" s="80">
        <v>-3525000.0</v>
      </c>
      <c r="W12" s="80">
        <v>-17000.0</v>
      </c>
      <c r="X12" s="86">
        <v>0.0</v>
      </c>
      <c r="Y12" s="80">
        <v>92000.0</v>
      </c>
      <c r="Z12" s="1"/>
      <c r="AA12" s="1"/>
      <c r="AB12" s="1"/>
      <c r="AC12" s="1"/>
      <c r="AD12" s="1"/>
      <c r="AE12" s="1"/>
    </row>
    <row r="13">
      <c r="A13" s="87" t="s">
        <v>73</v>
      </c>
      <c r="B13" s="88"/>
      <c r="C13" s="89">
        <f t="shared" ref="C13:M13" si="4">SUM(C10:C12)</f>
        <v>0</v>
      </c>
      <c r="D13" s="89">
        <f t="shared" si="4"/>
        <v>0</v>
      </c>
      <c r="E13" s="89">
        <f t="shared" si="4"/>
        <v>0</v>
      </c>
      <c r="F13" s="89">
        <f t="shared" si="4"/>
        <v>0</v>
      </c>
      <c r="G13" s="89">
        <f t="shared" si="4"/>
        <v>0</v>
      </c>
      <c r="H13" s="89">
        <f t="shared" si="4"/>
        <v>0</v>
      </c>
      <c r="I13" s="89">
        <f t="shared" si="4"/>
        <v>0</v>
      </c>
      <c r="J13" s="89">
        <f t="shared" si="4"/>
        <v>0</v>
      </c>
      <c r="K13" s="89">
        <f t="shared" si="4"/>
        <v>23358000</v>
      </c>
      <c r="L13" s="89">
        <f t="shared" si="4"/>
        <v>22189000</v>
      </c>
      <c r="M13" s="89">
        <f t="shared" si="4"/>
        <v>22694000</v>
      </c>
      <c r="N13" s="78"/>
      <c r="O13" s="89">
        <f t="shared" ref="O13:W13" si="5">SUM(O10:O12)</f>
        <v>71551000</v>
      </c>
      <c r="P13" s="89">
        <f t="shared" si="5"/>
        <v>70903000</v>
      </c>
      <c r="Q13" s="89">
        <f t="shared" si="5"/>
        <v>66231000</v>
      </c>
      <c r="R13" s="89">
        <f t="shared" si="5"/>
        <v>59447000</v>
      </c>
      <c r="S13" s="89">
        <f t="shared" si="5"/>
        <v>65876000</v>
      </c>
      <c r="T13" s="89">
        <f t="shared" si="5"/>
        <v>68720000</v>
      </c>
      <c r="U13" s="89">
        <f t="shared" si="5"/>
        <v>70726000</v>
      </c>
      <c r="V13" s="89">
        <f t="shared" si="5"/>
        <v>72490000</v>
      </c>
      <c r="W13" s="89">
        <f t="shared" si="5"/>
        <v>82313000</v>
      </c>
      <c r="X13" s="89">
        <f>SUM(X10:X11)</f>
        <v>83112000</v>
      </c>
      <c r="Y13" s="89">
        <f>SUM(Y10:Y12)</f>
        <v>94428000</v>
      </c>
      <c r="Z13" s="1"/>
      <c r="AA13" s="1"/>
      <c r="AB13" s="1"/>
      <c r="AC13" s="1"/>
      <c r="AD13" s="1"/>
      <c r="AE13" s="1"/>
    </row>
    <row r="14">
      <c r="A14" s="90" t="s">
        <v>74</v>
      </c>
      <c r="B14" s="91"/>
      <c r="C14" s="92">
        <f t="shared" ref="C14:M14" si="6">C9-C13</f>
        <v>0</v>
      </c>
      <c r="D14" s="92">
        <f t="shared" si="6"/>
        <v>0</v>
      </c>
      <c r="E14" s="92">
        <f t="shared" si="6"/>
        <v>0</v>
      </c>
      <c r="F14" s="92">
        <f t="shared" si="6"/>
        <v>0</v>
      </c>
      <c r="G14" s="92">
        <f t="shared" si="6"/>
        <v>79255000</v>
      </c>
      <c r="H14" s="92">
        <f t="shared" si="6"/>
        <v>79251000</v>
      </c>
      <c r="I14" s="92">
        <f t="shared" si="6"/>
        <v>0</v>
      </c>
      <c r="J14" s="92">
        <f t="shared" si="6"/>
        <v>0</v>
      </c>
      <c r="K14" s="92">
        <f t="shared" si="6"/>
        <v>52177000</v>
      </c>
      <c r="L14" s="92">
        <f t="shared" si="6"/>
        <v>55717000</v>
      </c>
      <c r="M14" s="92">
        <f t="shared" si="6"/>
        <v>48161000</v>
      </c>
      <c r="N14" s="78"/>
      <c r="O14" s="92">
        <f t="shared" ref="O14:Y14" si="7">O9-O13</f>
        <v>28795000</v>
      </c>
      <c r="P14" s="92">
        <f t="shared" si="7"/>
        <v>72233000</v>
      </c>
      <c r="Q14" s="92">
        <f t="shared" si="7"/>
        <v>52475000</v>
      </c>
      <c r="R14" s="92">
        <f t="shared" si="7"/>
        <v>31868000</v>
      </c>
      <c r="S14" s="92">
        <f t="shared" si="7"/>
        <v>65627000</v>
      </c>
      <c r="T14" s="92">
        <f t="shared" si="7"/>
        <v>52121000</v>
      </c>
      <c r="U14" s="92">
        <f t="shared" si="7"/>
        <v>63928000</v>
      </c>
      <c r="V14" s="92">
        <f t="shared" si="7"/>
        <v>94554000</v>
      </c>
      <c r="W14" s="92">
        <f t="shared" si="7"/>
        <v>211900000</v>
      </c>
      <c r="X14" s="92">
        <f t="shared" si="7"/>
        <v>253050000</v>
      </c>
      <c r="Y14" s="92">
        <f t="shared" si="7"/>
        <v>221518000</v>
      </c>
      <c r="Z14" s="1"/>
      <c r="AA14" s="1"/>
      <c r="AB14" s="1"/>
      <c r="AC14" s="1"/>
      <c r="AD14" s="1"/>
      <c r="AE14" s="1"/>
    </row>
    <row r="15">
      <c r="A15" s="75" t="s">
        <v>75</v>
      </c>
      <c r="B15" s="76"/>
      <c r="C15" s="77"/>
      <c r="D15" s="77"/>
      <c r="E15" s="77"/>
      <c r="F15" s="77"/>
      <c r="G15" s="77"/>
      <c r="H15" s="77"/>
      <c r="I15" s="77"/>
      <c r="J15" s="77"/>
      <c r="K15" s="80">
        <v>1.8443E7</v>
      </c>
      <c r="L15" s="80">
        <v>-3.1111E7</v>
      </c>
      <c r="M15" s="80">
        <v>-1.4258E7</v>
      </c>
      <c r="N15" s="78"/>
      <c r="O15" s="80">
        <v>0.0</v>
      </c>
      <c r="P15" s="80">
        <v>0.0</v>
      </c>
      <c r="Q15" s="80">
        <v>0.0</v>
      </c>
      <c r="R15" s="80">
        <v>0.0</v>
      </c>
      <c r="S15" s="80">
        <v>0.0</v>
      </c>
      <c r="T15" s="80">
        <v>-1266000.0</v>
      </c>
      <c r="U15" s="80">
        <v>-501000.0</v>
      </c>
      <c r="V15" s="80">
        <v>7972000.0</v>
      </c>
      <c r="W15" s="80">
        <v>2.7344E7</v>
      </c>
      <c r="X15" s="80">
        <v>2466000.0</v>
      </c>
      <c r="Y15" s="80">
        <v>2168000.0</v>
      </c>
      <c r="Z15" s="1"/>
      <c r="AA15" s="1"/>
      <c r="AB15" s="1"/>
      <c r="AC15" s="1"/>
      <c r="AD15" s="1"/>
      <c r="AE15" s="1"/>
    </row>
    <row r="16">
      <c r="A16" s="75" t="s">
        <v>76</v>
      </c>
      <c r="B16" s="76"/>
      <c r="C16" s="77"/>
      <c r="D16" s="77"/>
      <c r="E16" s="77"/>
      <c r="F16" s="77"/>
      <c r="G16" s="77"/>
      <c r="H16" s="77"/>
      <c r="I16" s="77"/>
      <c r="J16" s="77"/>
      <c r="K16" s="80">
        <v>6585000.0</v>
      </c>
      <c r="L16" s="80">
        <v>5329000.0</v>
      </c>
      <c r="M16" s="80">
        <v>4830000.0</v>
      </c>
      <c r="N16" s="78"/>
      <c r="O16" s="80">
        <v>3410000.0</v>
      </c>
      <c r="P16" s="80">
        <v>2797000.0</v>
      </c>
      <c r="Q16" s="80">
        <v>2424000.0</v>
      </c>
      <c r="R16" s="80">
        <v>-3068000.0</v>
      </c>
      <c r="S16" s="80">
        <v>5206000.0</v>
      </c>
      <c r="T16" s="80">
        <v>-1425000.0</v>
      </c>
      <c r="U16" s="80">
        <v>-2367000.0</v>
      </c>
      <c r="V16" s="80">
        <v>-1685000.0</v>
      </c>
      <c r="W16" s="80">
        <v>1680000.0</v>
      </c>
      <c r="X16" s="80">
        <v>1.4863E7</v>
      </c>
      <c r="Y16" s="80">
        <v>2.4063E7</v>
      </c>
      <c r="Z16" s="1"/>
      <c r="AA16" s="1"/>
      <c r="AB16" s="1"/>
      <c r="AC16" s="1"/>
      <c r="AD16" s="1"/>
      <c r="AE16" s="1"/>
    </row>
    <row r="17">
      <c r="A17" s="75" t="s">
        <v>77</v>
      </c>
      <c r="B17" s="76"/>
      <c r="C17" s="77"/>
      <c r="D17" s="77"/>
      <c r="E17" s="77"/>
      <c r="F17" s="77"/>
      <c r="G17" s="77"/>
      <c r="H17" s="77"/>
      <c r="I17" s="77"/>
      <c r="J17" s="77"/>
      <c r="K17" s="80">
        <v>0.0</v>
      </c>
      <c r="L17" s="80">
        <v>0.0</v>
      </c>
      <c r="M17" s="80">
        <v>0.0</v>
      </c>
      <c r="N17" s="78"/>
      <c r="O17" s="80">
        <v>0.0</v>
      </c>
      <c r="P17" s="80">
        <v>0.0</v>
      </c>
      <c r="Q17" s="80">
        <v>8940000.0</v>
      </c>
      <c r="R17" s="80">
        <v>0.0</v>
      </c>
      <c r="S17" s="80">
        <v>0.0</v>
      </c>
      <c r="T17" s="80">
        <v>0.0</v>
      </c>
      <c r="U17" s="80">
        <v>0.0</v>
      </c>
      <c r="V17" s="80">
        <v>0.0</v>
      </c>
      <c r="W17" s="80">
        <v>0.0</v>
      </c>
      <c r="X17" s="80">
        <v>0.0</v>
      </c>
      <c r="Y17" s="80">
        <v>0.0</v>
      </c>
      <c r="Z17" s="1"/>
      <c r="AA17" s="1"/>
      <c r="AB17" s="1"/>
      <c r="AC17" s="1"/>
      <c r="AD17" s="1"/>
      <c r="AE17" s="1"/>
    </row>
    <row r="18">
      <c r="A18" s="75" t="s">
        <v>78</v>
      </c>
      <c r="B18" s="76"/>
      <c r="C18" s="77"/>
      <c r="D18" s="77"/>
      <c r="E18" s="77"/>
      <c r="F18" s="77"/>
      <c r="G18" s="77"/>
      <c r="H18" s="77"/>
      <c r="I18" s="77"/>
      <c r="J18" s="77"/>
      <c r="K18" s="80">
        <v>0.0</v>
      </c>
      <c r="L18" s="80">
        <v>0.0</v>
      </c>
      <c r="M18" s="80">
        <v>0.0</v>
      </c>
      <c r="N18" s="78"/>
      <c r="O18" s="80">
        <v>1.6372E7</v>
      </c>
      <c r="P18" s="80">
        <v>0.0</v>
      </c>
      <c r="Q18" s="80">
        <v>0.0</v>
      </c>
      <c r="R18" s="80">
        <v>0.0</v>
      </c>
      <c r="S18" s="80">
        <v>0.0</v>
      </c>
      <c r="T18" s="80">
        <v>0.0</v>
      </c>
      <c r="U18" s="80">
        <v>0.0</v>
      </c>
      <c r="V18" s="80">
        <v>0.0</v>
      </c>
      <c r="W18" s="80">
        <v>0.0</v>
      </c>
      <c r="X18" s="80">
        <v>0.0</v>
      </c>
      <c r="Y18" s="80">
        <v>0.0</v>
      </c>
      <c r="Z18" s="1"/>
      <c r="AA18" s="1"/>
      <c r="AB18" s="1"/>
      <c r="AC18" s="1"/>
      <c r="AD18" s="1"/>
      <c r="AE18" s="1"/>
    </row>
    <row r="19">
      <c r="A19" s="75" t="s">
        <v>79</v>
      </c>
      <c r="B19" s="76"/>
      <c r="C19" s="77"/>
      <c r="D19" s="77"/>
      <c r="E19" s="77"/>
      <c r="F19" s="77"/>
      <c r="G19" s="77"/>
      <c r="H19" s="77"/>
      <c r="I19" s="77"/>
      <c r="J19" s="77"/>
      <c r="K19" s="80">
        <v>-47000.0</v>
      </c>
      <c r="L19" s="80">
        <v>-4000.0</v>
      </c>
      <c r="M19" s="80">
        <v>0.0</v>
      </c>
      <c r="N19" s="78"/>
      <c r="O19" s="80">
        <v>-7247000.0</v>
      </c>
      <c r="P19" s="80">
        <v>-4990000.0</v>
      </c>
      <c r="Q19" s="80">
        <v>-3365000.0</v>
      </c>
      <c r="R19" s="80">
        <v>-2235000.0</v>
      </c>
      <c r="S19" s="80">
        <v>-2262000.0</v>
      </c>
      <c r="T19" s="80">
        <v>1271000.0</v>
      </c>
      <c r="U19" s="80">
        <v>541000.0</v>
      </c>
      <c r="V19" s="80">
        <v>1165000.0</v>
      </c>
      <c r="W19" s="80">
        <v>-1857000.0</v>
      </c>
      <c r="X19" s="80">
        <v>-433000.0</v>
      </c>
      <c r="Y19" s="80">
        <v>-334000.0</v>
      </c>
      <c r="Z19" s="1"/>
      <c r="AA19" s="1"/>
      <c r="AB19" s="1"/>
      <c r="AC19" s="1"/>
      <c r="AD19" s="1"/>
      <c r="AE19" s="1"/>
    </row>
    <row r="20">
      <c r="A20" s="78" t="s">
        <v>80</v>
      </c>
      <c r="B20" s="76"/>
      <c r="C20" s="77"/>
      <c r="D20" s="77"/>
      <c r="E20" s="77"/>
      <c r="F20" s="77"/>
      <c r="G20" s="77"/>
      <c r="H20" s="77"/>
      <c r="I20" s="77"/>
      <c r="J20" s="77"/>
      <c r="K20" s="80">
        <v>0.0</v>
      </c>
      <c r="L20" s="80">
        <v>0.0</v>
      </c>
      <c r="M20" s="80">
        <v>0.0</v>
      </c>
      <c r="N20" s="78"/>
      <c r="O20" s="80">
        <v>0.0</v>
      </c>
      <c r="P20" s="80">
        <v>0.0</v>
      </c>
      <c r="Q20" s="86">
        <v>0.0</v>
      </c>
      <c r="R20" s="80">
        <v>0.0</v>
      </c>
      <c r="S20" s="80">
        <v>0.0</v>
      </c>
      <c r="T20" s="80">
        <v>0.0</v>
      </c>
      <c r="U20" s="80">
        <v>0.0</v>
      </c>
      <c r="V20" s="80">
        <v>0.0</v>
      </c>
      <c r="W20" s="80">
        <v>0.0</v>
      </c>
      <c r="X20" s="80">
        <v>0.0</v>
      </c>
      <c r="Y20" s="80">
        <v>0.0</v>
      </c>
      <c r="Z20" s="1"/>
      <c r="AA20" s="1"/>
      <c r="AB20" s="1"/>
      <c r="AC20" s="1"/>
      <c r="AD20" s="1"/>
      <c r="AE20" s="1"/>
    </row>
    <row r="21">
      <c r="A21" s="81" t="s">
        <v>81</v>
      </c>
      <c r="B21" s="82"/>
      <c r="C21" s="83">
        <f t="shared" ref="C21:M21" si="8">C14+(C15+C16+C20)</f>
        <v>0</v>
      </c>
      <c r="D21" s="83">
        <f t="shared" si="8"/>
        <v>0</v>
      </c>
      <c r="E21" s="83">
        <f t="shared" si="8"/>
        <v>0</v>
      </c>
      <c r="F21" s="83">
        <f t="shared" si="8"/>
        <v>0</v>
      </c>
      <c r="G21" s="83">
        <f t="shared" si="8"/>
        <v>79255000</v>
      </c>
      <c r="H21" s="83">
        <f t="shared" si="8"/>
        <v>79251000</v>
      </c>
      <c r="I21" s="83">
        <f t="shared" si="8"/>
        <v>0</v>
      </c>
      <c r="J21" s="83">
        <f t="shared" si="8"/>
        <v>0</v>
      </c>
      <c r="K21" s="83">
        <f t="shared" si="8"/>
        <v>77205000</v>
      </c>
      <c r="L21" s="83">
        <f t="shared" si="8"/>
        <v>29935000</v>
      </c>
      <c r="M21" s="83">
        <f t="shared" si="8"/>
        <v>38733000</v>
      </c>
      <c r="N21" s="78"/>
      <c r="O21" s="83">
        <f t="shared" ref="O21:P21" si="9">O14+(SUM(O15:O20))</f>
        <v>41330000</v>
      </c>
      <c r="P21" s="83">
        <f t="shared" si="9"/>
        <v>70040000</v>
      </c>
      <c r="Q21" s="83">
        <f>Q14+(SUM(Q15:Q19))</f>
        <v>60474000</v>
      </c>
      <c r="R21" s="83">
        <f t="shared" ref="R21:Y21" si="10">R14+(SUM(R15:R20))</f>
        <v>26565000</v>
      </c>
      <c r="S21" s="83">
        <f t="shared" si="10"/>
        <v>68571000</v>
      </c>
      <c r="T21" s="83">
        <f t="shared" si="10"/>
        <v>50701000</v>
      </c>
      <c r="U21" s="83">
        <f t="shared" si="10"/>
        <v>61601000</v>
      </c>
      <c r="V21" s="83">
        <f t="shared" si="10"/>
        <v>102006000</v>
      </c>
      <c r="W21" s="83">
        <f t="shared" si="10"/>
        <v>239067000</v>
      </c>
      <c r="X21" s="83">
        <f t="shared" si="10"/>
        <v>269946000</v>
      </c>
      <c r="Y21" s="83">
        <f t="shared" si="10"/>
        <v>247415000</v>
      </c>
      <c r="Z21" s="1"/>
      <c r="AA21" s="1"/>
      <c r="AB21" s="1"/>
      <c r="AC21" s="1"/>
      <c r="AD21" s="1"/>
      <c r="AE21" s="1"/>
    </row>
    <row r="22">
      <c r="A22" s="78" t="s">
        <v>82</v>
      </c>
      <c r="B22" s="76"/>
      <c r="C22" s="77"/>
      <c r="D22" s="77"/>
      <c r="E22" s="77"/>
      <c r="F22" s="77"/>
      <c r="G22" s="77"/>
      <c r="H22" s="77"/>
      <c r="I22" s="77"/>
      <c r="J22" s="77"/>
      <c r="K22" s="80">
        <v>1.8901E7</v>
      </c>
      <c r="L22" s="80">
        <v>5714000.0</v>
      </c>
      <c r="M22" s="80">
        <v>9594000.0</v>
      </c>
      <c r="N22" s="78"/>
      <c r="O22" s="79">
        <v>9295000.0</v>
      </c>
      <c r="P22" s="79">
        <v>1.3181E7</v>
      </c>
      <c r="Q22" s="79">
        <v>4798000.0</v>
      </c>
      <c r="R22" s="80">
        <v>5276000.0</v>
      </c>
      <c r="S22" s="80">
        <v>7335000.0</v>
      </c>
      <c r="T22" s="80">
        <v>1.021E7</v>
      </c>
      <c r="U22" s="80">
        <v>2.1258E7</v>
      </c>
      <c r="V22" s="80">
        <v>2.319E7</v>
      </c>
      <c r="W22" s="80">
        <v>5.9791E7</v>
      </c>
      <c r="X22" s="80">
        <v>7.0312E7</v>
      </c>
      <c r="Y22" s="80">
        <v>6.3597E7</v>
      </c>
      <c r="Z22" s="1"/>
      <c r="AA22" s="1"/>
      <c r="AB22" s="1"/>
      <c r="AC22" s="1"/>
      <c r="AD22" s="1"/>
      <c r="AE22" s="1"/>
    </row>
    <row r="23">
      <c r="A23" s="81" t="s">
        <v>83</v>
      </c>
      <c r="B23" s="82"/>
      <c r="C23" s="83">
        <f t="shared" ref="C23:M23" si="11">C21-C22</f>
        <v>0</v>
      </c>
      <c r="D23" s="83">
        <f t="shared" si="11"/>
        <v>0</v>
      </c>
      <c r="E23" s="83">
        <f t="shared" si="11"/>
        <v>0</v>
      </c>
      <c r="F23" s="83">
        <f t="shared" si="11"/>
        <v>0</v>
      </c>
      <c r="G23" s="83">
        <f t="shared" si="11"/>
        <v>79255000</v>
      </c>
      <c r="H23" s="83">
        <f t="shared" si="11"/>
        <v>79251000</v>
      </c>
      <c r="I23" s="83">
        <f t="shared" si="11"/>
        <v>0</v>
      </c>
      <c r="J23" s="83">
        <f t="shared" si="11"/>
        <v>0</v>
      </c>
      <c r="K23" s="83">
        <f t="shared" si="11"/>
        <v>58304000</v>
      </c>
      <c r="L23" s="83">
        <f t="shared" si="11"/>
        <v>24221000</v>
      </c>
      <c r="M23" s="83">
        <f t="shared" si="11"/>
        <v>29139000</v>
      </c>
      <c r="N23" s="78"/>
      <c r="O23" s="83">
        <f t="shared" ref="O23:Y23" si="12">O21-O22</f>
        <v>32035000</v>
      </c>
      <c r="P23" s="83">
        <f t="shared" si="12"/>
        <v>56859000</v>
      </c>
      <c r="Q23" s="83">
        <f t="shared" si="12"/>
        <v>55676000</v>
      </c>
      <c r="R23" s="83">
        <f t="shared" si="12"/>
        <v>21289000</v>
      </c>
      <c r="S23" s="83">
        <f t="shared" si="12"/>
        <v>61236000</v>
      </c>
      <c r="T23" s="83">
        <f t="shared" si="12"/>
        <v>40491000</v>
      </c>
      <c r="U23" s="83">
        <f t="shared" si="12"/>
        <v>40343000</v>
      </c>
      <c r="V23" s="83">
        <f t="shared" si="12"/>
        <v>78816000</v>
      </c>
      <c r="W23" s="83">
        <f t="shared" si="12"/>
        <v>179276000</v>
      </c>
      <c r="X23" s="83">
        <f t="shared" si="12"/>
        <v>199634000</v>
      </c>
      <c r="Y23" s="83">
        <f t="shared" si="12"/>
        <v>183818000</v>
      </c>
      <c r="Z23" s="1"/>
      <c r="AA23" s="1"/>
      <c r="AB23" s="1"/>
      <c r="AC23" s="1"/>
      <c r="AD23" s="1"/>
      <c r="AE23" s="1"/>
    </row>
    <row r="24">
      <c r="A24" s="79" t="s">
        <v>84</v>
      </c>
      <c r="B24" s="76"/>
      <c r="C24" s="77"/>
      <c r="D24" s="77"/>
      <c r="E24" s="77"/>
      <c r="F24" s="77"/>
      <c r="G24" s="77"/>
      <c r="H24" s="77"/>
      <c r="I24" s="77"/>
      <c r="J24" s="77"/>
      <c r="K24" s="80">
        <v>1.5406E7</v>
      </c>
      <c r="L24" s="80">
        <v>1.5356E7</v>
      </c>
      <c r="M24" s="80">
        <v>6248000.0</v>
      </c>
      <c r="N24" s="76"/>
      <c r="O24" s="80">
        <v>6039000.0</v>
      </c>
      <c r="P24" s="80">
        <v>1.2234E7</v>
      </c>
      <c r="Q24" s="80">
        <v>9476000.0</v>
      </c>
      <c r="R24" s="80">
        <v>8159000.0</v>
      </c>
      <c r="S24" s="80">
        <v>1.9181E7</v>
      </c>
      <c r="T24" s="80">
        <v>1.0698E7</v>
      </c>
      <c r="U24" s="80">
        <v>6523000.0</v>
      </c>
      <c r="V24" s="80">
        <v>2.3367E7</v>
      </c>
      <c r="W24" s="80">
        <v>6.0456E7</v>
      </c>
      <c r="X24" s="80">
        <v>7.4149E7</v>
      </c>
      <c r="Y24" s="80">
        <v>5.316E7</v>
      </c>
      <c r="Z24" s="30"/>
      <c r="AA24" s="30"/>
      <c r="AB24" s="30"/>
      <c r="AC24" s="30"/>
      <c r="AD24" s="30"/>
      <c r="AE24" s="30"/>
    </row>
    <row r="25">
      <c r="A25" s="93" t="s">
        <v>85</v>
      </c>
      <c r="B25" s="82"/>
      <c r="C25" s="83">
        <f t="shared" ref="C25:M25" si="13">C23-C24</f>
        <v>0</v>
      </c>
      <c r="D25" s="83">
        <f t="shared" si="13"/>
        <v>0</v>
      </c>
      <c r="E25" s="83">
        <f t="shared" si="13"/>
        <v>0</v>
      </c>
      <c r="F25" s="83">
        <f t="shared" si="13"/>
        <v>0</v>
      </c>
      <c r="G25" s="83">
        <f t="shared" si="13"/>
        <v>79255000</v>
      </c>
      <c r="H25" s="83">
        <f t="shared" si="13"/>
        <v>79251000</v>
      </c>
      <c r="I25" s="83">
        <f t="shared" si="13"/>
        <v>0</v>
      </c>
      <c r="J25" s="83">
        <f t="shared" si="13"/>
        <v>0</v>
      </c>
      <c r="K25" s="83">
        <f t="shared" si="13"/>
        <v>42898000</v>
      </c>
      <c r="L25" s="83">
        <f t="shared" si="13"/>
        <v>8865000</v>
      </c>
      <c r="M25" s="83">
        <f t="shared" si="13"/>
        <v>22891000</v>
      </c>
      <c r="N25" s="76"/>
      <c r="O25" s="83">
        <f t="shared" ref="O25:Y25" si="14">O23-O24</f>
        <v>25996000</v>
      </c>
      <c r="P25" s="83">
        <f t="shared" si="14"/>
        <v>44625000</v>
      </c>
      <c r="Q25" s="83">
        <f t="shared" si="14"/>
        <v>46200000</v>
      </c>
      <c r="R25" s="83">
        <f t="shared" si="14"/>
        <v>13130000</v>
      </c>
      <c r="S25" s="83">
        <f t="shared" si="14"/>
        <v>42055000</v>
      </c>
      <c r="T25" s="83">
        <f t="shared" si="14"/>
        <v>29793000</v>
      </c>
      <c r="U25" s="83">
        <f t="shared" si="14"/>
        <v>33820000</v>
      </c>
      <c r="V25" s="83">
        <f t="shared" si="14"/>
        <v>55449000</v>
      </c>
      <c r="W25" s="83">
        <f t="shared" si="14"/>
        <v>118820000</v>
      </c>
      <c r="X25" s="83">
        <f t="shared" si="14"/>
        <v>125485000</v>
      </c>
      <c r="Y25" s="83">
        <f t="shared" si="14"/>
        <v>130658000</v>
      </c>
      <c r="Z25" s="30"/>
      <c r="AA25" s="30"/>
      <c r="AB25" s="30"/>
      <c r="AC25" s="94"/>
      <c r="AD25" s="94"/>
      <c r="AE25" s="94"/>
    </row>
    <row r="26">
      <c r="A26" s="78" t="s">
        <v>86</v>
      </c>
      <c r="B26" s="95"/>
      <c r="C26" s="96" t="str">
        <f t="shared" ref="C26:M26" si="15">C23/C27</f>
        <v>#DIV/0!</v>
      </c>
      <c r="D26" s="96" t="str">
        <f t="shared" si="15"/>
        <v>#DIV/0!</v>
      </c>
      <c r="E26" s="96" t="str">
        <f t="shared" si="15"/>
        <v>#DIV/0!</v>
      </c>
      <c r="F26" s="96" t="str">
        <f t="shared" si="15"/>
        <v>#DIV/0!</v>
      </c>
      <c r="G26" s="96" t="str">
        <f t="shared" si="15"/>
        <v>#DIV/0!</v>
      </c>
      <c r="H26" s="96" t="str">
        <f t="shared" si="15"/>
        <v>#DIV/0!</v>
      </c>
      <c r="I26" s="97" t="str">
        <f t="shared" si="15"/>
        <v>#DIV/0!</v>
      </c>
      <c r="J26" s="97" t="str">
        <f t="shared" si="15"/>
        <v>#DIV/0!</v>
      </c>
      <c r="K26" s="97">
        <f t="shared" si="15"/>
        <v>0.9172818182</v>
      </c>
      <c r="L26" s="97">
        <f t="shared" si="15"/>
        <v>0.4026732142</v>
      </c>
      <c r="M26" s="97">
        <f t="shared" si="15"/>
        <v>0.4938426437</v>
      </c>
      <c r="N26" s="78"/>
      <c r="O26" s="97">
        <f t="shared" ref="O26:P26" si="16">O23/O27</f>
        <v>0.5166935484</v>
      </c>
      <c r="P26" s="97">
        <f t="shared" si="16"/>
        <v>0.8615</v>
      </c>
      <c r="Q26" s="97" t="str">
        <f>Q23/#REF!</f>
        <v>#REF!</v>
      </c>
      <c r="R26" s="97">
        <f>R23/Q27</f>
        <v>0.3130735294</v>
      </c>
      <c r="S26" s="97">
        <f t="shared" ref="S26:Y26" si="17">S23/S27</f>
        <v>0.8874782609</v>
      </c>
      <c r="T26" s="97">
        <f t="shared" si="17"/>
        <v>0.6135</v>
      </c>
      <c r="U26" s="97">
        <f t="shared" si="17"/>
        <v>0.6206615385</v>
      </c>
      <c r="V26" s="97">
        <f t="shared" si="17"/>
        <v>1.271225806</v>
      </c>
      <c r="W26" s="97">
        <f t="shared" si="17"/>
        <v>2.93895082</v>
      </c>
      <c r="X26" s="97">
        <f t="shared" si="17"/>
        <v>3.272688525</v>
      </c>
      <c r="Y26" s="97">
        <f t="shared" si="17"/>
        <v>2.902295317</v>
      </c>
      <c r="Z26" s="1"/>
      <c r="AA26" s="1"/>
      <c r="AB26" s="1"/>
      <c r="AC26" s="1"/>
      <c r="AD26" s="1"/>
      <c r="AE26" s="1"/>
    </row>
    <row r="27">
      <c r="A27" s="78" t="s">
        <v>87</v>
      </c>
      <c r="B27" s="77" t="str">
        <f>MAIN!B4</f>
        <v/>
      </c>
      <c r="C27" s="77" t="str">
        <f>MAIN!C4</f>
        <v/>
      </c>
      <c r="D27" s="77" t="str">
        <f>MAIN!D4</f>
        <v/>
      </c>
      <c r="E27" s="77" t="str">
        <f>MAIN!E4</f>
        <v/>
      </c>
      <c r="F27" s="77" t="str">
        <f>MAIN!F4</f>
        <v/>
      </c>
      <c r="G27" s="77" t="str">
        <f>MAIN!G4</f>
        <v/>
      </c>
      <c r="H27" s="77" t="str">
        <f>MAIN!H4</f>
        <v/>
      </c>
      <c r="I27" s="77" t="str">
        <f>MAIN!I4</f>
        <v/>
      </c>
      <c r="J27" s="77" t="str">
        <f>MAIN!J4</f>
        <v/>
      </c>
      <c r="K27" s="77">
        <f>MAIN!K4</f>
        <v>63561709</v>
      </c>
      <c r="L27" s="77">
        <f>MAIN!L4</f>
        <v>60150512</v>
      </c>
      <c r="M27" s="77">
        <f>MAIN!M4</f>
        <v>59004625</v>
      </c>
      <c r="N27" s="77" t="str">
        <f>MAIN!N4</f>
        <v/>
      </c>
      <c r="O27" s="77">
        <f>MAIN!O4</f>
        <v>62000000</v>
      </c>
      <c r="P27" s="77">
        <f>MAIN!P4</f>
        <v>66000000</v>
      </c>
      <c r="Q27" s="77">
        <f>MAIN!Q4</f>
        <v>68000000</v>
      </c>
      <c r="R27" s="77">
        <f>MAIN!R4</f>
        <v>69000000</v>
      </c>
      <c r="S27" s="77">
        <f>MAIN!S4</f>
        <v>69000000</v>
      </c>
      <c r="T27" s="77">
        <f>MAIN!T4</f>
        <v>66000000</v>
      </c>
      <c r="U27" s="77">
        <f>MAIN!U4</f>
        <v>65000000</v>
      </c>
      <c r="V27" s="77">
        <f>MAIN!V4</f>
        <v>62000000</v>
      </c>
      <c r="W27" s="77">
        <f>MAIN!W4</f>
        <v>61000000</v>
      </c>
      <c r="X27" s="77">
        <f>MAIN!X4</f>
        <v>61000000</v>
      </c>
      <c r="Y27" s="77">
        <f>MAIN!Y4</f>
        <v>63335388</v>
      </c>
      <c r="Z27" s="1"/>
      <c r="AA27" s="1"/>
      <c r="AB27" s="1"/>
      <c r="AC27" s="1"/>
      <c r="AD27" s="1"/>
      <c r="AE27" s="1"/>
    </row>
    <row r="28">
      <c r="A28" s="7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7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1"/>
      <c r="AA28" s="99" t="s">
        <v>88</v>
      </c>
      <c r="AB28" s="100" t="s">
        <v>89</v>
      </c>
      <c r="AC28" s="1"/>
      <c r="AD28" s="1"/>
      <c r="AE28" s="1"/>
    </row>
    <row r="29">
      <c r="A29" s="101" t="s">
        <v>90</v>
      </c>
      <c r="B29" s="102" t="str">
        <f t="shared" ref="B29:M29" si="18">(B7-A7)/A7</f>
        <v>#VALUE!</v>
      </c>
      <c r="C29" s="102" t="str">
        <f t="shared" si="18"/>
        <v>#DIV/0!</v>
      </c>
      <c r="D29" s="102" t="str">
        <f t="shared" si="18"/>
        <v>#DIV/0!</v>
      </c>
      <c r="E29" s="102" t="str">
        <f t="shared" si="18"/>
        <v>#DIV/0!</v>
      </c>
      <c r="F29" s="102" t="str">
        <f t="shared" si="18"/>
        <v>#DIV/0!</v>
      </c>
      <c r="G29" s="102" t="str">
        <f t="shared" si="18"/>
        <v>#DIV/0!</v>
      </c>
      <c r="H29" s="102">
        <f t="shared" si="18"/>
        <v>0.003078572947</v>
      </c>
      <c r="I29" s="102">
        <f t="shared" si="18"/>
        <v>-1</v>
      </c>
      <c r="J29" s="102" t="str">
        <f t="shared" si="18"/>
        <v>#DIV/0!</v>
      </c>
      <c r="K29" s="102" t="str">
        <f t="shared" si="18"/>
        <v>#DIV/0!</v>
      </c>
      <c r="L29" s="103">
        <f t="shared" si="18"/>
        <v>-0.005402143887</v>
      </c>
      <c r="M29" s="103">
        <f t="shared" si="18"/>
        <v>-0.002834230682</v>
      </c>
      <c r="N29" s="78"/>
      <c r="O29" s="104"/>
      <c r="P29" s="103">
        <f t="shared" ref="P29:Y29" si="19">(P7-O7)/ABS(O7)</f>
        <v>0.1507682311</v>
      </c>
      <c r="Q29" s="103">
        <f t="shared" si="19"/>
        <v>-0.07773661499</v>
      </c>
      <c r="R29" s="103">
        <f t="shared" si="19"/>
        <v>-0.06779934472</v>
      </c>
      <c r="S29" s="103">
        <f t="shared" si="19"/>
        <v>0.187712735</v>
      </c>
      <c r="T29" s="103">
        <f t="shared" si="19"/>
        <v>0.02874031341</v>
      </c>
      <c r="U29" s="103">
        <f t="shared" si="19"/>
        <v>0.1072004504</v>
      </c>
      <c r="V29" s="103">
        <f t="shared" si="19"/>
        <v>0.08868426793</v>
      </c>
      <c r="W29" s="103">
        <f t="shared" si="19"/>
        <v>0.2422377934</v>
      </c>
      <c r="X29" s="103">
        <f t="shared" si="19"/>
        <v>0.08189567873</v>
      </c>
      <c r="Y29" s="103">
        <f t="shared" si="19"/>
        <v>-0.02817024558</v>
      </c>
      <c r="Z29" s="1"/>
      <c r="AA29" s="105">
        <f>AVERAGE(P29:Y29)</f>
        <v>0.07135332647</v>
      </c>
      <c r="AB29" s="106">
        <f>STDEV(P29:Y29)</f>
        <v>0.1075258862</v>
      </c>
      <c r="AC29" s="1"/>
      <c r="AD29" s="1"/>
      <c r="AE29" s="1"/>
    </row>
    <row r="30">
      <c r="A30" s="107" t="s">
        <v>91</v>
      </c>
      <c r="B30" s="108" t="str">
        <f t="shared" ref="B30:M30" si="20">B9/B7</f>
        <v>#DIV/0!</v>
      </c>
      <c r="C30" s="108" t="str">
        <f t="shared" si="20"/>
        <v>#DIV/0!</v>
      </c>
      <c r="D30" s="108" t="str">
        <f t="shared" si="20"/>
        <v>#DIV/0!</v>
      </c>
      <c r="E30" s="108" t="str">
        <f t="shared" si="20"/>
        <v>#DIV/0!</v>
      </c>
      <c r="F30" s="108" t="str">
        <f t="shared" si="20"/>
        <v>#DIV/0!</v>
      </c>
      <c r="G30" s="108">
        <f t="shared" si="20"/>
        <v>0.3663548032</v>
      </c>
      <c r="H30" s="108">
        <f t="shared" si="20"/>
        <v>0.3652119816</v>
      </c>
      <c r="I30" s="108" t="str">
        <f t="shared" si="20"/>
        <v>#DIV/0!</v>
      </c>
      <c r="J30" s="108" t="str">
        <f t="shared" si="20"/>
        <v>#DIV/0!</v>
      </c>
      <c r="K30" s="108">
        <f t="shared" si="20"/>
        <v>0.3560653914</v>
      </c>
      <c r="L30" s="108">
        <f t="shared" si="20"/>
        <v>0.3692367483</v>
      </c>
      <c r="M30" s="108">
        <f t="shared" si="20"/>
        <v>0.3367729118</v>
      </c>
      <c r="N30" s="78"/>
      <c r="O30" s="108">
        <f t="shared" ref="O30:Y30" si="21">O9/O7</f>
        <v>0.2202855155</v>
      </c>
      <c r="P30" s="108">
        <f t="shared" si="21"/>
        <v>0.2730529601</v>
      </c>
      <c r="Q30" s="108">
        <f t="shared" si="21"/>
        <v>0.2455363053</v>
      </c>
      <c r="R30" s="108">
        <f t="shared" si="21"/>
        <v>0.202616946</v>
      </c>
      <c r="S30" s="108">
        <f t="shared" si="21"/>
        <v>0.2456732601</v>
      </c>
      <c r="T30" s="108">
        <f t="shared" si="21"/>
        <v>0.219447572</v>
      </c>
      <c r="U30" s="108">
        <f t="shared" si="21"/>
        <v>0.2208561386</v>
      </c>
      <c r="V30" s="108">
        <f t="shared" si="21"/>
        <v>0.2516628726</v>
      </c>
      <c r="W30" s="108">
        <f t="shared" si="21"/>
        <v>0.3568168781</v>
      </c>
      <c r="X30" s="108">
        <f t="shared" si="21"/>
        <v>0.376831122</v>
      </c>
      <c r="Y30" s="108">
        <f t="shared" si="21"/>
        <v>0.3644356165</v>
      </c>
      <c r="Z30" s="1"/>
      <c r="AA30" s="1"/>
      <c r="AB30" s="1"/>
      <c r="AC30" s="1"/>
      <c r="AD30" s="1"/>
      <c r="AE30" s="1"/>
    </row>
    <row r="31">
      <c r="A31" s="107" t="s">
        <v>92</v>
      </c>
      <c r="B31" s="108" t="str">
        <f t="shared" ref="B31:M31" si="22">B14/B7</f>
        <v>#DIV/0!</v>
      </c>
      <c r="C31" s="108" t="str">
        <f t="shared" si="22"/>
        <v>#DIV/0!</v>
      </c>
      <c r="D31" s="108" t="str">
        <f t="shared" si="22"/>
        <v>#DIV/0!</v>
      </c>
      <c r="E31" s="108" t="str">
        <f t="shared" si="22"/>
        <v>#DIV/0!</v>
      </c>
      <c r="F31" s="108" t="str">
        <f t="shared" si="22"/>
        <v>#DIV/0!</v>
      </c>
      <c r="G31" s="108">
        <f t="shared" si="22"/>
        <v>0.3663548032</v>
      </c>
      <c r="H31" s="108">
        <f t="shared" si="22"/>
        <v>0.3652119816</v>
      </c>
      <c r="I31" s="108" t="str">
        <f t="shared" si="22"/>
        <v>#DIV/0!</v>
      </c>
      <c r="J31" s="108" t="str">
        <f t="shared" si="22"/>
        <v>#DIV/0!</v>
      </c>
      <c r="K31" s="108">
        <f t="shared" si="22"/>
        <v>0.2459578199</v>
      </c>
      <c r="L31" s="108">
        <f t="shared" si="22"/>
        <v>0.2640716236</v>
      </c>
      <c r="M31" s="108">
        <f t="shared" si="22"/>
        <v>0.2289086191</v>
      </c>
      <c r="N31" s="78"/>
      <c r="O31" s="108">
        <f t="shared" ref="O31:Y31" si="23">O14/O7</f>
        <v>0.06321249893</v>
      </c>
      <c r="P31" s="108">
        <f t="shared" si="23"/>
        <v>0.1377950653</v>
      </c>
      <c r="Q31" s="108">
        <f t="shared" si="23"/>
        <v>0.1085414185</v>
      </c>
      <c r="R31" s="108">
        <f t="shared" si="23"/>
        <v>0.07071123951</v>
      </c>
      <c r="S31" s="108">
        <f t="shared" si="23"/>
        <v>0.1226040398</v>
      </c>
      <c r="T31" s="108">
        <f t="shared" si="23"/>
        <v>0.0946518723</v>
      </c>
      <c r="U31" s="108">
        <f t="shared" si="23"/>
        <v>0.1048531141</v>
      </c>
      <c r="V31" s="108">
        <f t="shared" si="23"/>
        <v>0.1424518765</v>
      </c>
      <c r="W31" s="108">
        <f t="shared" si="23"/>
        <v>0.2569889722</v>
      </c>
      <c r="X31" s="108">
        <f t="shared" si="23"/>
        <v>0.2836641721</v>
      </c>
      <c r="Y31" s="108">
        <f t="shared" si="23"/>
        <v>0.2555153377</v>
      </c>
      <c r="Z31" s="1"/>
      <c r="AA31" s="1"/>
      <c r="AB31" s="1"/>
      <c r="AC31" s="1"/>
      <c r="AD31" s="1"/>
      <c r="AE31" s="1"/>
    </row>
    <row r="32">
      <c r="A32" s="109" t="s">
        <v>93</v>
      </c>
      <c r="B32" s="110" t="str">
        <f t="shared" ref="B32:M32" si="24">B23/B7</f>
        <v>#DIV/0!</v>
      </c>
      <c r="C32" s="110" t="str">
        <f t="shared" si="24"/>
        <v>#DIV/0!</v>
      </c>
      <c r="D32" s="110" t="str">
        <f t="shared" si="24"/>
        <v>#DIV/0!</v>
      </c>
      <c r="E32" s="110" t="str">
        <f t="shared" si="24"/>
        <v>#DIV/0!</v>
      </c>
      <c r="F32" s="110" t="str">
        <f t="shared" si="24"/>
        <v>#DIV/0!</v>
      </c>
      <c r="G32" s="110">
        <f t="shared" si="24"/>
        <v>0.3663548032</v>
      </c>
      <c r="H32" s="110">
        <f t="shared" si="24"/>
        <v>0.3652119816</v>
      </c>
      <c r="I32" s="110" t="str">
        <f t="shared" si="24"/>
        <v>#DIV/0!</v>
      </c>
      <c r="J32" s="110" t="str">
        <f t="shared" si="24"/>
        <v>#DIV/0!</v>
      </c>
      <c r="K32" s="110">
        <f t="shared" si="24"/>
        <v>0.2748399627</v>
      </c>
      <c r="L32" s="110">
        <f t="shared" si="24"/>
        <v>0.1147958216</v>
      </c>
      <c r="M32" s="110">
        <f t="shared" si="24"/>
        <v>0.1384972956</v>
      </c>
      <c r="N32" s="78"/>
      <c r="O32" s="110">
        <f t="shared" ref="O32:Y32" si="25">O23/O7</f>
        <v>0.07032513989</v>
      </c>
      <c r="P32" s="110">
        <f t="shared" si="25"/>
        <v>0.1084669004</v>
      </c>
      <c r="Q32" s="110">
        <f t="shared" si="25"/>
        <v>0.1151624967</v>
      </c>
      <c r="R32" s="110">
        <f t="shared" si="25"/>
        <v>0.04723771739</v>
      </c>
      <c r="S32" s="110">
        <f t="shared" si="25"/>
        <v>0.1144007951</v>
      </c>
      <c r="T32" s="110">
        <f t="shared" si="25"/>
        <v>0.07353176189</v>
      </c>
      <c r="U32" s="110">
        <f t="shared" si="25"/>
        <v>0.06616958426</v>
      </c>
      <c r="V32" s="110">
        <f t="shared" si="25"/>
        <v>0.118741535</v>
      </c>
      <c r="W32" s="110">
        <f t="shared" si="25"/>
        <v>0.2174231004</v>
      </c>
      <c r="X32" s="110">
        <f t="shared" si="25"/>
        <v>0.2237858658</v>
      </c>
      <c r="Y32" s="110">
        <f t="shared" si="25"/>
        <v>0.2120293536</v>
      </c>
      <c r="Z32" s="1"/>
      <c r="AA32" s="99" t="s">
        <v>94</v>
      </c>
      <c r="AB32" s="100" t="s">
        <v>89</v>
      </c>
      <c r="AC32" s="1"/>
      <c r="AD32" s="1"/>
      <c r="AE32" s="1"/>
    </row>
    <row r="33">
      <c r="A33" s="111" t="s">
        <v>95</v>
      </c>
      <c r="B33" s="112"/>
      <c r="C33" s="113" t="str">
        <f t="shared" ref="C33:M33" si="26">(C23-B23)/ABS(B23)</f>
        <v>#DIV/0!</v>
      </c>
      <c r="D33" s="110" t="str">
        <f t="shared" si="26"/>
        <v>#DIV/0!</v>
      </c>
      <c r="E33" s="110" t="str">
        <f t="shared" si="26"/>
        <v>#DIV/0!</v>
      </c>
      <c r="F33" s="110" t="str">
        <f t="shared" si="26"/>
        <v>#DIV/0!</v>
      </c>
      <c r="G33" s="110" t="str">
        <f t="shared" si="26"/>
        <v>#DIV/0!</v>
      </c>
      <c r="H33" s="110">
        <f t="shared" si="26"/>
        <v>-0.00005047000189</v>
      </c>
      <c r="I33" s="110">
        <f t="shared" si="26"/>
        <v>-1</v>
      </c>
      <c r="J33" s="110" t="str">
        <f t="shared" si="26"/>
        <v>#DIV/0!</v>
      </c>
      <c r="K33" s="110" t="str">
        <f t="shared" si="26"/>
        <v>#DIV/0!</v>
      </c>
      <c r="L33" s="110">
        <f t="shared" si="26"/>
        <v>-0.5845739572</v>
      </c>
      <c r="M33" s="110">
        <f t="shared" si="26"/>
        <v>0.2030469427</v>
      </c>
      <c r="N33" s="98"/>
      <c r="O33" s="112"/>
      <c r="P33" s="110">
        <f t="shared" ref="P33:Y33" si="27">(P23-O23)/ABS(O23)</f>
        <v>0.7749024504</v>
      </c>
      <c r="Q33" s="110">
        <f t="shared" si="27"/>
        <v>-0.02080585308</v>
      </c>
      <c r="R33" s="110">
        <f t="shared" si="27"/>
        <v>-0.6176269847</v>
      </c>
      <c r="S33" s="110">
        <f t="shared" si="27"/>
        <v>1.87641505</v>
      </c>
      <c r="T33" s="110">
        <f t="shared" si="27"/>
        <v>-0.338771311</v>
      </c>
      <c r="U33" s="110">
        <f t="shared" si="27"/>
        <v>-0.003655133239</v>
      </c>
      <c r="V33" s="110">
        <f t="shared" si="27"/>
        <v>0.9536474729</v>
      </c>
      <c r="W33" s="110">
        <f t="shared" si="27"/>
        <v>1.274614292</v>
      </c>
      <c r="X33" s="110">
        <f t="shared" si="27"/>
        <v>0.1135567505</v>
      </c>
      <c r="Y33" s="110">
        <f t="shared" si="27"/>
        <v>-0.07922498172</v>
      </c>
      <c r="Z33" s="46"/>
      <c r="AA33" s="105">
        <f>AVERAGE(P33:Y33)</f>
        <v>0.3933051752</v>
      </c>
      <c r="AB33" s="106">
        <f>STDEV(P33:Y33)</f>
        <v>0.7905307503</v>
      </c>
      <c r="AC33" s="46"/>
      <c r="AD33" s="46"/>
      <c r="AE33" s="46"/>
    </row>
    <row r="34">
      <c r="A34" s="78"/>
      <c r="B34" s="78"/>
      <c r="C34" s="114" t="s">
        <v>96</v>
      </c>
      <c r="M34" s="114" t="s">
        <v>96</v>
      </c>
      <c r="W34" s="78"/>
      <c r="X34" s="78"/>
      <c r="Y34" s="115"/>
      <c r="Z34" s="1"/>
      <c r="AA34" s="1"/>
      <c r="AB34" s="1"/>
      <c r="AC34" s="1"/>
      <c r="AD34" s="1"/>
      <c r="AE34" s="1"/>
    </row>
    <row r="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78"/>
      <c r="O35" s="117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"/>
      <c r="AA35" s="1"/>
      <c r="AB35" s="1"/>
      <c r="AC35" s="1"/>
      <c r="AD35" s="1"/>
      <c r="AE35" s="1"/>
    </row>
    <row r="36">
      <c r="A36" s="119" t="s">
        <v>97</v>
      </c>
      <c r="B36" s="120" t="str">
        <f t="shared" ref="B36:L36" si="28">B23</f>
        <v/>
      </c>
      <c r="C36" s="120">
        <f t="shared" si="28"/>
        <v>0</v>
      </c>
      <c r="D36" s="120">
        <f t="shared" si="28"/>
        <v>0</v>
      </c>
      <c r="E36" s="120">
        <f t="shared" si="28"/>
        <v>0</v>
      </c>
      <c r="F36" s="120">
        <f t="shared" si="28"/>
        <v>0</v>
      </c>
      <c r="G36" s="120">
        <f t="shared" si="28"/>
        <v>79255000</v>
      </c>
      <c r="H36" s="120">
        <f t="shared" si="28"/>
        <v>79251000</v>
      </c>
      <c r="I36" s="120">
        <f t="shared" si="28"/>
        <v>0</v>
      </c>
      <c r="J36" s="120">
        <f t="shared" si="28"/>
        <v>0</v>
      </c>
      <c r="K36" s="120">
        <f t="shared" si="28"/>
        <v>58304000</v>
      </c>
      <c r="L36" s="120">
        <f t="shared" si="28"/>
        <v>24221000</v>
      </c>
      <c r="M36" s="120">
        <v>2.9139E7</v>
      </c>
      <c r="N36" s="120"/>
      <c r="O36" s="120">
        <f t="shared" ref="O36:Y36" si="29">O23</f>
        <v>32035000</v>
      </c>
      <c r="P36" s="120">
        <f t="shared" si="29"/>
        <v>56859000</v>
      </c>
      <c r="Q36" s="120">
        <f t="shared" si="29"/>
        <v>55676000</v>
      </c>
      <c r="R36" s="120">
        <f t="shared" si="29"/>
        <v>21289000</v>
      </c>
      <c r="S36" s="120">
        <f t="shared" si="29"/>
        <v>61236000</v>
      </c>
      <c r="T36" s="120">
        <f t="shared" si="29"/>
        <v>40491000</v>
      </c>
      <c r="U36" s="120">
        <f t="shared" si="29"/>
        <v>40343000</v>
      </c>
      <c r="V36" s="120">
        <f t="shared" si="29"/>
        <v>78816000</v>
      </c>
      <c r="W36" s="120">
        <f t="shared" si="29"/>
        <v>179276000</v>
      </c>
      <c r="X36" s="120">
        <f t="shared" si="29"/>
        <v>199634000</v>
      </c>
      <c r="Y36" s="120">
        <f t="shared" si="29"/>
        <v>183818000</v>
      </c>
      <c r="Z36" s="1"/>
      <c r="AA36" s="1"/>
      <c r="AB36" s="1"/>
      <c r="AC36" s="1"/>
      <c r="AD36" s="1"/>
      <c r="AE36" s="1"/>
    </row>
    <row r="37">
      <c r="A37" s="75" t="s">
        <v>98</v>
      </c>
      <c r="B37" s="76"/>
      <c r="C37" s="77"/>
      <c r="D37" s="77"/>
      <c r="E37" s="76"/>
      <c r="F37" s="76"/>
      <c r="G37" s="77"/>
      <c r="H37" s="77"/>
      <c r="I37" s="77"/>
      <c r="J37" s="77"/>
      <c r="K37" s="80">
        <v>2.0792E7</v>
      </c>
      <c r="L37" s="77">
        <f>40386000-K37</f>
        <v>19594000</v>
      </c>
      <c r="M37" s="77">
        <v>1.8848E7</v>
      </c>
      <c r="N37" s="79"/>
      <c r="O37" s="79">
        <v>7.2859E7</v>
      </c>
      <c r="P37" s="79">
        <v>7.5684E7</v>
      </c>
      <c r="Q37" s="79">
        <v>7.7613E7</v>
      </c>
      <c r="R37" s="79">
        <v>8.1699E7</v>
      </c>
      <c r="S37" s="79">
        <v>7.9536E7</v>
      </c>
      <c r="T37" s="79">
        <v>7.9238E7</v>
      </c>
      <c r="U37" s="79">
        <v>8.9171E7</v>
      </c>
      <c r="V37" s="80">
        <v>8.7535E7</v>
      </c>
      <c r="W37" s="80">
        <v>7.9971E7</v>
      </c>
      <c r="X37" s="80">
        <v>8.0473E7</v>
      </c>
      <c r="Y37" s="80">
        <v>8.2433E7</v>
      </c>
      <c r="Z37" s="1"/>
      <c r="AA37" s="1"/>
      <c r="AB37" s="1"/>
      <c r="AC37" s="1"/>
      <c r="AD37" s="1"/>
      <c r="AE37" s="1"/>
    </row>
    <row r="38">
      <c r="A38" s="75" t="s">
        <v>99</v>
      </c>
      <c r="B38" s="76"/>
      <c r="C38" s="77"/>
      <c r="D38" s="77"/>
      <c r="E38" s="76"/>
      <c r="F38" s="76"/>
      <c r="G38" s="77"/>
      <c r="H38" s="77"/>
      <c r="I38" s="77"/>
      <c r="J38" s="77"/>
      <c r="K38" s="80">
        <v>0.0</v>
      </c>
      <c r="L38" s="80">
        <v>0.0</v>
      </c>
      <c r="M38" s="77">
        <v>0.0</v>
      </c>
      <c r="N38" s="121"/>
      <c r="O38" s="79">
        <v>7277000.0</v>
      </c>
      <c r="P38" s="79">
        <v>6729000.0</v>
      </c>
      <c r="Q38" s="79">
        <v>5228000.0</v>
      </c>
      <c r="R38" s="79">
        <v>7874000.0</v>
      </c>
      <c r="S38" s="79">
        <v>4797000.0</v>
      </c>
      <c r="T38" s="80">
        <v>4641000.0</v>
      </c>
      <c r="U38" s="80">
        <v>4643000.0</v>
      </c>
      <c r="V38" s="80">
        <v>2861000.0</v>
      </c>
      <c r="W38" s="80">
        <v>359000.0</v>
      </c>
      <c r="X38" s="80">
        <v>362000.0</v>
      </c>
      <c r="Y38" s="80">
        <v>372000.0</v>
      </c>
      <c r="Z38" s="1"/>
      <c r="AA38" s="1"/>
      <c r="AB38" s="1"/>
      <c r="AC38" s="1"/>
      <c r="AD38" s="1"/>
      <c r="AE38" s="1"/>
    </row>
    <row r="39">
      <c r="A39" s="75" t="s">
        <v>100</v>
      </c>
      <c r="B39" s="76"/>
      <c r="C39" s="77"/>
      <c r="D39" s="77"/>
      <c r="E39" s="76"/>
      <c r="F39" s="76"/>
      <c r="G39" s="77"/>
      <c r="H39" s="77"/>
      <c r="I39" s="77"/>
      <c r="J39" s="77"/>
      <c r="K39" s="80">
        <v>0.0</v>
      </c>
      <c r="L39" s="80">
        <v>0.0</v>
      </c>
      <c r="M39" s="77">
        <v>0.0</v>
      </c>
      <c r="N39" s="79"/>
      <c r="O39" s="79">
        <v>0.0</v>
      </c>
      <c r="P39" s="79">
        <v>0.0</v>
      </c>
      <c r="Q39" s="79">
        <v>-8940000.0</v>
      </c>
      <c r="R39" s="79">
        <v>0.0</v>
      </c>
      <c r="S39" s="79">
        <v>0.0</v>
      </c>
      <c r="T39" s="79">
        <v>0.0</v>
      </c>
      <c r="U39" s="79">
        <v>0.0</v>
      </c>
      <c r="V39" s="79">
        <v>0.0</v>
      </c>
      <c r="W39" s="79">
        <v>0.0</v>
      </c>
      <c r="X39" s="79">
        <v>0.0</v>
      </c>
      <c r="Y39" s="79">
        <v>0.0</v>
      </c>
      <c r="Z39" s="1"/>
      <c r="AA39" s="1"/>
      <c r="AB39" s="1"/>
      <c r="AC39" s="1"/>
      <c r="AD39" s="1"/>
      <c r="AE39" s="1"/>
    </row>
    <row r="40">
      <c r="A40" s="75" t="s">
        <v>78</v>
      </c>
      <c r="B40" s="76"/>
      <c r="C40" s="77"/>
      <c r="D40" s="77"/>
      <c r="E40" s="76"/>
      <c r="F40" s="76"/>
      <c r="G40" s="77"/>
      <c r="H40" s="77"/>
      <c r="I40" s="77"/>
      <c r="J40" s="77"/>
      <c r="K40" s="80">
        <v>0.0</v>
      </c>
      <c r="L40" s="80">
        <v>0.0</v>
      </c>
      <c r="M40" s="77">
        <v>0.0</v>
      </c>
      <c r="N40" s="79"/>
      <c r="O40" s="79">
        <v>-1.6372E7</v>
      </c>
      <c r="P40" s="79">
        <v>0.0</v>
      </c>
      <c r="Q40" s="122">
        <v>0.0</v>
      </c>
      <c r="R40" s="122">
        <v>0.0</v>
      </c>
      <c r="S40" s="122">
        <v>0.0</v>
      </c>
      <c r="T40" s="122">
        <v>0.0</v>
      </c>
      <c r="U40" s="122">
        <v>0.0</v>
      </c>
      <c r="V40" s="122">
        <v>0.0</v>
      </c>
      <c r="W40" s="122">
        <v>0.0</v>
      </c>
      <c r="X40" s="122">
        <v>0.0</v>
      </c>
      <c r="Y40" s="122">
        <v>0.0</v>
      </c>
      <c r="Z40" s="1"/>
      <c r="AA40" s="1"/>
      <c r="AB40" s="1"/>
      <c r="AC40" s="1"/>
      <c r="AD40" s="1"/>
      <c r="AE40" s="1"/>
    </row>
    <row r="41">
      <c r="A41" s="75" t="s">
        <v>101</v>
      </c>
      <c r="B41" s="76"/>
      <c r="C41" s="77"/>
      <c r="D41" s="77"/>
      <c r="E41" s="76"/>
      <c r="F41" s="76"/>
      <c r="G41" s="77"/>
      <c r="H41" s="77"/>
      <c r="I41" s="77"/>
      <c r="J41" s="77"/>
      <c r="K41" s="80">
        <v>3334000.0</v>
      </c>
      <c r="L41" s="77">
        <f>6710000-K41</f>
        <v>3376000</v>
      </c>
      <c r="M41" s="77">
        <v>3293000.0</v>
      </c>
      <c r="N41" s="79"/>
      <c r="O41" s="122">
        <v>4071000.0</v>
      </c>
      <c r="P41" s="79">
        <v>3689000.0</v>
      </c>
      <c r="Q41" s="122">
        <v>3827000.0</v>
      </c>
      <c r="R41" s="80">
        <v>3627000.0</v>
      </c>
      <c r="S41" s="80">
        <v>3180000.0</v>
      </c>
      <c r="T41" s="80">
        <v>3680000.0</v>
      </c>
      <c r="U41" s="80">
        <v>4927000.0</v>
      </c>
      <c r="V41" s="80">
        <v>5348000.0</v>
      </c>
      <c r="W41" s="80">
        <v>6308000.0</v>
      </c>
      <c r="X41" s="80">
        <v>8001000.0</v>
      </c>
      <c r="Y41" s="80">
        <v>1.389E7</v>
      </c>
      <c r="Z41" s="1"/>
      <c r="AA41" s="1"/>
      <c r="AB41" s="1"/>
      <c r="AC41" s="1"/>
      <c r="AD41" s="1"/>
      <c r="AE41" s="1"/>
    </row>
    <row r="42">
      <c r="A42" s="75" t="s">
        <v>102</v>
      </c>
      <c r="B42" s="76"/>
      <c r="C42" s="77"/>
      <c r="D42" s="77"/>
      <c r="E42" s="76"/>
      <c r="F42" s="76"/>
      <c r="G42" s="77"/>
      <c r="H42" s="77"/>
      <c r="I42" s="77"/>
      <c r="J42" s="77"/>
      <c r="K42" s="80">
        <v>0.0</v>
      </c>
      <c r="L42" s="80">
        <v>0.0</v>
      </c>
      <c r="M42" s="77">
        <v>0.0</v>
      </c>
      <c r="N42" s="79"/>
      <c r="O42" s="79">
        <v>4215000.0</v>
      </c>
      <c r="P42" s="79">
        <v>3401000.0</v>
      </c>
      <c r="Q42" s="79">
        <v>-3816000.0</v>
      </c>
      <c r="R42" s="79">
        <v>1633000.0</v>
      </c>
      <c r="S42" s="79">
        <v>-273000.0</v>
      </c>
      <c r="T42" s="80">
        <v>-3662000.0</v>
      </c>
      <c r="U42" s="80">
        <v>-444000.0</v>
      </c>
      <c r="V42" s="80">
        <v>-2100000.0</v>
      </c>
      <c r="W42" s="80">
        <v>809000.0</v>
      </c>
      <c r="X42" s="80">
        <v>-927000.0</v>
      </c>
      <c r="Y42" s="80">
        <v>-1389000.0</v>
      </c>
      <c r="Z42" s="1"/>
      <c r="AA42" s="1"/>
      <c r="AB42" s="1"/>
      <c r="AC42" s="1"/>
      <c r="AD42" s="1"/>
      <c r="AE42" s="1"/>
    </row>
    <row r="43">
      <c r="A43" s="75" t="s">
        <v>103</v>
      </c>
      <c r="B43" s="76"/>
      <c r="C43" s="77"/>
      <c r="D43" s="77"/>
      <c r="E43" s="76"/>
      <c r="F43" s="76"/>
      <c r="G43" s="77"/>
      <c r="H43" s="77"/>
      <c r="I43" s="77"/>
      <c r="J43" s="77"/>
      <c r="K43" s="122">
        <v>7869000.0</v>
      </c>
      <c r="L43" s="77">
        <f>4293000-K43</f>
        <v>-3576000</v>
      </c>
      <c r="M43" s="77">
        <v>8085000.0</v>
      </c>
      <c r="N43" s="79"/>
      <c r="O43" s="79">
        <v>5271000.0</v>
      </c>
      <c r="P43" s="79">
        <v>-2.1815E7</v>
      </c>
      <c r="Q43" s="79">
        <v>1.8807E7</v>
      </c>
      <c r="R43" s="79">
        <v>-9625000.0</v>
      </c>
      <c r="S43" s="79">
        <v>-1.8553E7</v>
      </c>
      <c r="T43" s="80">
        <v>-1.2321E7</v>
      </c>
      <c r="U43" s="80">
        <v>6986000.0</v>
      </c>
      <c r="V43" s="80">
        <v>-3.662E7</v>
      </c>
      <c r="W43" s="80">
        <v>-5.1233E7</v>
      </c>
      <c r="X43" s="80">
        <v>4026000.0</v>
      </c>
      <c r="Y43" s="80">
        <v>-2541000.0</v>
      </c>
      <c r="Z43" s="1"/>
      <c r="AA43" s="1"/>
      <c r="AB43" s="1"/>
      <c r="AC43" s="1"/>
      <c r="AD43" s="1"/>
      <c r="AE43" s="1"/>
    </row>
    <row r="44">
      <c r="A44" s="75" t="s">
        <v>104</v>
      </c>
      <c r="B44" s="76"/>
      <c r="C44" s="77"/>
      <c r="D44" s="77"/>
      <c r="E44" s="76"/>
      <c r="F44" s="76"/>
      <c r="G44" s="77"/>
      <c r="H44" s="77"/>
      <c r="I44" s="77"/>
      <c r="J44" s="77"/>
      <c r="K44" s="80">
        <v>-2533000.0</v>
      </c>
      <c r="L44" s="77">
        <f>-4694-K44</f>
        <v>2528306</v>
      </c>
      <c r="M44" s="77">
        <v>-6089306.0</v>
      </c>
      <c r="N44" s="79"/>
      <c r="O44" s="79">
        <v>-2552000.0</v>
      </c>
      <c r="P44" s="79">
        <v>-2893000.0</v>
      </c>
      <c r="Q44" s="79">
        <v>2268000.0</v>
      </c>
      <c r="R44" s="79">
        <v>-602000.0</v>
      </c>
      <c r="S44" s="79">
        <v>-6162000.0</v>
      </c>
      <c r="T44" s="80">
        <v>-2.3088E7</v>
      </c>
      <c r="U44" s="80">
        <v>-6938000.0</v>
      </c>
      <c r="V44" s="80">
        <v>2987000.0</v>
      </c>
      <c r="W44" s="80">
        <v>-2039000.0</v>
      </c>
      <c r="X44" s="80">
        <v>1236000.0</v>
      </c>
      <c r="Y44" s="80">
        <v>-6154000.0</v>
      </c>
      <c r="Z44" s="1"/>
      <c r="AA44" s="1"/>
      <c r="AB44" s="1"/>
      <c r="AC44" s="1"/>
      <c r="AD44" s="1"/>
      <c r="AE44" s="1"/>
    </row>
    <row r="45">
      <c r="A45" s="75" t="s">
        <v>105</v>
      </c>
      <c r="B45" s="76"/>
      <c r="C45" s="77"/>
      <c r="D45" s="77"/>
      <c r="E45" s="76"/>
      <c r="F45" s="76"/>
      <c r="G45" s="77"/>
      <c r="H45" s="77"/>
      <c r="I45" s="77"/>
      <c r="J45" s="77"/>
      <c r="K45" s="80">
        <v>-522000.0</v>
      </c>
      <c r="L45" s="77">
        <f>-6932000-K45</f>
        <v>-6410000</v>
      </c>
      <c r="M45" s="77">
        <v>-1075000.0</v>
      </c>
      <c r="N45" s="79"/>
      <c r="O45" s="79">
        <v>1781000.0</v>
      </c>
      <c r="P45" s="79">
        <v>-2557000.0</v>
      </c>
      <c r="Q45" s="79">
        <v>7936000.0</v>
      </c>
      <c r="R45" s="79">
        <v>1127000.0</v>
      </c>
      <c r="S45" s="79">
        <v>-1.1731E7</v>
      </c>
      <c r="T45" s="80">
        <v>-8531000.0</v>
      </c>
      <c r="U45" s="80">
        <v>7849000.0</v>
      </c>
      <c r="V45" s="80">
        <v>-1.3472E7</v>
      </c>
      <c r="W45" s="80">
        <v>1204000.0</v>
      </c>
      <c r="X45" s="80">
        <v>9665000.0</v>
      </c>
      <c r="Y45" s="80">
        <v>628000.0</v>
      </c>
      <c r="Z45" s="1"/>
      <c r="AA45" s="1"/>
      <c r="AB45" s="1"/>
      <c r="AC45" s="1"/>
      <c r="AD45" s="1"/>
      <c r="AE45" s="1"/>
    </row>
    <row r="46">
      <c r="A46" s="75" t="s">
        <v>106</v>
      </c>
      <c r="B46" s="76"/>
      <c r="C46" s="77"/>
      <c r="D46" s="77"/>
      <c r="E46" s="76"/>
      <c r="F46" s="76"/>
      <c r="G46" s="77"/>
      <c r="H46" s="77"/>
      <c r="I46" s="77"/>
      <c r="J46" s="77"/>
      <c r="K46" s="80">
        <v>-8731000.0</v>
      </c>
      <c r="L46" s="77">
        <f>-12318000-K46</f>
        <v>-3587000</v>
      </c>
      <c r="M46" s="77">
        <v>-6835000.0</v>
      </c>
      <c r="N46" s="79"/>
      <c r="O46" s="79">
        <v>-1.2224E7</v>
      </c>
      <c r="P46" s="79">
        <v>1.4098E7</v>
      </c>
      <c r="Q46" s="79">
        <v>-3.6462E7</v>
      </c>
      <c r="R46" s="79">
        <v>-7189000.0</v>
      </c>
      <c r="S46" s="79">
        <v>1.8537E7</v>
      </c>
      <c r="T46" s="80">
        <v>-1.1962E7</v>
      </c>
      <c r="U46" s="80">
        <v>-3491000.0</v>
      </c>
      <c r="V46" s="80">
        <v>2.5427E7</v>
      </c>
      <c r="W46" s="80">
        <v>6.0566E7</v>
      </c>
      <c r="X46" s="80">
        <v>-294000.0</v>
      </c>
      <c r="Y46" s="80">
        <v>-9643000.0</v>
      </c>
      <c r="Z46" s="1"/>
      <c r="AA46" s="1"/>
      <c r="AB46" s="1"/>
      <c r="AC46" s="1"/>
      <c r="AD46" s="1"/>
      <c r="AE46" s="1"/>
    </row>
    <row r="47">
      <c r="A47" s="123" t="s">
        <v>107</v>
      </c>
      <c r="B47" s="83">
        <f t="shared" ref="B47:M47" si="30">sum(B36:B46)</f>
        <v>0</v>
      </c>
      <c r="C47" s="83">
        <f t="shared" si="30"/>
        <v>0</v>
      </c>
      <c r="D47" s="83">
        <f t="shared" si="30"/>
        <v>0</v>
      </c>
      <c r="E47" s="83">
        <f t="shared" si="30"/>
        <v>0</v>
      </c>
      <c r="F47" s="83">
        <f t="shared" si="30"/>
        <v>0</v>
      </c>
      <c r="G47" s="83">
        <f t="shared" si="30"/>
        <v>79255000</v>
      </c>
      <c r="H47" s="83">
        <f t="shared" si="30"/>
        <v>79251000</v>
      </c>
      <c r="I47" s="83">
        <f t="shared" si="30"/>
        <v>0</v>
      </c>
      <c r="J47" s="83">
        <f t="shared" si="30"/>
        <v>0</v>
      </c>
      <c r="K47" s="83">
        <f t="shared" si="30"/>
        <v>78513000</v>
      </c>
      <c r="L47" s="83">
        <f t="shared" si="30"/>
        <v>36146306</v>
      </c>
      <c r="M47" s="83">
        <f t="shared" si="30"/>
        <v>45365694</v>
      </c>
      <c r="N47" s="120"/>
      <c r="O47" s="83">
        <f t="shared" ref="O47:Y47" si="31">sum(O36:O46)</f>
        <v>96361000</v>
      </c>
      <c r="P47" s="83">
        <f t="shared" si="31"/>
        <v>133195000</v>
      </c>
      <c r="Q47" s="83">
        <f t="shared" si="31"/>
        <v>122137000</v>
      </c>
      <c r="R47" s="83">
        <f t="shared" si="31"/>
        <v>99833000</v>
      </c>
      <c r="S47" s="83">
        <f t="shared" si="31"/>
        <v>130567000</v>
      </c>
      <c r="T47" s="83">
        <f t="shared" si="31"/>
        <v>68486000</v>
      </c>
      <c r="U47" s="83">
        <f t="shared" si="31"/>
        <v>143046000</v>
      </c>
      <c r="V47" s="83">
        <f t="shared" si="31"/>
        <v>150782000</v>
      </c>
      <c r="W47" s="83">
        <f t="shared" si="31"/>
        <v>275221000</v>
      </c>
      <c r="X47" s="83">
        <f t="shared" si="31"/>
        <v>302176000</v>
      </c>
      <c r="Y47" s="83">
        <f t="shared" si="31"/>
        <v>261414000</v>
      </c>
      <c r="Z47" s="1"/>
      <c r="AA47" s="1"/>
      <c r="AB47" s="1"/>
      <c r="AC47" s="1"/>
      <c r="AD47" s="1"/>
      <c r="AE47" s="1"/>
    </row>
    <row r="48">
      <c r="A48" s="78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1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1"/>
      <c r="AA48" s="1"/>
      <c r="AB48" s="1"/>
      <c r="AC48" s="1"/>
      <c r="AD48" s="1"/>
      <c r="AE48" s="1"/>
    </row>
    <row r="49">
      <c r="A49" s="75" t="s">
        <v>108</v>
      </c>
      <c r="B49" s="76"/>
      <c r="C49" s="77"/>
      <c r="D49" s="77"/>
      <c r="E49" s="76"/>
      <c r="F49" s="76"/>
      <c r="G49" s="77"/>
      <c r="H49" s="77"/>
      <c r="I49" s="77"/>
      <c r="J49" s="77"/>
      <c r="K49" s="80">
        <v>-3.52E7</v>
      </c>
      <c r="L49" s="77">
        <f>-95749000-K49</f>
        <v>-60549000</v>
      </c>
      <c r="M49" s="77">
        <v>-2.4839E7</v>
      </c>
      <c r="N49" s="79"/>
      <c r="O49" s="80">
        <v>-9.1085E7</v>
      </c>
      <c r="P49" s="80">
        <v>-1.04033E8</v>
      </c>
      <c r="Q49" s="80">
        <v>-5.0147E7</v>
      </c>
      <c r="R49" s="80">
        <v>-9.1965E7</v>
      </c>
      <c r="S49" s="80">
        <v>-9.2585E7</v>
      </c>
      <c r="T49" s="80">
        <v>-1.78375E8</v>
      </c>
      <c r="U49" s="80">
        <v>-7.0815E7</v>
      </c>
      <c r="V49" s="80">
        <v>-1.09099E8</v>
      </c>
      <c r="W49" s="80">
        <v>-1.12338E8</v>
      </c>
      <c r="X49" s="80">
        <v>-1.31295E8</v>
      </c>
      <c r="Y49" s="80">
        <v>-1.30942E8</v>
      </c>
      <c r="Z49" s="1"/>
      <c r="AA49" s="1"/>
      <c r="AB49" s="1"/>
      <c r="AC49" s="1"/>
      <c r="AD49" s="1"/>
      <c r="AE49" s="1"/>
    </row>
    <row r="50">
      <c r="A50" s="75" t="s">
        <v>109</v>
      </c>
      <c r="B50" s="76"/>
      <c r="C50" s="77"/>
      <c r="D50" s="77"/>
      <c r="E50" s="76"/>
      <c r="F50" s="76"/>
      <c r="G50" s="77"/>
      <c r="H50" s="77"/>
      <c r="I50" s="77"/>
      <c r="J50" s="77"/>
      <c r="K50" s="80">
        <v>0.0</v>
      </c>
      <c r="L50" s="77">
        <f>-27689000-K50</f>
        <v>-27689000</v>
      </c>
      <c r="M50" s="77">
        <v>-6.8882E7</v>
      </c>
      <c r="N50" s="79"/>
      <c r="O50" s="80">
        <v>0.0</v>
      </c>
      <c r="P50" s="80">
        <v>0.0</v>
      </c>
      <c r="Q50" s="86">
        <v>0.0</v>
      </c>
      <c r="R50" s="86">
        <v>0.0</v>
      </c>
      <c r="S50" s="86">
        <v>0.0</v>
      </c>
      <c r="T50" s="80">
        <v>0.0</v>
      </c>
      <c r="U50" s="80">
        <v>0.0</v>
      </c>
      <c r="V50" s="86">
        <v>0.0</v>
      </c>
      <c r="W50" s="80">
        <v>-3.8854E7</v>
      </c>
      <c r="X50" s="80">
        <v>-2.0192E7</v>
      </c>
      <c r="Y50" s="80">
        <v>-1.00558E8</v>
      </c>
      <c r="Z50" s="1"/>
      <c r="AA50" s="1"/>
      <c r="AB50" s="1"/>
      <c r="AC50" s="1"/>
      <c r="AD50" s="1"/>
      <c r="AE50" s="1"/>
    </row>
    <row r="51">
      <c r="A51" s="75" t="s">
        <v>110</v>
      </c>
      <c r="B51" s="76"/>
      <c r="C51" s="77"/>
      <c r="D51" s="77"/>
      <c r="E51" s="76"/>
      <c r="F51" s="76"/>
      <c r="G51" s="77"/>
      <c r="H51" s="77"/>
      <c r="I51" s="77"/>
      <c r="J51" s="77"/>
      <c r="K51" s="85">
        <v>4.1482E7</v>
      </c>
      <c r="L51" s="80">
        <v>0.0</v>
      </c>
      <c r="M51" s="77">
        <v>666000.0</v>
      </c>
      <c r="N51" s="79"/>
      <c r="O51" s="80">
        <v>0.0</v>
      </c>
      <c r="P51" s="80">
        <v>0.0</v>
      </c>
      <c r="Q51" s="86">
        <v>0.0</v>
      </c>
      <c r="R51" s="86">
        <v>0.0</v>
      </c>
      <c r="S51" s="86">
        <v>0.0</v>
      </c>
      <c r="T51" s="80">
        <v>0.0</v>
      </c>
      <c r="U51" s="80">
        <v>0.0</v>
      </c>
      <c r="V51" s="86">
        <v>0.0</v>
      </c>
      <c r="W51" s="80">
        <v>0.0</v>
      </c>
      <c r="X51" s="80">
        <v>4.7537E7</v>
      </c>
      <c r="Y51" s="80">
        <v>7.2836E7</v>
      </c>
      <c r="Z51" s="1"/>
      <c r="AA51" s="1"/>
      <c r="AB51" s="1"/>
      <c r="AC51" s="1"/>
      <c r="AD51" s="1"/>
      <c r="AE51" s="1"/>
    </row>
    <row r="52">
      <c r="A52" s="75" t="s">
        <v>111</v>
      </c>
      <c r="B52" s="78"/>
      <c r="C52" s="124"/>
      <c r="D52" s="77"/>
      <c r="E52" s="76"/>
      <c r="F52" s="78"/>
      <c r="G52" s="124"/>
      <c r="H52" s="77"/>
      <c r="I52" s="77"/>
      <c r="J52" s="77"/>
      <c r="K52" s="85">
        <v>620000.0</v>
      </c>
      <c r="L52" s="77">
        <f>1166000-K52</f>
        <v>546000</v>
      </c>
      <c r="M52" s="77">
        <v>303000.0</v>
      </c>
      <c r="N52" s="79"/>
      <c r="O52" s="80">
        <v>0.0</v>
      </c>
      <c r="P52" s="80">
        <v>0.0</v>
      </c>
      <c r="Q52" s="86">
        <v>0.0</v>
      </c>
      <c r="R52" s="86">
        <v>0.0</v>
      </c>
      <c r="S52" s="86">
        <v>0.0</v>
      </c>
      <c r="T52" s="80">
        <v>2.7003E7</v>
      </c>
      <c r="U52" s="80">
        <v>5263000.0</v>
      </c>
      <c r="V52" s="80">
        <v>5775000.0</v>
      </c>
      <c r="W52" s="80">
        <v>3615000.0</v>
      </c>
      <c r="X52" s="80">
        <v>2522000.0</v>
      </c>
      <c r="Y52" s="80">
        <v>2229000.0</v>
      </c>
      <c r="Z52" s="1"/>
      <c r="AA52" s="1"/>
      <c r="AB52" s="1"/>
      <c r="AC52" s="1"/>
      <c r="AD52" s="1"/>
      <c r="AE52" s="1"/>
    </row>
    <row r="53">
      <c r="A53" s="75" t="s">
        <v>112</v>
      </c>
      <c r="B53" s="78"/>
      <c r="C53" s="124"/>
      <c r="D53" s="77"/>
      <c r="E53" s="76"/>
      <c r="F53" s="78"/>
      <c r="G53" s="124"/>
      <c r="H53" s="77"/>
      <c r="I53" s="77"/>
      <c r="J53" s="77"/>
      <c r="K53" s="85">
        <v>0.0</v>
      </c>
      <c r="L53" s="80">
        <v>0.0</v>
      </c>
      <c r="M53" s="77">
        <v>0.0</v>
      </c>
      <c r="N53" s="76"/>
      <c r="O53" s="80">
        <v>4508000.0</v>
      </c>
      <c r="P53" s="80">
        <v>0.0</v>
      </c>
      <c r="Q53" s="80">
        <v>0.0</v>
      </c>
      <c r="R53" s="80">
        <v>0.0</v>
      </c>
      <c r="S53" s="80">
        <v>0.0</v>
      </c>
      <c r="T53" s="80">
        <v>0.0</v>
      </c>
      <c r="U53" s="80">
        <v>0.0</v>
      </c>
      <c r="V53" s="80">
        <v>0.0</v>
      </c>
      <c r="W53" s="80">
        <v>0.0</v>
      </c>
      <c r="X53" s="80">
        <v>0.0</v>
      </c>
      <c r="Y53" s="80">
        <v>0.0</v>
      </c>
      <c r="Z53" s="1"/>
      <c r="AA53" s="1"/>
      <c r="AB53" s="1"/>
      <c r="AC53" s="1"/>
      <c r="AD53" s="1"/>
      <c r="AE53" s="1"/>
    </row>
    <row r="54">
      <c r="A54" s="75" t="s">
        <v>113</v>
      </c>
      <c r="B54" s="78"/>
      <c r="C54" s="124"/>
      <c r="D54" s="77"/>
      <c r="E54" s="76"/>
      <c r="F54" s="78"/>
      <c r="G54" s="124"/>
      <c r="H54" s="77"/>
      <c r="I54" s="77"/>
      <c r="J54" s="77"/>
      <c r="K54" s="85">
        <v>0.0</v>
      </c>
      <c r="L54" s="80">
        <v>0.0</v>
      </c>
      <c r="M54" s="77">
        <v>0.0</v>
      </c>
      <c r="N54" s="76"/>
      <c r="O54" s="80">
        <v>-364000.0</v>
      </c>
      <c r="P54" s="80">
        <v>-771000.0</v>
      </c>
      <c r="Q54" s="80">
        <v>-13000.0</v>
      </c>
      <c r="R54" s="80">
        <v>-834000.0</v>
      </c>
      <c r="S54" s="80">
        <v>-218000.0</v>
      </c>
      <c r="T54" s="80">
        <v>-95000.0</v>
      </c>
      <c r="U54" s="80">
        <v>-159000.0</v>
      </c>
      <c r="V54" s="80">
        <v>-170000.0</v>
      </c>
      <c r="W54" s="80">
        <v>-205000.0</v>
      </c>
      <c r="X54" s="80">
        <v>-117000.0</v>
      </c>
      <c r="Y54" s="80">
        <v>-89000.0</v>
      </c>
      <c r="Z54" s="1"/>
      <c r="AA54" s="1"/>
      <c r="AB54" s="1"/>
      <c r="AC54" s="1"/>
      <c r="AD54" s="1"/>
      <c r="AE54" s="1"/>
    </row>
    <row r="55">
      <c r="A55" s="75" t="s">
        <v>114</v>
      </c>
      <c r="B55" s="78"/>
      <c r="C55" s="124"/>
      <c r="D55" s="77"/>
      <c r="E55" s="76"/>
      <c r="F55" s="78"/>
      <c r="G55" s="124"/>
      <c r="H55" s="77"/>
      <c r="I55" s="77"/>
      <c r="J55" s="77"/>
      <c r="K55" s="85">
        <v>0.0</v>
      </c>
      <c r="L55" s="80">
        <v>0.0</v>
      </c>
      <c r="M55" s="77">
        <v>0.0</v>
      </c>
      <c r="N55" s="76"/>
      <c r="O55" s="80">
        <v>0.0</v>
      </c>
      <c r="P55" s="80">
        <v>0.0</v>
      </c>
      <c r="Q55" s="80">
        <v>0.0</v>
      </c>
      <c r="R55" s="80">
        <v>-5400000.0</v>
      </c>
      <c r="S55" s="80">
        <v>0.0</v>
      </c>
      <c r="T55" s="80">
        <v>0.0</v>
      </c>
      <c r="U55" s="80">
        <v>0.0</v>
      </c>
      <c r="V55" s="80">
        <v>0.0</v>
      </c>
      <c r="W55" s="80">
        <v>0.0</v>
      </c>
      <c r="X55" s="80">
        <v>0.0</v>
      </c>
      <c r="Y55" s="80">
        <v>0.0</v>
      </c>
      <c r="Z55" s="1"/>
      <c r="AA55" s="1"/>
      <c r="AB55" s="1"/>
      <c r="AC55" s="1"/>
      <c r="AD55" s="1"/>
      <c r="AE55" s="1"/>
    </row>
    <row r="56">
      <c r="A56" s="75" t="s">
        <v>115</v>
      </c>
      <c r="B56" s="78"/>
      <c r="C56" s="124"/>
      <c r="D56" s="77"/>
      <c r="E56" s="76"/>
      <c r="F56" s="78"/>
      <c r="G56" s="124"/>
      <c r="H56" s="77"/>
      <c r="I56" s="77"/>
      <c r="J56" s="77"/>
      <c r="K56" s="85">
        <v>0.0</v>
      </c>
      <c r="L56" s="80">
        <v>0.0</v>
      </c>
      <c r="M56" s="77">
        <v>0.0</v>
      </c>
      <c r="N56" s="76"/>
      <c r="O56" s="80">
        <v>0.0</v>
      </c>
      <c r="P56" s="80">
        <v>0.0</v>
      </c>
      <c r="Q56" s="80">
        <v>1.01853E8</v>
      </c>
      <c r="R56" s="80">
        <v>167000.0</v>
      </c>
      <c r="S56" s="80">
        <v>0.0</v>
      </c>
      <c r="T56" s="80">
        <v>0.0</v>
      </c>
      <c r="U56" s="80">
        <v>0.0</v>
      </c>
      <c r="V56" s="80">
        <v>0.0</v>
      </c>
      <c r="W56" s="80">
        <v>0.0</v>
      </c>
      <c r="X56" s="80">
        <v>0.0</v>
      </c>
      <c r="Y56" s="80">
        <v>0.0</v>
      </c>
      <c r="Z56" s="1"/>
      <c r="AA56" s="1"/>
      <c r="AB56" s="1"/>
      <c r="AC56" s="1"/>
      <c r="AD56" s="1"/>
      <c r="AE56" s="1"/>
    </row>
    <row r="57">
      <c r="A57" s="75" t="s">
        <v>116</v>
      </c>
      <c r="B57" s="78"/>
      <c r="C57" s="124"/>
      <c r="D57" s="77"/>
      <c r="E57" s="76"/>
      <c r="F57" s="78"/>
      <c r="G57" s="124"/>
      <c r="H57" s="77"/>
      <c r="I57" s="77"/>
      <c r="J57" s="77"/>
      <c r="K57" s="80">
        <v>-57000.0</v>
      </c>
      <c r="L57" s="80">
        <v>0.0</v>
      </c>
      <c r="M57" s="77">
        <v>0.0</v>
      </c>
      <c r="N57" s="79"/>
      <c r="O57" s="80">
        <v>-544000.0</v>
      </c>
      <c r="P57" s="80">
        <v>499000.0</v>
      </c>
      <c r="Q57" s="80">
        <v>597000.0</v>
      </c>
      <c r="R57" s="80">
        <v>-34000.0</v>
      </c>
      <c r="S57" s="80">
        <v>2074000.0</v>
      </c>
      <c r="T57" s="80">
        <v>61000.0</v>
      </c>
      <c r="U57" s="80">
        <v>0.0</v>
      </c>
      <c r="V57" s="80">
        <v>0.0</v>
      </c>
      <c r="W57" s="80">
        <v>25000.0</v>
      </c>
      <c r="X57" s="80">
        <v>0.0</v>
      </c>
      <c r="Y57" s="80">
        <v>59000.0</v>
      </c>
      <c r="Z57" s="1"/>
      <c r="AA57" s="1"/>
      <c r="AB57" s="1"/>
      <c r="AC57" s="1"/>
      <c r="AD57" s="1"/>
      <c r="AE57" s="1"/>
    </row>
    <row r="58">
      <c r="A58" s="123" t="s">
        <v>117</v>
      </c>
      <c r="B58" s="83">
        <f t="shared" ref="B58:M58" si="32">sum(B49:B57)</f>
        <v>0</v>
      </c>
      <c r="C58" s="83">
        <f t="shared" si="32"/>
        <v>0</v>
      </c>
      <c r="D58" s="83">
        <f t="shared" si="32"/>
        <v>0</v>
      </c>
      <c r="E58" s="83">
        <f t="shared" si="32"/>
        <v>0</v>
      </c>
      <c r="F58" s="83">
        <f t="shared" si="32"/>
        <v>0</v>
      </c>
      <c r="G58" s="83">
        <f t="shared" si="32"/>
        <v>0</v>
      </c>
      <c r="H58" s="83">
        <f t="shared" si="32"/>
        <v>0</v>
      </c>
      <c r="I58" s="83">
        <f t="shared" si="32"/>
        <v>0</v>
      </c>
      <c r="J58" s="83">
        <f t="shared" si="32"/>
        <v>0</v>
      </c>
      <c r="K58" s="83">
        <f t="shared" si="32"/>
        <v>6845000</v>
      </c>
      <c r="L58" s="83">
        <f t="shared" si="32"/>
        <v>-87692000</v>
      </c>
      <c r="M58" s="83">
        <f t="shared" si="32"/>
        <v>-92752000</v>
      </c>
      <c r="N58" s="120"/>
      <c r="O58" s="83">
        <f t="shared" ref="O58:Y58" si="33">sum(O49:O57)</f>
        <v>-87485000</v>
      </c>
      <c r="P58" s="83">
        <f t="shared" si="33"/>
        <v>-104305000</v>
      </c>
      <c r="Q58" s="83">
        <f t="shared" si="33"/>
        <v>52290000</v>
      </c>
      <c r="R58" s="83">
        <f t="shared" si="33"/>
        <v>-98066000</v>
      </c>
      <c r="S58" s="83">
        <f t="shared" si="33"/>
        <v>-90729000</v>
      </c>
      <c r="T58" s="83">
        <f t="shared" si="33"/>
        <v>-151406000</v>
      </c>
      <c r="U58" s="83">
        <f t="shared" si="33"/>
        <v>-65711000</v>
      </c>
      <c r="V58" s="83">
        <f t="shared" si="33"/>
        <v>-103494000</v>
      </c>
      <c r="W58" s="83">
        <f t="shared" si="33"/>
        <v>-147757000</v>
      </c>
      <c r="X58" s="83">
        <f t="shared" si="33"/>
        <v>-101545000</v>
      </c>
      <c r="Y58" s="83">
        <f t="shared" si="33"/>
        <v>-156465000</v>
      </c>
      <c r="Z58" s="1"/>
      <c r="AA58" s="1"/>
      <c r="AB58" s="1"/>
      <c r="AC58" s="1"/>
      <c r="AD58" s="1"/>
      <c r="AE58" s="1"/>
    </row>
    <row r="59">
      <c r="A59" s="78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8"/>
      <c r="M59" s="76"/>
      <c r="N59" s="76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1"/>
      <c r="AA59" s="1"/>
      <c r="AB59" s="1"/>
      <c r="AC59" s="1"/>
      <c r="AD59" s="1"/>
      <c r="AE59" s="1"/>
    </row>
    <row r="60">
      <c r="A60" s="75" t="s">
        <v>118</v>
      </c>
      <c r="B60" s="76"/>
      <c r="C60" s="77"/>
      <c r="D60" s="77"/>
      <c r="E60" s="76"/>
      <c r="F60" s="76"/>
      <c r="G60" s="77"/>
      <c r="H60" s="77"/>
      <c r="I60" s="77"/>
      <c r="J60" s="77"/>
      <c r="K60" s="122">
        <v>0.0</v>
      </c>
      <c r="L60" s="80">
        <v>0.0</v>
      </c>
      <c r="M60" s="77">
        <v>0.0</v>
      </c>
      <c r="N60" s="79"/>
      <c r="O60" s="79">
        <v>0.0</v>
      </c>
      <c r="P60" s="79">
        <v>0.0</v>
      </c>
      <c r="Q60" s="79">
        <v>0.0</v>
      </c>
      <c r="R60" s="79">
        <v>0.0</v>
      </c>
      <c r="S60" s="79">
        <v>0.0</v>
      </c>
      <c r="T60" s="80">
        <v>5.4633E7</v>
      </c>
      <c r="U60" s="80">
        <v>2.034E7</v>
      </c>
      <c r="V60" s="80">
        <v>2.0858E7</v>
      </c>
      <c r="W60" s="80">
        <v>0.0</v>
      </c>
      <c r="X60" s="80">
        <v>0.0</v>
      </c>
      <c r="Y60" s="80">
        <v>0.0</v>
      </c>
      <c r="Z60" s="1"/>
      <c r="AA60" s="1"/>
      <c r="AB60" s="1"/>
      <c r="AC60" s="1"/>
      <c r="AD60" s="1"/>
      <c r="AE60" s="1"/>
    </row>
    <row r="61">
      <c r="A61" s="75" t="s">
        <v>119</v>
      </c>
      <c r="B61" s="76"/>
      <c r="C61" s="77"/>
      <c r="D61" s="77"/>
      <c r="E61" s="76"/>
      <c r="F61" s="76"/>
      <c r="G61" s="77"/>
      <c r="H61" s="77"/>
      <c r="I61" s="77"/>
      <c r="J61" s="77"/>
      <c r="K61" s="122">
        <v>-1.5343E7</v>
      </c>
      <c r="L61" s="77">
        <f>-17966000-K61</f>
        <v>-2623000</v>
      </c>
      <c r="M61" s="77">
        <v>-3000.0</v>
      </c>
      <c r="N61" s="79"/>
      <c r="O61" s="79">
        <v>-2.9782E7</v>
      </c>
      <c r="P61" s="79">
        <v>-9571000.0</v>
      </c>
      <c r="Q61" s="79">
        <v>-5.7609E7</v>
      </c>
      <c r="R61" s="79">
        <v>0.0</v>
      </c>
      <c r="S61" s="79">
        <v>0.0</v>
      </c>
      <c r="T61" s="122">
        <v>-6.1319E7</v>
      </c>
      <c r="U61" s="122">
        <v>-7392000.0</v>
      </c>
      <c r="V61" s="80">
        <v>-2.0352E7</v>
      </c>
      <c r="W61" s="80">
        <v>-6.544E7</v>
      </c>
      <c r="X61" s="80">
        <v>-1.8439E7</v>
      </c>
      <c r="Y61" s="80">
        <v>-6621000.0</v>
      </c>
      <c r="Z61" s="1"/>
      <c r="AA61" s="1"/>
      <c r="AB61" s="1"/>
      <c r="AC61" s="1"/>
      <c r="AD61" s="1"/>
      <c r="AE61" s="1"/>
    </row>
    <row r="62">
      <c r="A62" s="75" t="s">
        <v>120</v>
      </c>
      <c r="B62" s="76"/>
      <c r="C62" s="77"/>
      <c r="D62" s="77"/>
      <c r="E62" s="76"/>
      <c r="F62" s="76"/>
      <c r="G62" s="77"/>
      <c r="H62" s="77"/>
      <c r="I62" s="77"/>
      <c r="J62" s="77"/>
      <c r="K62" s="122">
        <v>-4573000.0</v>
      </c>
      <c r="L62" s="77">
        <f>-76682000-K62</f>
        <v>-72109000</v>
      </c>
      <c r="M62" s="77">
        <v>-2.074E7</v>
      </c>
      <c r="N62" s="79"/>
      <c r="O62" s="79"/>
      <c r="P62" s="79"/>
      <c r="Q62" s="79"/>
      <c r="R62" s="79"/>
      <c r="S62" s="79"/>
      <c r="T62" s="80"/>
      <c r="U62" s="80"/>
      <c r="V62" s="80"/>
      <c r="W62" s="80"/>
      <c r="X62" s="80"/>
      <c r="Y62" s="80"/>
      <c r="Z62" s="1"/>
      <c r="AA62" s="1"/>
      <c r="AB62" s="1"/>
      <c r="AC62" s="1"/>
      <c r="AD62" s="1"/>
      <c r="AE62" s="1"/>
    </row>
    <row r="63">
      <c r="A63" s="75" t="s">
        <v>121</v>
      </c>
      <c r="B63" s="76"/>
      <c r="C63" s="77"/>
      <c r="D63" s="77"/>
      <c r="E63" s="76"/>
      <c r="F63" s="76"/>
      <c r="G63" s="77"/>
      <c r="H63" s="77"/>
      <c r="I63" s="77"/>
      <c r="J63" s="77"/>
      <c r="K63" s="122">
        <v>0.0</v>
      </c>
      <c r="L63" s="80">
        <v>0.0</v>
      </c>
      <c r="M63" s="77">
        <v>0.0</v>
      </c>
      <c r="N63" s="76"/>
      <c r="O63" s="79">
        <v>0.0</v>
      </c>
      <c r="P63" s="79">
        <v>0.0</v>
      </c>
      <c r="Q63" s="79">
        <v>0.0</v>
      </c>
      <c r="R63" s="79">
        <v>0.0</v>
      </c>
      <c r="S63" s="79">
        <v>-2.3111E7</v>
      </c>
      <c r="T63" s="80">
        <v>-2.1696E7</v>
      </c>
      <c r="U63" s="80">
        <v>-3.4394E7</v>
      </c>
      <c r="V63" s="80">
        <v>-4.8249E7</v>
      </c>
      <c r="W63" s="80">
        <v>-2522000.0</v>
      </c>
      <c r="X63" s="80">
        <v>0.0</v>
      </c>
      <c r="Y63" s="80">
        <v>0.0</v>
      </c>
      <c r="Z63" s="1"/>
      <c r="AA63" s="1"/>
      <c r="AB63" s="1"/>
      <c r="AC63" s="1"/>
      <c r="AD63" s="1"/>
      <c r="AE63" s="1"/>
    </row>
    <row r="64">
      <c r="A64" s="75" t="s">
        <v>122</v>
      </c>
      <c r="B64" s="1"/>
      <c r="C64" s="125"/>
      <c r="D64" s="77"/>
      <c r="E64" s="1"/>
      <c r="F64" s="1"/>
      <c r="G64" s="125"/>
      <c r="H64" s="77"/>
      <c r="I64" s="77"/>
      <c r="J64" s="77"/>
      <c r="K64" s="122">
        <v>0.0</v>
      </c>
      <c r="L64" s="80">
        <v>0.0</v>
      </c>
      <c r="M64" s="77">
        <v>0.0</v>
      </c>
      <c r="N64" s="76"/>
      <c r="O64" s="79">
        <v>0.0</v>
      </c>
      <c r="P64" s="79">
        <v>0.0</v>
      </c>
      <c r="Q64" s="79">
        <v>-1.189E7</v>
      </c>
      <c r="R64" s="79">
        <v>-8298000.0</v>
      </c>
      <c r="S64" s="79">
        <v>-8166000.0</v>
      </c>
      <c r="T64" s="80">
        <v>-4.505E7</v>
      </c>
      <c r="U64" s="80">
        <v>-1.6151E7</v>
      </c>
      <c r="V64" s="80">
        <v>-9597000.0</v>
      </c>
      <c r="W64" s="80">
        <v>0.0</v>
      </c>
      <c r="X64" s="80">
        <v>0.0</v>
      </c>
      <c r="Y64" s="80">
        <v>0.0</v>
      </c>
      <c r="Z64" s="1"/>
      <c r="AA64" s="1"/>
      <c r="AB64" s="1"/>
      <c r="AC64" s="1"/>
      <c r="AD64" s="1"/>
      <c r="AE64" s="1"/>
    </row>
    <row r="65">
      <c r="A65" s="75" t="s">
        <v>123</v>
      </c>
      <c r="B65" s="1"/>
      <c r="C65" s="125"/>
      <c r="D65" s="77"/>
      <c r="E65" s="1"/>
      <c r="F65" s="1"/>
      <c r="G65" s="125"/>
      <c r="H65" s="77"/>
      <c r="I65" s="77"/>
      <c r="J65" s="77"/>
      <c r="K65" s="122">
        <v>0.0</v>
      </c>
      <c r="L65" s="80">
        <v>0.0</v>
      </c>
      <c r="M65" s="77">
        <v>0.0</v>
      </c>
      <c r="N65" s="76"/>
      <c r="O65" s="79">
        <v>0.0</v>
      </c>
      <c r="P65" s="79">
        <v>0.0</v>
      </c>
      <c r="Q65" s="79">
        <v>0.0</v>
      </c>
      <c r="R65" s="79">
        <v>0.0</v>
      </c>
      <c r="S65" s="79">
        <v>1.7996E7</v>
      </c>
      <c r="T65" s="80">
        <v>0.0</v>
      </c>
      <c r="U65" s="80">
        <v>0.0</v>
      </c>
      <c r="V65" s="80">
        <v>0.0</v>
      </c>
      <c r="W65" s="80">
        <v>2.4995E7</v>
      </c>
      <c r="X65" s="80">
        <v>0.0</v>
      </c>
      <c r="Y65" s="80">
        <v>0.0</v>
      </c>
      <c r="Z65" s="1"/>
      <c r="AA65" s="1"/>
      <c r="AB65" s="1"/>
      <c r="AC65" s="1"/>
      <c r="AD65" s="1"/>
      <c r="AE65" s="1"/>
    </row>
    <row r="66">
      <c r="A66" s="75" t="s">
        <v>124</v>
      </c>
      <c r="B66" s="1"/>
      <c r="C66" s="125"/>
      <c r="D66" s="77"/>
      <c r="E66" s="1"/>
      <c r="F66" s="1"/>
      <c r="G66" s="125"/>
      <c r="H66" s="77"/>
      <c r="I66" s="77"/>
      <c r="J66" s="77"/>
      <c r="K66" s="122">
        <v>1433000.0</v>
      </c>
      <c r="L66" s="77">
        <f>1583000-K66</f>
        <v>150000</v>
      </c>
      <c r="M66" s="77">
        <v>537000.0</v>
      </c>
      <c r="N66" s="79"/>
      <c r="O66" s="79">
        <v>1298000.0</v>
      </c>
      <c r="P66" s="79">
        <v>2651000.0</v>
      </c>
      <c r="Q66" s="79">
        <v>3463000.0</v>
      </c>
      <c r="R66" s="79">
        <v>2830000.0</v>
      </c>
      <c r="S66" s="79">
        <v>4634000.0</v>
      </c>
      <c r="T66" s="80">
        <v>2071000.0</v>
      </c>
      <c r="U66" s="80">
        <v>4239000.0</v>
      </c>
      <c r="V66" s="80">
        <v>3874000.0</v>
      </c>
      <c r="W66" s="80">
        <v>5749000.0</v>
      </c>
      <c r="X66" s="80">
        <v>1248000.0</v>
      </c>
      <c r="Y66" s="80">
        <v>1916000.0</v>
      </c>
      <c r="Z66" s="1"/>
      <c r="AA66" s="1"/>
      <c r="AB66" s="1"/>
      <c r="AC66" s="1"/>
      <c r="AD66" s="1"/>
      <c r="AE66" s="1"/>
    </row>
    <row r="67">
      <c r="A67" s="75" t="s">
        <v>125</v>
      </c>
      <c r="B67" s="1"/>
      <c r="C67" s="125"/>
      <c r="D67" s="77"/>
      <c r="E67" s="1"/>
      <c r="F67" s="1"/>
      <c r="G67" s="125"/>
      <c r="H67" s="77"/>
      <c r="I67" s="77"/>
      <c r="J67" s="77"/>
      <c r="K67" s="85">
        <v>-1995000.0</v>
      </c>
      <c r="L67" s="77">
        <f>-2007000-K67</f>
        <v>-12000</v>
      </c>
      <c r="M67" s="77">
        <v>-6000.0</v>
      </c>
      <c r="N67" s="79"/>
      <c r="O67" s="79">
        <v>0.0</v>
      </c>
      <c r="P67" s="79">
        <v>0.0</v>
      </c>
      <c r="Q67" s="79">
        <v>0.0</v>
      </c>
      <c r="R67" s="79">
        <v>0.0</v>
      </c>
      <c r="S67" s="79">
        <v>0.0</v>
      </c>
      <c r="T67" s="80">
        <v>0.0</v>
      </c>
      <c r="U67" s="80">
        <v>0.0</v>
      </c>
      <c r="V67" s="80">
        <v>0.0</v>
      </c>
      <c r="W67" s="79">
        <v>-1471000.0</v>
      </c>
      <c r="X67" s="79">
        <v>-1302000.0</v>
      </c>
      <c r="Y67" s="79">
        <v>-3025000.0</v>
      </c>
      <c r="Z67" s="1"/>
      <c r="AA67" s="1"/>
      <c r="AB67" s="1"/>
      <c r="AC67" s="1"/>
      <c r="AD67" s="1"/>
      <c r="AE67" s="1"/>
    </row>
    <row r="68">
      <c r="A68" s="75" t="s">
        <v>126</v>
      </c>
      <c r="B68" s="76"/>
      <c r="C68" s="77"/>
      <c r="D68" s="77"/>
      <c r="E68" s="76"/>
      <c r="F68" s="76"/>
      <c r="G68" s="77"/>
      <c r="H68" s="77"/>
      <c r="I68" s="77"/>
      <c r="J68" s="77"/>
      <c r="K68" s="80">
        <v>0.0</v>
      </c>
      <c r="L68" s="80">
        <v>0.0</v>
      </c>
      <c r="M68" s="77">
        <v>0.0</v>
      </c>
      <c r="N68" s="30"/>
      <c r="O68" s="79">
        <v>0.0</v>
      </c>
      <c r="P68" s="79">
        <v>0.0</v>
      </c>
      <c r="Q68" s="79">
        <v>-966000.0</v>
      </c>
      <c r="R68" s="79">
        <v>0.0</v>
      </c>
      <c r="S68" s="79">
        <v>0.0</v>
      </c>
      <c r="T68" s="79">
        <v>0.0</v>
      </c>
      <c r="U68" s="79">
        <v>0.0</v>
      </c>
      <c r="V68" s="79">
        <v>0.0</v>
      </c>
      <c r="W68" s="79">
        <v>0.0</v>
      </c>
      <c r="X68" s="79">
        <v>0.0</v>
      </c>
      <c r="Y68" s="79">
        <v>0.0</v>
      </c>
      <c r="Z68" s="1"/>
      <c r="AA68" s="1"/>
      <c r="AB68" s="1"/>
      <c r="AC68" s="1"/>
      <c r="AD68" s="1"/>
      <c r="AE68" s="1"/>
    </row>
    <row r="69">
      <c r="A69" s="78" t="s">
        <v>116</v>
      </c>
      <c r="B69" s="76"/>
      <c r="C69" s="77"/>
      <c r="D69" s="77"/>
      <c r="E69" s="76"/>
      <c r="F69" s="76"/>
      <c r="G69" s="77"/>
      <c r="H69" s="77"/>
      <c r="I69" s="77"/>
      <c r="J69" s="77"/>
      <c r="K69" s="80">
        <v>0.0</v>
      </c>
      <c r="L69" s="80">
        <v>0.0</v>
      </c>
      <c r="M69" s="77">
        <v>0.0</v>
      </c>
      <c r="N69" s="30"/>
      <c r="O69" s="79">
        <v>-711000.0</v>
      </c>
      <c r="P69" s="79">
        <v>-179000.0</v>
      </c>
      <c r="Q69" s="79">
        <v>-20000.0</v>
      </c>
      <c r="R69" s="79">
        <v>0.0</v>
      </c>
      <c r="S69" s="79">
        <v>0.0</v>
      </c>
      <c r="T69" s="80">
        <v>-92000.0</v>
      </c>
      <c r="U69" s="80">
        <v>-248000.0</v>
      </c>
      <c r="V69" s="80">
        <v>-437000.0</v>
      </c>
      <c r="W69" s="80">
        <v>0.0</v>
      </c>
      <c r="X69" s="80">
        <v>0.0</v>
      </c>
      <c r="Y69" s="80">
        <v>0.0</v>
      </c>
      <c r="Z69" s="1"/>
      <c r="AA69" s="1"/>
      <c r="AB69" s="1"/>
      <c r="AC69" s="1"/>
      <c r="AD69" s="1"/>
      <c r="AE69" s="1"/>
    </row>
    <row r="70">
      <c r="A70" s="123" t="s">
        <v>127</v>
      </c>
      <c r="B70" s="83">
        <f t="shared" ref="B70:J70" si="34">sum(B60:B69)</f>
        <v>0</v>
      </c>
      <c r="C70" s="83">
        <f t="shared" si="34"/>
        <v>0</v>
      </c>
      <c r="D70" s="83">
        <f t="shared" si="34"/>
        <v>0</v>
      </c>
      <c r="E70" s="83">
        <f t="shared" si="34"/>
        <v>0</v>
      </c>
      <c r="F70" s="83">
        <f t="shared" si="34"/>
        <v>0</v>
      </c>
      <c r="G70" s="83">
        <f t="shared" si="34"/>
        <v>0</v>
      </c>
      <c r="H70" s="83">
        <f t="shared" si="34"/>
        <v>0</v>
      </c>
      <c r="I70" s="83">
        <f t="shared" si="34"/>
        <v>0</v>
      </c>
      <c r="J70" s="83">
        <f t="shared" si="34"/>
        <v>0</v>
      </c>
      <c r="K70" s="83">
        <f>sum(K49:K69)</f>
        <v>-6788000</v>
      </c>
      <c r="L70" s="83">
        <f t="shared" ref="L70:M70" si="35">sum(L60:L69)</f>
        <v>-74594000</v>
      </c>
      <c r="M70" s="83">
        <f t="shared" si="35"/>
        <v>-20212000</v>
      </c>
      <c r="N70" s="120"/>
      <c r="O70" s="83">
        <f t="shared" ref="O70:Y70" si="36">sum(O60:O69)</f>
        <v>-29195000</v>
      </c>
      <c r="P70" s="83">
        <f t="shared" si="36"/>
        <v>-7099000</v>
      </c>
      <c r="Q70" s="83">
        <f t="shared" si="36"/>
        <v>-67022000</v>
      </c>
      <c r="R70" s="83">
        <f t="shared" si="36"/>
        <v>-5468000</v>
      </c>
      <c r="S70" s="83">
        <f t="shared" si="36"/>
        <v>-8647000</v>
      </c>
      <c r="T70" s="83">
        <f t="shared" si="36"/>
        <v>-71453000</v>
      </c>
      <c r="U70" s="83">
        <f t="shared" si="36"/>
        <v>-33606000</v>
      </c>
      <c r="V70" s="83">
        <f t="shared" si="36"/>
        <v>-53903000</v>
      </c>
      <c r="W70" s="83">
        <f t="shared" si="36"/>
        <v>-38689000</v>
      </c>
      <c r="X70" s="83">
        <f t="shared" si="36"/>
        <v>-18493000</v>
      </c>
      <c r="Y70" s="83">
        <f t="shared" si="36"/>
        <v>-7730000</v>
      </c>
      <c r="Z70" s="1"/>
      <c r="AA70" s="1"/>
      <c r="AB70" s="1"/>
      <c r="AC70" s="1"/>
      <c r="AD70" s="1"/>
      <c r="AE70" s="1"/>
    </row>
    <row r="71">
      <c r="A71" s="78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1"/>
      <c r="AA71" s="1"/>
      <c r="AB71" s="1"/>
      <c r="AC71" s="1"/>
      <c r="AD71" s="1"/>
      <c r="AE71" s="1"/>
    </row>
    <row r="72">
      <c r="A72" s="81" t="s">
        <v>128</v>
      </c>
      <c r="B72" s="82"/>
      <c r="C72" s="83">
        <f t="shared" ref="C72:M72" si="37">C47+C58+C70</f>
        <v>0</v>
      </c>
      <c r="D72" s="83">
        <f t="shared" si="37"/>
        <v>0</v>
      </c>
      <c r="E72" s="83">
        <f t="shared" si="37"/>
        <v>0</v>
      </c>
      <c r="F72" s="83">
        <f t="shared" si="37"/>
        <v>0</v>
      </c>
      <c r="G72" s="83">
        <f t="shared" si="37"/>
        <v>79255000</v>
      </c>
      <c r="H72" s="83">
        <f t="shared" si="37"/>
        <v>79251000</v>
      </c>
      <c r="I72" s="83">
        <f t="shared" si="37"/>
        <v>0</v>
      </c>
      <c r="J72" s="83">
        <f t="shared" si="37"/>
        <v>0</v>
      </c>
      <c r="K72" s="83">
        <f t="shared" si="37"/>
        <v>78570000</v>
      </c>
      <c r="L72" s="83">
        <f t="shared" si="37"/>
        <v>-126139694</v>
      </c>
      <c r="M72" s="83">
        <f t="shared" si="37"/>
        <v>-67598306</v>
      </c>
      <c r="N72" s="76"/>
      <c r="O72" s="83">
        <f t="shared" ref="O72:Y72" si="38">O47+O58+O70</f>
        <v>-20319000</v>
      </c>
      <c r="P72" s="83">
        <f t="shared" si="38"/>
        <v>21791000</v>
      </c>
      <c r="Q72" s="83">
        <f t="shared" si="38"/>
        <v>107405000</v>
      </c>
      <c r="R72" s="83">
        <f t="shared" si="38"/>
        <v>-3701000</v>
      </c>
      <c r="S72" s="83">
        <f t="shared" si="38"/>
        <v>31191000</v>
      </c>
      <c r="T72" s="83">
        <f t="shared" si="38"/>
        <v>-154373000</v>
      </c>
      <c r="U72" s="83">
        <f t="shared" si="38"/>
        <v>43729000</v>
      </c>
      <c r="V72" s="83">
        <f t="shared" si="38"/>
        <v>-6615000</v>
      </c>
      <c r="W72" s="83">
        <f t="shared" si="38"/>
        <v>88775000</v>
      </c>
      <c r="X72" s="83">
        <f t="shared" si="38"/>
        <v>182138000</v>
      </c>
      <c r="Y72" s="83">
        <f t="shared" si="38"/>
        <v>97219000</v>
      </c>
      <c r="Z72" s="1"/>
      <c r="AA72" s="1"/>
      <c r="AB72" s="1"/>
      <c r="AC72" s="1"/>
      <c r="AD72" s="1"/>
      <c r="AE72" s="1"/>
    </row>
    <row r="73">
      <c r="A73" s="78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1"/>
      <c r="AA73" s="1"/>
      <c r="AB73" s="1"/>
      <c r="AC73" s="1"/>
      <c r="AD73" s="1"/>
      <c r="AE73" s="1"/>
    </row>
    <row r="74">
      <c r="A74" s="126" t="s">
        <v>129</v>
      </c>
      <c r="B74" s="82"/>
      <c r="C74" s="127"/>
      <c r="D74" s="127"/>
      <c r="E74" s="127"/>
      <c r="F74" s="127"/>
      <c r="G74" s="127"/>
      <c r="H74" s="127"/>
      <c r="I74" s="127"/>
      <c r="J74" s="127"/>
      <c r="K74" s="128">
        <v>-2.1202E7</v>
      </c>
      <c r="L74" s="127"/>
      <c r="M74" s="127"/>
      <c r="N74" s="76"/>
      <c r="O74" s="128">
        <v>-2021000.0</v>
      </c>
      <c r="P74" s="128">
        <v>-8853000.0</v>
      </c>
      <c r="Q74" s="128">
        <v>802000.0</v>
      </c>
      <c r="R74" s="128">
        <v>6108000.0</v>
      </c>
      <c r="S74" s="128">
        <v>-4777000.0</v>
      </c>
      <c r="T74" s="128">
        <v>2381000.0</v>
      </c>
      <c r="U74" s="128">
        <v>1.0986E7</v>
      </c>
      <c r="V74" s="128">
        <v>4703000.0</v>
      </c>
      <c r="W74" s="128">
        <v>-4.6012E7</v>
      </c>
      <c r="X74" s="128">
        <v>-2680000.0</v>
      </c>
      <c r="Y74" s="128">
        <v>2127000.0</v>
      </c>
      <c r="Z74" s="1"/>
      <c r="AA74" s="1"/>
      <c r="AB74" s="1"/>
      <c r="AC74" s="1"/>
      <c r="AD74" s="1"/>
      <c r="AE74" s="1"/>
    </row>
    <row r="75">
      <c r="A75" s="78"/>
      <c r="B75" s="76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6"/>
      <c r="O75" s="77"/>
      <c r="P75" s="77"/>
      <c r="Q75" s="77"/>
      <c r="R75" s="77"/>
      <c r="S75" s="77"/>
      <c r="T75" s="77"/>
      <c r="U75" s="77"/>
      <c r="V75" s="77"/>
      <c r="W75" s="80"/>
      <c r="X75" s="80"/>
      <c r="Y75" s="80"/>
      <c r="Z75" s="1"/>
      <c r="AA75" s="1"/>
      <c r="AB75" s="1"/>
      <c r="AC75" s="1"/>
      <c r="AD75" s="1"/>
      <c r="AE75" s="1"/>
    </row>
    <row r="76">
      <c r="A76" s="129" t="s">
        <v>130</v>
      </c>
      <c r="B76" s="88"/>
      <c r="C76" s="89"/>
      <c r="D76" s="89"/>
      <c r="E76" s="89"/>
      <c r="F76" s="89"/>
      <c r="G76" s="89"/>
      <c r="H76" s="89"/>
      <c r="I76" s="89"/>
      <c r="J76" s="89"/>
      <c r="K76" s="130">
        <v>6.01874E8</v>
      </c>
      <c r="L76" s="89"/>
      <c r="M76" s="89"/>
      <c r="N76" s="76"/>
      <c r="O76" s="130">
        <v>2.15615E8</v>
      </c>
      <c r="P76" s="130">
        <v>1.92929E8</v>
      </c>
      <c r="Q76" s="130">
        <v>2.05867E8</v>
      </c>
      <c r="R76" s="130">
        <v>3.14074E8</v>
      </c>
      <c r="S76" s="130">
        <v>3.08021E8</v>
      </c>
      <c r="T76" s="130">
        <v>3.31989E8</v>
      </c>
      <c r="U76" s="130">
        <v>2.09291E8</v>
      </c>
      <c r="V76" s="130">
        <v>2.81602E8</v>
      </c>
      <c r="W76" s="130">
        <v>2.7968E8</v>
      </c>
      <c r="X76" s="130">
        <v>3.22409E8</v>
      </c>
      <c r="Y76" s="130">
        <v>5.01867E8</v>
      </c>
      <c r="Z76" s="1"/>
      <c r="AA76" s="1"/>
      <c r="AB76" s="1"/>
      <c r="AC76" s="1"/>
      <c r="AD76" s="1"/>
      <c r="AE76" s="1"/>
    </row>
    <row r="77">
      <c r="A77" s="131" t="s">
        <v>131</v>
      </c>
      <c r="B77" s="132">
        <f t="shared" ref="B77:M77" si="39">+B72+B76+B74</f>
        <v>0</v>
      </c>
      <c r="C77" s="132">
        <f t="shared" si="39"/>
        <v>0</v>
      </c>
      <c r="D77" s="132">
        <f t="shared" si="39"/>
        <v>0</v>
      </c>
      <c r="E77" s="132">
        <f t="shared" si="39"/>
        <v>0</v>
      </c>
      <c r="F77" s="132">
        <f t="shared" si="39"/>
        <v>0</v>
      </c>
      <c r="G77" s="132">
        <f t="shared" si="39"/>
        <v>79255000</v>
      </c>
      <c r="H77" s="132">
        <f t="shared" si="39"/>
        <v>79251000</v>
      </c>
      <c r="I77" s="132">
        <f t="shared" si="39"/>
        <v>0</v>
      </c>
      <c r="J77" s="132">
        <f t="shared" si="39"/>
        <v>0</v>
      </c>
      <c r="K77" s="132">
        <f t="shared" si="39"/>
        <v>659242000</v>
      </c>
      <c r="L77" s="132">
        <f t="shared" si="39"/>
        <v>-126139694</v>
      </c>
      <c r="M77" s="132">
        <f t="shared" si="39"/>
        <v>-67598306</v>
      </c>
      <c r="N77" s="77"/>
      <c r="O77" s="132">
        <f t="shared" ref="O77:Y77" si="40">+O72+O76+O74</f>
        <v>193275000</v>
      </c>
      <c r="P77" s="132">
        <f t="shared" si="40"/>
        <v>205867000</v>
      </c>
      <c r="Q77" s="132">
        <f t="shared" si="40"/>
        <v>314074000</v>
      </c>
      <c r="R77" s="132">
        <f t="shared" si="40"/>
        <v>316481000</v>
      </c>
      <c r="S77" s="132">
        <f t="shared" si="40"/>
        <v>334435000</v>
      </c>
      <c r="T77" s="132">
        <f t="shared" si="40"/>
        <v>179997000</v>
      </c>
      <c r="U77" s="132">
        <f t="shared" si="40"/>
        <v>264006000</v>
      </c>
      <c r="V77" s="132">
        <f t="shared" si="40"/>
        <v>279690000</v>
      </c>
      <c r="W77" s="132">
        <f t="shared" si="40"/>
        <v>322443000</v>
      </c>
      <c r="X77" s="132">
        <f t="shared" si="40"/>
        <v>501867000</v>
      </c>
      <c r="Y77" s="132">
        <f t="shared" si="40"/>
        <v>601213000</v>
      </c>
      <c r="Z77" s="1"/>
      <c r="AA77" s="1"/>
      <c r="AB77" s="1"/>
      <c r="AC77" s="1"/>
      <c r="AD77" s="1"/>
      <c r="AE77" s="1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6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1"/>
      <c r="AA78" s="1"/>
      <c r="AB78" s="1"/>
      <c r="AC78" s="1"/>
      <c r="AD78" s="1"/>
      <c r="AE78" s="1"/>
    </row>
    <row r="79">
      <c r="A79" s="133" t="s">
        <v>37</v>
      </c>
      <c r="B79" s="134" t="str">
        <f>MAIN!B3</f>
        <v/>
      </c>
      <c r="C79" s="134" t="str">
        <f>MAIN!C3</f>
        <v/>
      </c>
      <c r="D79" s="134" t="str">
        <f>MAIN!D3</f>
        <v/>
      </c>
      <c r="E79" s="134" t="str">
        <f>MAIN!E3</f>
        <v/>
      </c>
      <c r="F79" s="134" t="str">
        <f>MAIN!F3</f>
        <v/>
      </c>
      <c r="G79" s="134" t="str">
        <f>MAIN!G3</f>
        <v/>
      </c>
      <c r="H79" s="134" t="str">
        <f>MAIN!H3</f>
        <v/>
      </c>
      <c r="I79" s="134" t="str">
        <f>MAIN!I3</f>
        <v/>
      </c>
      <c r="J79" s="134" t="str">
        <f>MAIN!J3</f>
        <v/>
      </c>
      <c r="K79" s="134">
        <f>MAIN!K3</f>
        <v>1380000000</v>
      </c>
      <c r="L79" s="134">
        <f>MAIN!L3</f>
        <v>1360000000</v>
      </c>
      <c r="M79" s="134">
        <f>MAIN!M3</f>
        <v>1370000000</v>
      </c>
      <c r="N79" s="77"/>
      <c r="O79" s="134">
        <f>MAIN!O3</f>
        <v>513000000</v>
      </c>
      <c r="P79" s="134">
        <f>MAIN!P3</f>
        <v>831000000</v>
      </c>
      <c r="Q79" s="134">
        <f>MAIN!Q3</f>
        <v>770000000</v>
      </c>
      <c r="R79" s="134">
        <f>MAIN!R3</f>
        <v>589000000</v>
      </c>
      <c r="S79" s="134">
        <f>MAIN!S3</f>
        <v>648000000</v>
      </c>
      <c r="T79" s="134">
        <f>MAIN!T3</f>
        <v>1030000000</v>
      </c>
      <c r="U79" s="134">
        <f>MAIN!U3</f>
        <v>732800000</v>
      </c>
      <c r="V79" s="134">
        <f>MAIN!V3</f>
        <v>1140000000</v>
      </c>
      <c r="W79" s="134">
        <f>MAIN!W3</f>
        <v>1040000000</v>
      </c>
      <c r="X79" s="134">
        <f>MAIN!X3</f>
        <v>1960000000</v>
      </c>
      <c r="Y79" s="134">
        <f>MAIN!Y3</f>
        <v>1729553783</v>
      </c>
      <c r="Z79" s="30"/>
      <c r="AA79" s="1"/>
      <c r="AB79" s="1"/>
      <c r="AC79" s="1"/>
      <c r="AD79" s="1"/>
      <c r="AE79" s="1"/>
    </row>
    <row r="80">
      <c r="A80" s="87" t="s">
        <v>132</v>
      </c>
      <c r="B80" s="89">
        <f t="shared" ref="B80:M80" si="41">(B49+B50+B54)</f>
        <v>0</v>
      </c>
      <c r="C80" s="89">
        <f t="shared" si="41"/>
        <v>0</v>
      </c>
      <c r="D80" s="89">
        <f t="shared" si="41"/>
        <v>0</v>
      </c>
      <c r="E80" s="89">
        <f t="shared" si="41"/>
        <v>0</v>
      </c>
      <c r="F80" s="89">
        <f t="shared" si="41"/>
        <v>0</v>
      </c>
      <c r="G80" s="89">
        <f t="shared" si="41"/>
        <v>0</v>
      </c>
      <c r="H80" s="89">
        <f t="shared" si="41"/>
        <v>0</v>
      </c>
      <c r="I80" s="89">
        <f t="shared" si="41"/>
        <v>0</v>
      </c>
      <c r="J80" s="89">
        <f t="shared" si="41"/>
        <v>0</v>
      </c>
      <c r="K80" s="89">
        <f t="shared" si="41"/>
        <v>-35200000</v>
      </c>
      <c r="L80" s="89">
        <f t="shared" si="41"/>
        <v>-88238000</v>
      </c>
      <c r="M80" s="89">
        <f t="shared" si="41"/>
        <v>-93721000</v>
      </c>
      <c r="N80" s="77"/>
      <c r="O80" s="89">
        <f t="shared" ref="O80:Y80" si="42">(O49+O50+O54)</f>
        <v>-91449000</v>
      </c>
      <c r="P80" s="89">
        <f t="shared" si="42"/>
        <v>-104804000</v>
      </c>
      <c r="Q80" s="89">
        <f t="shared" si="42"/>
        <v>-50160000</v>
      </c>
      <c r="R80" s="89">
        <f t="shared" si="42"/>
        <v>-92799000</v>
      </c>
      <c r="S80" s="89">
        <f t="shared" si="42"/>
        <v>-92803000</v>
      </c>
      <c r="T80" s="89">
        <f t="shared" si="42"/>
        <v>-178470000</v>
      </c>
      <c r="U80" s="89">
        <f t="shared" si="42"/>
        <v>-70974000</v>
      </c>
      <c r="V80" s="89">
        <f t="shared" si="42"/>
        <v>-109269000</v>
      </c>
      <c r="W80" s="89">
        <f t="shared" si="42"/>
        <v>-151397000</v>
      </c>
      <c r="X80" s="89">
        <f t="shared" si="42"/>
        <v>-151604000</v>
      </c>
      <c r="Y80" s="89">
        <f t="shared" si="42"/>
        <v>-231589000</v>
      </c>
      <c r="Z80" s="1"/>
      <c r="AA80" s="135" t="s">
        <v>133</v>
      </c>
      <c r="AB80" s="135" t="s">
        <v>89</v>
      </c>
      <c r="AC80" s="1"/>
      <c r="AD80" s="1"/>
      <c r="AE80" s="1"/>
    </row>
    <row r="81">
      <c r="A81" s="90" t="s">
        <v>133</v>
      </c>
      <c r="B81" s="92">
        <f t="shared" ref="B81:M81" si="43">B47+B80</f>
        <v>0</v>
      </c>
      <c r="C81" s="92">
        <f t="shared" si="43"/>
        <v>0</v>
      </c>
      <c r="D81" s="92">
        <f t="shared" si="43"/>
        <v>0</v>
      </c>
      <c r="E81" s="92">
        <f t="shared" si="43"/>
        <v>0</v>
      </c>
      <c r="F81" s="92">
        <f t="shared" si="43"/>
        <v>0</v>
      </c>
      <c r="G81" s="92">
        <f t="shared" si="43"/>
        <v>79255000</v>
      </c>
      <c r="H81" s="92">
        <f t="shared" si="43"/>
        <v>79251000</v>
      </c>
      <c r="I81" s="92">
        <f t="shared" si="43"/>
        <v>0</v>
      </c>
      <c r="J81" s="92">
        <f t="shared" si="43"/>
        <v>0</v>
      </c>
      <c r="K81" s="92">
        <f t="shared" si="43"/>
        <v>43313000</v>
      </c>
      <c r="L81" s="92">
        <f t="shared" si="43"/>
        <v>-52091694</v>
      </c>
      <c r="M81" s="92">
        <f t="shared" si="43"/>
        <v>-48355306</v>
      </c>
      <c r="N81" s="136"/>
      <c r="O81" s="92">
        <f t="shared" ref="O81:Y81" si="44">O47+O80</f>
        <v>4912000</v>
      </c>
      <c r="P81" s="92">
        <f t="shared" si="44"/>
        <v>28391000</v>
      </c>
      <c r="Q81" s="92">
        <f t="shared" si="44"/>
        <v>71977000</v>
      </c>
      <c r="R81" s="92">
        <f t="shared" si="44"/>
        <v>7034000</v>
      </c>
      <c r="S81" s="92">
        <f t="shared" si="44"/>
        <v>37764000</v>
      </c>
      <c r="T81" s="92">
        <f t="shared" si="44"/>
        <v>-109984000</v>
      </c>
      <c r="U81" s="92">
        <f t="shared" si="44"/>
        <v>72072000</v>
      </c>
      <c r="V81" s="92">
        <f t="shared" si="44"/>
        <v>41513000</v>
      </c>
      <c r="W81" s="92">
        <f t="shared" si="44"/>
        <v>123824000</v>
      </c>
      <c r="X81" s="92">
        <f t="shared" si="44"/>
        <v>150572000</v>
      </c>
      <c r="Y81" s="92">
        <f t="shared" si="44"/>
        <v>29825000</v>
      </c>
      <c r="Z81" s="30"/>
      <c r="AA81" s="137">
        <f>AVERAGE(O81:Y81)</f>
        <v>41627272.73</v>
      </c>
      <c r="AB81" s="138">
        <f t="shared" ref="AB81:AB83" si="47">STDEV(O81:Y81)</f>
        <v>68068610.4</v>
      </c>
      <c r="AC81" s="1"/>
      <c r="AD81" s="1"/>
      <c r="AE81" s="1"/>
    </row>
    <row r="82">
      <c r="A82" s="139" t="s">
        <v>134</v>
      </c>
      <c r="B82" s="140" t="str">
        <f t="shared" ref="B82:M82" si="45">(B81-A81)/ABS(A81)</f>
        <v>#VALUE!</v>
      </c>
      <c r="C82" s="140" t="str">
        <f t="shared" si="45"/>
        <v>#DIV/0!</v>
      </c>
      <c r="D82" s="140" t="str">
        <f t="shared" si="45"/>
        <v>#DIV/0!</v>
      </c>
      <c r="E82" s="140" t="str">
        <f t="shared" si="45"/>
        <v>#DIV/0!</v>
      </c>
      <c r="F82" s="140" t="str">
        <f t="shared" si="45"/>
        <v>#DIV/0!</v>
      </c>
      <c r="G82" s="140" t="str">
        <f t="shared" si="45"/>
        <v>#DIV/0!</v>
      </c>
      <c r="H82" s="140">
        <f t="shared" si="45"/>
        <v>-0.00005047000189</v>
      </c>
      <c r="I82" s="140">
        <f t="shared" si="45"/>
        <v>-1</v>
      </c>
      <c r="J82" s="140" t="str">
        <f t="shared" si="45"/>
        <v>#DIV/0!</v>
      </c>
      <c r="K82" s="140" t="str">
        <f t="shared" si="45"/>
        <v>#DIV/0!</v>
      </c>
      <c r="L82" s="140">
        <f t="shared" si="45"/>
        <v>-2.20268035</v>
      </c>
      <c r="M82" s="140">
        <f t="shared" si="45"/>
        <v>0.07172713562</v>
      </c>
      <c r="N82" s="76"/>
      <c r="O82" s="139"/>
      <c r="P82" s="140">
        <f t="shared" ref="P82:Y82" si="46">(P81-O81)/ABS(O81)</f>
        <v>4.77992671</v>
      </c>
      <c r="Q82" s="140">
        <f t="shared" si="46"/>
        <v>1.535204818</v>
      </c>
      <c r="R82" s="140">
        <f t="shared" si="46"/>
        <v>-0.9022743376</v>
      </c>
      <c r="S82" s="140">
        <f t="shared" si="46"/>
        <v>4.36878021</v>
      </c>
      <c r="T82" s="140">
        <f t="shared" si="46"/>
        <v>-3.912403347</v>
      </c>
      <c r="U82" s="140">
        <f t="shared" si="46"/>
        <v>1.655295316</v>
      </c>
      <c r="V82" s="140">
        <f t="shared" si="46"/>
        <v>-0.424006549</v>
      </c>
      <c r="W82" s="140">
        <f t="shared" si="46"/>
        <v>1.98277648</v>
      </c>
      <c r="X82" s="140">
        <f t="shared" si="46"/>
        <v>0.2160162812</v>
      </c>
      <c r="Y82" s="140">
        <f t="shared" si="46"/>
        <v>-0.8019220041</v>
      </c>
      <c r="Z82" s="46"/>
      <c r="AA82" s="141">
        <f t="shared" ref="AA82:AA83" si="50">AVERAGE(P82:Y82)</f>
        <v>0.8497393578</v>
      </c>
      <c r="AB82" s="142">
        <f t="shared" si="47"/>
        <v>2.597694523</v>
      </c>
      <c r="AC82" s="1"/>
      <c r="AD82" s="1"/>
      <c r="AE82" s="1"/>
    </row>
    <row r="83">
      <c r="A83" s="90" t="s">
        <v>135</v>
      </c>
      <c r="B83" s="143" t="str">
        <f t="shared" ref="B83:M83" si="48">B81/B79</f>
        <v>#DIV/0!</v>
      </c>
      <c r="C83" s="143" t="str">
        <f t="shared" si="48"/>
        <v>#DIV/0!</v>
      </c>
      <c r="D83" s="143" t="str">
        <f t="shared" si="48"/>
        <v>#DIV/0!</v>
      </c>
      <c r="E83" s="143" t="str">
        <f t="shared" si="48"/>
        <v>#DIV/0!</v>
      </c>
      <c r="F83" s="143" t="str">
        <f t="shared" si="48"/>
        <v>#DIV/0!</v>
      </c>
      <c r="G83" s="143" t="str">
        <f t="shared" si="48"/>
        <v>#DIV/0!</v>
      </c>
      <c r="H83" s="143" t="str">
        <f t="shared" si="48"/>
        <v>#DIV/0!</v>
      </c>
      <c r="I83" s="143" t="str">
        <f t="shared" si="48"/>
        <v>#DIV/0!</v>
      </c>
      <c r="J83" s="143" t="str">
        <f t="shared" si="48"/>
        <v>#DIV/0!</v>
      </c>
      <c r="K83" s="143">
        <f t="shared" si="48"/>
        <v>0.03138623188</v>
      </c>
      <c r="L83" s="143">
        <f t="shared" si="48"/>
        <v>-0.03830271618</v>
      </c>
      <c r="M83" s="143">
        <f t="shared" si="48"/>
        <v>-0.0352958438</v>
      </c>
      <c r="N83" s="76"/>
      <c r="O83" s="143">
        <f t="shared" ref="O83:Y83" si="49">O81/O79</f>
        <v>0.009575048733</v>
      </c>
      <c r="P83" s="143">
        <f t="shared" si="49"/>
        <v>0.03416486161</v>
      </c>
      <c r="Q83" s="143">
        <f t="shared" si="49"/>
        <v>0.09347662338</v>
      </c>
      <c r="R83" s="143">
        <f t="shared" si="49"/>
        <v>0.01194227504</v>
      </c>
      <c r="S83" s="143">
        <f t="shared" si="49"/>
        <v>0.05827777778</v>
      </c>
      <c r="T83" s="143">
        <f t="shared" si="49"/>
        <v>-0.1067805825</v>
      </c>
      <c r="U83" s="143">
        <f t="shared" si="49"/>
        <v>0.09835152838</v>
      </c>
      <c r="V83" s="143">
        <f t="shared" si="49"/>
        <v>0.03641491228</v>
      </c>
      <c r="W83" s="143">
        <f t="shared" si="49"/>
        <v>0.1190615385</v>
      </c>
      <c r="X83" s="143">
        <f t="shared" si="49"/>
        <v>0.07682244898</v>
      </c>
      <c r="Y83" s="144">
        <f t="shared" si="49"/>
        <v>0.0172443322</v>
      </c>
      <c r="Z83" s="46"/>
      <c r="AA83" s="145">
        <f t="shared" si="50"/>
        <v>0.04389757156</v>
      </c>
      <c r="AB83" s="146">
        <f t="shared" si="47"/>
        <v>0.06166106966</v>
      </c>
      <c r="AC83" s="1"/>
      <c r="AD83" s="1"/>
      <c r="AE83" s="1"/>
    </row>
    <row r="84">
      <c r="A84" s="147" t="s">
        <v>136</v>
      </c>
      <c r="B84" s="112">
        <v>0.045</v>
      </c>
      <c r="C84" s="112">
        <v>0.045</v>
      </c>
      <c r="D84" s="112">
        <v>0.045</v>
      </c>
      <c r="E84" s="112">
        <v>0.045</v>
      </c>
      <c r="F84" s="112">
        <v>0.045</v>
      </c>
      <c r="G84" s="112">
        <v>0.045</v>
      </c>
      <c r="H84" s="112">
        <v>0.045</v>
      </c>
      <c r="I84" s="112">
        <v>0.045</v>
      </c>
      <c r="J84" s="112">
        <v>0.045</v>
      </c>
      <c r="K84" s="112">
        <v>0.045</v>
      </c>
      <c r="L84" s="112">
        <v>0.045</v>
      </c>
      <c r="M84" s="112">
        <v>0.045</v>
      </c>
      <c r="N84" s="98"/>
      <c r="O84" s="148">
        <v>0.0214</v>
      </c>
      <c r="P84" s="148">
        <v>0.0214</v>
      </c>
      <c r="Q84" s="148">
        <v>0.0184</v>
      </c>
      <c r="R84" s="148">
        <v>0.0233</v>
      </c>
      <c r="S84" s="148">
        <v>0.0291</v>
      </c>
      <c r="T84" s="148">
        <v>0.0214</v>
      </c>
      <c r="U84" s="148">
        <v>0.0089</v>
      </c>
      <c r="V84" s="148">
        <v>0.0145</v>
      </c>
      <c r="W84" s="148">
        <v>0.0284</v>
      </c>
      <c r="X84" s="148">
        <v>0.0375</v>
      </c>
      <c r="Y84" s="148">
        <v>0.045</v>
      </c>
      <c r="Z84" s="46"/>
      <c r="AA84" s="1"/>
      <c r="AB84" s="1"/>
      <c r="AC84" s="1"/>
      <c r="AD84" s="1"/>
      <c r="AE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35" t="s">
        <v>107</v>
      </c>
      <c r="AB85" s="135" t="s">
        <v>89</v>
      </c>
      <c r="AC85" s="1"/>
      <c r="AD85" s="1"/>
      <c r="AE85" s="1"/>
    </row>
    <row r="86">
      <c r="A86" s="149" t="s">
        <v>137</v>
      </c>
      <c r="B86" s="150" t="str">
        <f t="shared" ref="B86:M86" si="51">(B47-A47)/ABS(A47)</f>
        <v>#VALUE!</v>
      </c>
      <c r="C86" s="150" t="str">
        <f t="shared" si="51"/>
        <v>#DIV/0!</v>
      </c>
      <c r="D86" s="150" t="str">
        <f t="shared" si="51"/>
        <v>#DIV/0!</v>
      </c>
      <c r="E86" s="150" t="str">
        <f t="shared" si="51"/>
        <v>#DIV/0!</v>
      </c>
      <c r="F86" s="150" t="str">
        <f t="shared" si="51"/>
        <v>#DIV/0!</v>
      </c>
      <c r="G86" s="150" t="str">
        <f t="shared" si="51"/>
        <v>#DIV/0!</v>
      </c>
      <c r="H86" s="150">
        <f t="shared" si="51"/>
        <v>-0.00005047000189</v>
      </c>
      <c r="I86" s="150">
        <f t="shared" si="51"/>
        <v>-1</v>
      </c>
      <c r="J86" s="150" t="str">
        <f t="shared" si="51"/>
        <v>#DIV/0!</v>
      </c>
      <c r="K86" s="150" t="str">
        <f t="shared" si="51"/>
        <v>#DIV/0!</v>
      </c>
      <c r="L86" s="150">
        <f t="shared" si="51"/>
        <v>-0.5396137455</v>
      </c>
      <c r="M86" s="150">
        <f t="shared" si="51"/>
        <v>0.2550575431</v>
      </c>
      <c r="N86" s="46"/>
      <c r="O86" s="149"/>
      <c r="P86" s="150">
        <f t="shared" ref="P86:Y86" si="52">(P47-O47)/ABS(O47)</f>
        <v>0.3822500804</v>
      </c>
      <c r="Q86" s="150">
        <f t="shared" si="52"/>
        <v>-0.08302113443</v>
      </c>
      <c r="R86" s="150">
        <f t="shared" si="52"/>
        <v>-0.1826146049</v>
      </c>
      <c r="S86" s="150">
        <f t="shared" si="52"/>
        <v>0.3078541164</v>
      </c>
      <c r="T86" s="150">
        <f t="shared" si="52"/>
        <v>-0.4754723628</v>
      </c>
      <c r="U86" s="150">
        <f t="shared" si="52"/>
        <v>1.088689659</v>
      </c>
      <c r="V86" s="150">
        <f t="shared" si="52"/>
        <v>0.05408050557</v>
      </c>
      <c r="W86" s="150">
        <f t="shared" si="52"/>
        <v>0.8252908172</v>
      </c>
      <c r="X86" s="150">
        <f t="shared" si="52"/>
        <v>0.0979394741</v>
      </c>
      <c r="Y86" s="150">
        <f t="shared" si="52"/>
        <v>-0.1348948957</v>
      </c>
      <c r="Z86" s="46"/>
      <c r="AA86" s="141">
        <f t="shared" ref="AA86:AA88" si="55">AVERAGE(P86:Y86)</f>
        <v>0.1880101655</v>
      </c>
      <c r="AB86" s="142">
        <f t="shared" ref="AB86:AB88" si="56">STDEV(O86:Y86)</f>
        <v>0.4773525613</v>
      </c>
      <c r="AC86" s="46"/>
      <c r="AD86" s="46"/>
      <c r="AE86" s="46"/>
    </row>
    <row r="87">
      <c r="A87" s="1" t="s">
        <v>138</v>
      </c>
      <c r="B87" s="44" t="str">
        <f t="shared" ref="B87:M87" si="53">(B88-A88)/ABS(A88)</f>
        <v>#DIV/0!</v>
      </c>
      <c r="C87" s="44" t="str">
        <f t="shared" si="53"/>
        <v>#DIV/0!</v>
      </c>
      <c r="D87" s="44" t="str">
        <f t="shared" si="53"/>
        <v>#DIV/0!</v>
      </c>
      <c r="E87" s="44" t="str">
        <f t="shared" si="53"/>
        <v>#DIV/0!</v>
      </c>
      <c r="F87" s="44" t="str">
        <f t="shared" si="53"/>
        <v>#DIV/0!</v>
      </c>
      <c r="G87" s="44" t="str">
        <f t="shared" si="53"/>
        <v>#DIV/0!</v>
      </c>
      <c r="H87" s="44" t="str">
        <f t="shared" si="53"/>
        <v>#DIV/0!</v>
      </c>
      <c r="I87" s="44" t="str">
        <f t="shared" si="53"/>
        <v>#DIV/0!</v>
      </c>
      <c r="J87" s="44" t="str">
        <f t="shared" si="53"/>
        <v>#DIV/0!</v>
      </c>
      <c r="K87" s="44" t="str">
        <f t="shared" si="53"/>
        <v>#DIV/0!</v>
      </c>
      <c r="L87" s="44">
        <f t="shared" si="53"/>
        <v>-0.5328433594</v>
      </c>
      <c r="M87" s="44">
        <f t="shared" si="53"/>
        <v>0.2458965391</v>
      </c>
      <c r="N87" s="46"/>
      <c r="O87" s="46"/>
      <c r="P87" s="44">
        <f t="shared" ref="P87:Y87" si="54">(P88-O88)/ABS(O88)</f>
        <v>-0.1466976038</v>
      </c>
      <c r="Q87" s="44">
        <f t="shared" si="54"/>
        <v>-0.01037735417</v>
      </c>
      <c r="R87" s="44">
        <f t="shared" si="54"/>
        <v>0.06856834333</v>
      </c>
      <c r="S87" s="44">
        <f t="shared" si="54"/>
        <v>0.1887748064</v>
      </c>
      <c r="T87" s="44">
        <f t="shared" si="54"/>
        <v>-0.6700059137</v>
      </c>
      <c r="U87" s="44">
        <f t="shared" si="54"/>
        <v>1.93579469</v>
      </c>
      <c r="V87" s="44">
        <f t="shared" si="54"/>
        <v>-0.322429654</v>
      </c>
      <c r="W87" s="44">
        <f t="shared" si="54"/>
        <v>1.00079955</v>
      </c>
      <c r="X87" s="44">
        <f t="shared" si="54"/>
        <v>-0.4174198709</v>
      </c>
      <c r="Y87" s="44">
        <f t="shared" si="54"/>
        <v>-0.01962805603</v>
      </c>
      <c r="Z87" s="46"/>
      <c r="AA87" s="141">
        <f t="shared" si="55"/>
        <v>0.1607378937</v>
      </c>
      <c r="AB87" s="142">
        <f t="shared" si="56"/>
        <v>0.7659411751</v>
      </c>
      <c r="AC87" s="46"/>
      <c r="AD87" s="46"/>
      <c r="AE87" s="46"/>
    </row>
    <row r="88">
      <c r="A88" s="151" t="s">
        <v>139</v>
      </c>
      <c r="B88" s="152" t="str">
        <f t="shared" ref="B88:M88" si="57">B47/B79</f>
        <v>#DIV/0!</v>
      </c>
      <c r="C88" s="152" t="str">
        <f t="shared" si="57"/>
        <v>#DIV/0!</v>
      </c>
      <c r="D88" s="152" t="str">
        <f t="shared" si="57"/>
        <v>#DIV/0!</v>
      </c>
      <c r="E88" s="152" t="str">
        <f t="shared" si="57"/>
        <v>#DIV/0!</v>
      </c>
      <c r="F88" s="152" t="str">
        <f t="shared" si="57"/>
        <v>#DIV/0!</v>
      </c>
      <c r="G88" s="152" t="str">
        <f t="shared" si="57"/>
        <v>#DIV/0!</v>
      </c>
      <c r="H88" s="152" t="str">
        <f t="shared" si="57"/>
        <v>#DIV/0!</v>
      </c>
      <c r="I88" s="152" t="str">
        <f t="shared" si="57"/>
        <v>#DIV/0!</v>
      </c>
      <c r="J88" s="152" t="str">
        <f t="shared" si="57"/>
        <v>#DIV/0!</v>
      </c>
      <c r="K88" s="152">
        <f t="shared" si="57"/>
        <v>0.05689347826</v>
      </c>
      <c r="L88" s="152">
        <f t="shared" si="57"/>
        <v>0.02657816618</v>
      </c>
      <c r="M88" s="152">
        <f t="shared" si="57"/>
        <v>0.03311364526</v>
      </c>
      <c r="N88" s="46"/>
      <c r="O88" s="152">
        <f t="shared" ref="O88:Y88" si="58">O47/O79</f>
        <v>0.1878382066</v>
      </c>
      <c r="P88" s="152">
        <f t="shared" si="58"/>
        <v>0.1602827918</v>
      </c>
      <c r="Q88" s="152">
        <f t="shared" si="58"/>
        <v>0.1586194805</v>
      </c>
      <c r="R88" s="152">
        <f t="shared" si="58"/>
        <v>0.1694957555</v>
      </c>
      <c r="S88" s="152">
        <f t="shared" si="58"/>
        <v>0.201492284</v>
      </c>
      <c r="T88" s="152">
        <f t="shared" si="58"/>
        <v>0.06649126214</v>
      </c>
      <c r="U88" s="152">
        <f t="shared" si="58"/>
        <v>0.1952046943</v>
      </c>
      <c r="V88" s="152">
        <f t="shared" si="58"/>
        <v>0.1322649123</v>
      </c>
      <c r="W88" s="152">
        <f t="shared" si="58"/>
        <v>0.2646355769</v>
      </c>
      <c r="X88" s="152">
        <f t="shared" si="58"/>
        <v>0.1541714286</v>
      </c>
      <c r="Y88" s="152">
        <f t="shared" si="58"/>
        <v>0.1511453431</v>
      </c>
      <c r="Z88" s="46"/>
      <c r="AA88" s="145">
        <f t="shared" si="55"/>
        <v>0.1653803529</v>
      </c>
      <c r="AB88" s="146">
        <f t="shared" si="56"/>
        <v>0.04878140871</v>
      </c>
      <c r="AC88" s="46"/>
      <c r="AD88" s="46"/>
      <c r="AE88" s="46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</sheetData>
  <mergeCells count="4">
    <mergeCell ref="O1:Z1"/>
    <mergeCell ref="C34:L34"/>
    <mergeCell ref="C1:M1"/>
    <mergeCell ref="M34:V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</cols>
  <sheetData>
    <row r="1">
      <c r="A1" s="153" t="s">
        <v>140</v>
      </c>
      <c r="B1" s="154" t="s">
        <v>141</v>
      </c>
      <c r="C1" s="155" t="s">
        <v>142</v>
      </c>
      <c r="D1" s="155" t="s">
        <v>143</v>
      </c>
      <c r="E1" s="155" t="s">
        <v>144</v>
      </c>
      <c r="F1" s="155" t="s">
        <v>145</v>
      </c>
      <c r="G1" s="155" t="s">
        <v>146</v>
      </c>
      <c r="H1" s="155" t="s">
        <v>147</v>
      </c>
      <c r="I1" s="155" t="s">
        <v>148</v>
      </c>
      <c r="J1" s="155" t="s">
        <v>149</v>
      </c>
      <c r="K1" s="155" t="s">
        <v>150</v>
      </c>
      <c r="L1" s="155" t="s">
        <v>151</v>
      </c>
      <c r="M1" s="156" t="s">
        <v>152</v>
      </c>
      <c r="N1" s="1"/>
    </row>
    <row r="2">
      <c r="A2" s="157" t="s">
        <v>153</v>
      </c>
      <c r="B2" s="158">
        <v>0.05</v>
      </c>
      <c r="C2" s="159">
        <v>1.0E8</v>
      </c>
      <c r="D2" s="160">
        <f t="shared" ref="D2:M2" si="1">C2*(1+$B2)</f>
        <v>105000000</v>
      </c>
      <c r="E2" s="160">
        <f t="shared" si="1"/>
        <v>110250000</v>
      </c>
      <c r="F2" s="160">
        <f t="shared" si="1"/>
        <v>115762500</v>
      </c>
      <c r="G2" s="160">
        <f t="shared" si="1"/>
        <v>121550625</v>
      </c>
      <c r="H2" s="160">
        <f t="shared" si="1"/>
        <v>127628156.3</v>
      </c>
      <c r="I2" s="160">
        <f t="shared" si="1"/>
        <v>134009564.1</v>
      </c>
      <c r="J2" s="160">
        <f t="shared" si="1"/>
        <v>140710042.3</v>
      </c>
      <c r="K2" s="160">
        <f t="shared" si="1"/>
        <v>147745544.4</v>
      </c>
      <c r="L2" s="160">
        <f t="shared" si="1"/>
        <v>155132821.6</v>
      </c>
      <c r="M2" s="161">
        <f t="shared" si="1"/>
        <v>162889462.7</v>
      </c>
      <c r="N2" s="1"/>
    </row>
    <row r="3">
      <c r="A3" s="157" t="s">
        <v>154</v>
      </c>
      <c r="B3" s="162">
        <v>0.15</v>
      </c>
      <c r="C3" s="163">
        <v>1.0E8</v>
      </c>
      <c r="D3" s="164">
        <f t="shared" ref="D3:M3" si="2">C3*(1+$B3)</f>
        <v>115000000</v>
      </c>
      <c r="E3" s="164">
        <f t="shared" si="2"/>
        <v>132250000</v>
      </c>
      <c r="F3" s="164">
        <f t="shared" si="2"/>
        <v>152087500</v>
      </c>
      <c r="G3" s="164">
        <f t="shared" si="2"/>
        <v>174900625</v>
      </c>
      <c r="H3" s="164">
        <f t="shared" si="2"/>
        <v>201135718.8</v>
      </c>
      <c r="I3" s="164">
        <f t="shared" si="2"/>
        <v>231306076.6</v>
      </c>
      <c r="J3" s="164">
        <f t="shared" si="2"/>
        <v>266001988</v>
      </c>
      <c r="K3" s="164">
        <f t="shared" si="2"/>
        <v>305902286.3</v>
      </c>
      <c r="L3" s="164">
        <f t="shared" si="2"/>
        <v>351787629.2</v>
      </c>
      <c r="M3" s="165">
        <f t="shared" si="2"/>
        <v>404555773.6</v>
      </c>
      <c r="N3" s="1"/>
    </row>
    <row r="4">
      <c r="A4" s="157" t="s">
        <v>155</v>
      </c>
      <c r="B4" s="162">
        <v>0.2</v>
      </c>
      <c r="C4" s="163">
        <v>1.0E8</v>
      </c>
      <c r="D4" s="164">
        <f t="shared" ref="D4:M4" si="3">C4*(1+$B4)</f>
        <v>120000000</v>
      </c>
      <c r="E4" s="164">
        <f t="shared" si="3"/>
        <v>144000000</v>
      </c>
      <c r="F4" s="164">
        <f t="shared" si="3"/>
        <v>172800000</v>
      </c>
      <c r="G4" s="164">
        <f t="shared" si="3"/>
        <v>207360000</v>
      </c>
      <c r="H4" s="164">
        <f t="shared" si="3"/>
        <v>248832000</v>
      </c>
      <c r="I4" s="164">
        <f t="shared" si="3"/>
        <v>298598400</v>
      </c>
      <c r="J4" s="164">
        <f t="shared" si="3"/>
        <v>358318080</v>
      </c>
      <c r="K4" s="164">
        <f t="shared" si="3"/>
        <v>429981696</v>
      </c>
      <c r="L4" s="164">
        <f t="shared" si="3"/>
        <v>515978035.2</v>
      </c>
      <c r="M4" s="165">
        <f t="shared" si="3"/>
        <v>619173642.2</v>
      </c>
      <c r="N4" s="1"/>
    </row>
    <row r="5">
      <c r="A5" s="157" t="s">
        <v>156</v>
      </c>
      <c r="B5" s="162">
        <v>0.25</v>
      </c>
      <c r="C5" s="163">
        <v>1.0E8</v>
      </c>
      <c r="D5" s="164">
        <f t="shared" ref="D5:M5" si="4">C5*(1+$B5)</f>
        <v>125000000</v>
      </c>
      <c r="E5" s="164">
        <f t="shared" si="4"/>
        <v>156250000</v>
      </c>
      <c r="F5" s="164">
        <f t="shared" si="4"/>
        <v>195312500</v>
      </c>
      <c r="G5" s="164">
        <f t="shared" si="4"/>
        <v>244140625</v>
      </c>
      <c r="H5" s="164">
        <f t="shared" si="4"/>
        <v>305175781.3</v>
      </c>
      <c r="I5" s="164">
        <f t="shared" si="4"/>
        <v>381469726.6</v>
      </c>
      <c r="J5" s="164">
        <f t="shared" si="4"/>
        <v>476837158.2</v>
      </c>
      <c r="K5" s="164">
        <f t="shared" si="4"/>
        <v>596046447.8</v>
      </c>
      <c r="L5" s="164">
        <f t="shared" si="4"/>
        <v>745058059.7</v>
      </c>
      <c r="M5" s="165">
        <f t="shared" si="4"/>
        <v>931322574.6</v>
      </c>
      <c r="N5" s="1"/>
    </row>
    <row r="6">
      <c r="A6" s="166" t="s">
        <v>157</v>
      </c>
      <c r="B6" s="167">
        <v>0.35</v>
      </c>
      <c r="C6" s="168">
        <v>1.0E8</v>
      </c>
      <c r="D6" s="169">
        <f t="shared" ref="D6:M6" si="5">C6*(1+$B6)</f>
        <v>135000000</v>
      </c>
      <c r="E6" s="169">
        <f t="shared" si="5"/>
        <v>182250000</v>
      </c>
      <c r="F6" s="169">
        <f t="shared" si="5"/>
        <v>246037500</v>
      </c>
      <c r="G6" s="169">
        <f t="shared" si="5"/>
        <v>332150625</v>
      </c>
      <c r="H6" s="169">
        <f t="shared" si="5"/>
        <v>448403343.8</v>
      </c>
      <c r="I6" s="169">
        <f t="shared" si="5"/>
        <v>605344514.1</v>
      </c>
      <c r="J6" s="169">
        <f t="shared" si="5"/>
        <v>817215094</v>
      </c>
      <c r="K6" s="169">
        <f t="shared" si="5"/>
        <v>1103240377</v>
      </c>
      <c r="L6" s="169">
        <f t="shared" si="5"/>
        <v>1489374509</v>
      </c>
      <c r="M6" s="170">
        <f t="shared" si="5"/>
        <v>2010655587</v>
      </c>
      <c r="N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71" t="s">
        <v>158</v>
      </c>
      <c r="B8" s="172">
        <v>0.1</v>
      </c>
      <c r="C8" s="173" t="s">
        <v>159</v>
      </c>
      <c r="D8" s="1" t="s">
        <v>160</v>
      </c>
      <c r="E8" s="174"/>
      <c r="F8" s="174"/>
      <c r="G8" s="174"/>
      <c r="H8" s="174"/>
      <c r="I8" s="174"/>
      <c r="J8" s="174"/>
      <c r="K8" s="174"/>
      <c r="L8" s="174"/>
      <c r="M8" s="1"/>
      <c r="N8" s="1"/>
    </row>
    <row r="9">
      <c r="A9" s="171" t="s">
        <v>161</v>
      </c>
      <c r="B9" s="85">
        <v>6.3335388E7</v>
      </c>
      <c r="C9" s="1"/>
      <c r="D9" s="1" t="s">
        <v>162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71" t="s">
        <v>163</v>
      </c>
      <c r="B10" s="175">
        <v>0.03</v>
      </c>
      <c r="C10" s="46"/>
      <c r="D10" s="1" t="s">
        <v>164</v>
      </c>
      <c r="E10" s="46"/>
      <c r="F10" s="46"/>
      <c r="G10" s="46"/>
      <c r="H10" s="46"/>
      <c r="I10" s="46"/>
      <c r="J10" s="46"/>
      <c r="K10" s="46"/>
      <c r="L10" s="46"/>
      <c r="M10" s="1"/>
      <c r="N10" s="1"/>
    </row>
    <row r="11">
      <c r="A11" s="171" t="s">
        <v>165</v>
      </c>
      <c r="B11" s="125">
        <v>10.0</v>
      </c>
      <c r="C11" s="1"/>
      <c r="D11" s="1" t="s">
        <v>166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 t="s">
        <v>167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53" t="s">
        <v>168</v>
      </c>
      <c r="B13" s="17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57" t="s">
        <v>153</v>
      </c>
      <c r="B14" s="177">
        <f t="shared" ref="B14:B18" si="6">((M2*(1+$B$10))/((1+$B$8-$B$10)))/((1+$B$8)^$B$11)</f>
        <v>60453240.59</v>
      </c>
      <c r="C14" s="1"/>
      <c r="D14" s="178" t="s">
        <v>169</v>
      </c>
      <c r="E14" s="178" t="s">
        <v>170</v>
      </c>
      <c r="F14" s="178" t="s">
        <v>171</v>
      </c>
      <c r="G14" s="1"/>
      <c r="H14" s="178" t="s">
        <v>172</v>
      </c>
      <c r="I14" s="1"/>
      <c r="J14" s="1"/>
      <c r="K14" s="1"/>
      <c r="L14" s="1"/>
      <c r="M14" s="1"/>
      <c r="N14" s="1"/>
    </row>
    <row r="15">
      <c r="A15" s="157" t="s">
        <v>154</v>
      </c>
      <c r="B15" s="177">
        <f t="shared" si="6"/>
        <v>150142968.8</v>
      </c>
      <c r="C15" s="178" t="s">
        <v>173</v>
      </c>
      <c r="D15" s="179" t="s">
        <v>174</v>
      </c>
      <c r="E15" s="4" t="s">
        <v>175</v>
      </c>
      <c r="F15" s="180" t="s">
        <v>176</v>
      </c>
      <c r="G15" s="4" t="s">
        <v>177</v>
      </c>
      <c r="H15" s="181" t="s">
        <v>178</v>
      </c>
      <c r="I15" s="4" t="s">
        <v>179</v>
      </c>
      <c r="J15" s="1"/>
      <c r="K15" s="1"/>
      <c r="L15" s="1"/>
      <c r="M15" s="1"/>
      <c r="N15" s="1"/>
    </row>
    <row r="16">
      <c r="A16" s="157" t="s">
        <v>155</v>
      </c>
      <c r="B16" s="177">
        <f t="shared" si="6"/>
        <v>229794196.3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57" t="s">
        <v>156</v>
      </c>
      <c r="B17" s="177">
        <f t="shared" si="6"/>
        <v>345642172</v>
      </c>
      <c r="C17" s="178" t="s">
        <v>180</v>
      </c>
      <c r="D17" s="1" t="s">
        <v>181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66" t="s">
        <v>157</v>
      </c>
      <c r="B18" s="182">
        <f t="shared" si="6"/>
        <v>746215525.2</v>
      </c>
      <c r="C18" s="1"/>
      <c r="D18" s="1" t="s">
        <v>182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53" t="s">
        <v>183</v>
      </c>
      <c r="B20" s="18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57" t="s">
        <v>153</v>
      </c>
      <c r="B21" s="177">
        <f t="shared" ref="B21:B25" si="7">NPV($B$8,D2:M2)</f>
        <v>781180275.7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57" t="s">
        <v>154</v>
      </c>
      <c r="B22" s="177">
        <f t="shared" si="7"/>
        <v>1287396565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57" t="s">
        <v>155</v>
      </c>
      <c r="B23" s="177">
        <f t="shared" si="7"/>
        <v>1664618913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57" t="s">
        <v>156</v>
      </c>
      <c r="B24" s="177">
        <f t="shared" si="7"/>
        <v>2158876408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66" t="s">
        <v>157</v>
      </c>
      <c r="B25" s="182">
        <f t="shared" si="7"/>
        <v>3646051752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8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71" t="s">
        <v>184</v>
      </c>
      <c r="B27" s="185">
        <v>0.0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8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53" t="s">
        <v>48</v>
      </c>
      <c r="B29" s="18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57" t="s">
        <v>153</v>
      </c>
      <c r="B30" s="177">
        <f t="shared" ref="B30:B34" si="8">B21+B14</f>
        <v>841633516.3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57" t="s">
        <v>154</v>
      </c>
      <c r="B31" s="177">
        <f t="shared" si="8"/>
        <v>1437539534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57" t="s">
        <v>155</v>
      </c>
      <c r="B32" s="177">
        <f t="shared" si="8"/>
        <v>1894413109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57" t="s">
        <v>156</v>
      </c>
      <c r="B33" s="177">
        <f t="shared" si="8"/>
        <v>2504518580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66" t="s">
        <v>157</v>
      </c>
      <c r="B34" s="182">
        <f t="shared" si="8"/>
        <v>4392267277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8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53" t="s">
        <v>185</v>
      </c>
      <c r="B36" s="18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A37" s="157" t="s">
        <v>153</v>
      </c>
      <c r="B37" s="41">
        <f t="shared" ref="B37:B41" si="9">((B30-$B$27)/$B$9)</f>
        <v>13.28851915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57" t="s">
        <v>154</v>
      </c>
      <c r="B38" s="41">
        <f t="shared" si="9"/>
        <v>22.69725629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57" t="s">
        <v>155</v>
      </c>
      <c r="B39" s="41">
        <f t="shared" si="9"/>
        <v>29.91081557</v>
      </c>
      <c r="C39" s="1"/>
      <c r="D39" s="1"/>
      <c r="E39" s="4"/>
      <c r="F39" s="1"/>
      <c r="G39" s="1"/>
      <c r="H39" s="1"/>
      <c r="I39" s="1"/>
      <c r="J39" s="1"/>
      <c r="K39" s="1"/>
      <c r="L39" s="1"/>
      <c r="M39" s="1"/>
      <c r="N39" s="1"/>
    </row>
    <row r="40">
      <c r="A40" s="157" t="s">
        <v>156</v>
      </c>
      <c r="B40" s="41">
        <f t="shared" si="9"/>
        <v>39.54374732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66" t="s">
        <v>157</v>
      </c>
      <c r="B41" s="187">
        <f t="shared" si="9"/>
        <v>69.34933875</v>
      </c>
      <c r="C41" s="46"/>
      <c r="D41" s="46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184"/>
      <c r="C42" s="46"/>
      <c r="D42" s="46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88" t="s">
        <v>186</v>
      </c>
      <c r="B43" s="189">
        <v>23.22</v>
      </c>
      <c r="C43" s="46"/>
      <c r="D43" s="46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190" t="s">
        <v>187</v>
      </c>
      <c r="B45" s="191"/>
      <c r="C45" s="192" t="s">
        <v>188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57" t="s">
        <v>153</v>
      </c>
      <c r="B46" s="193">
        <f t="shared" ref="B46:B50" si="10">((B37-$B$43)/B37)</f>
        <v>-0.7473730323</v>
      </c>
      <c r="C46" s="194">
        <v>1.0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A47" s="157" t="s">
        <v>154</v>
      </c>
      <c r="B47" s="195">
        <f t="shared" si="10"/>
        <v>-0.02303114083</v>
      </c>
      <c r="C47" s="194">
        <v>2.0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A48" s="157" t="s">
        <v>155</v>
      </c>
      <c r="B48" s="195">
        <f t="shared" si="10"/>
        <v>0.2236921809</v>
      </c>
      <c r="C48" s="194">
        <v>3.0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A49" s="157" t="s">
        <v>156</v>
      </c>
      <c r="B49" s="196">
        <f t="shared" si="10"/>
        <v>0.4128022362</v>
      </c>
      <c r="C49" s="194">
        <v>2.0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A50" s="166" t="s">
        <v>157</v>
      </c>
      <c r="B50" s="197">
        <f t="shared" si="10"/>
        <v>0.6651734477</v>
      </c>
      <c r="C50" s="194">
        <v>1.0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1"/>
      <c r="B51" s="1"/>
      <c r="C51" s="198">
        <f>SUM(C46:C50)</f>
        <v>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</sheetData>
  <drawing r:id="rId1"/>
</worksheet>
</file>