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A32E741F-AA2E-4E28-8FD0-F76E05CBE76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iven parameter &amp; assumptions" sheetId="1" r:id="rId1"/>
    <sheet name="Cycle analysis" sheetId="2" r:id="rId2"/>
    <sheet name="1D Analysis" sheetId="6" r:id="rId3"/>
    <sheet name="ISRE" sheetId="7" r:id="rId4"/>
    <sheet name="NISRE" sheetId="9" r:id="rId5"/>
    <sheet name="list_of_symbols" sheetId="1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6" l="1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195" i="6"/>
  <c r="C196" i="6"/>
  <c r="C197" i="6"/>
  <c r="C198" i="6"/>
  <c r="C199" i="6"/>
  <c r="C200" i="6"/>
  <c r="C201" i="6"/>
  <c r="C174" i="6"/>
  <c r="B175" i="6"/>
  <c r="K51" i="6"/>
  <c r="O28" i="6"/>
  <c r="K35" i="6"/>
  <c r="K22" i="6"/>
  <c r="D127" i="6"/>
  <c r="J9" i="6"/>
  <c r="N72" i="6"/>
  <c r="N70" i="6"/>
  <c r="N67" i="6"/>
  <c r="N66" i="6"/>
  <c r="N65" i="6"/>
  <c r="G83" i="6"/>
  <c r="B85" i="6"/>
  <c r="B80" i="6"/>
  <c r="B79" i="6"/>
  <c r="B74" i="6"/>
  <c r="B73" i="6"/>
  <c r="B72" i="6"/>
  <c r="B71" i="6"/>
  <c r="B70" i="6"/>
  <c r="B69" i="6"/>
  <c r="B68" i="6"/>
  <c r="B66" i="6"/>
  <c r="B67" i="6"/>
  <c r="B64" i="6"/>
  <c r="B63" i="6"/>
  <c r="B192" i="6"/>
  <c r="B182" i="6"/>
  <c r="B59" i="6"/>
  <c r="B56" i="6"/>
  <c r="B55" i="6"/>
  <c r="B54" i="6"/>
  <c r="B53" i="6"/>
  <c r="B52" i="6"/>
  <c r="B51" i="6"/>
  <c r="B50" i="6"/>
  <c r="B49" i="6"/>
  <c r="B46" i="6"/>
  <c r="B42" i="6"/>
  <c r="B43" i="6"/>
  <c r="E41" i="6"/>
  <c r="B41" i="6"/>
  <c r="B40" i="6"/>
  <c r="B39" i="6"/>
  <c r="B38" i="6"/>
  <c r="B37" i="6"/>
  <c r="B36" i="6"/>
  <c r="B35" i="6"/>
  <c r="B34" i="6"/>
  <c r="B33" i="6"/>
  <c r="B30" i="6"/>
  <c r="B29" i="6"/>
  <c r="B28" i="6"/>
  <c r="B24" i="6"/>
  <c r="B23" i="6"/>
  <c r="B19" i="6"/>
  <c r="B20" i="6"/>
  <c r="B78" i="9"/>
  <c r="B46" i="9"/>
  <c r="CO20" i="9" l="1"/>
  <c r="CO21" i="9"/>
  <c r="CQ21" i="9"/>
  <c r="CO22" i="9"/>
  <c r="CQ22" i="9"/>
  <c r="CO23" i="9"/>
  <c r="CQ23" i="9"/>
  <c r="CO24" i="9"/>
  <c r="CQ24" i="9"/>
  <c r="B169" i="6" l="1"/>
  <c r="B113" i="6"/>
  <c r="W75" i="7"/>
  <c r="W77" i="7"/>
  <c r="AA73" i="7"/>
  <c r="AA74" i="7"/>
  <c r="Y77" i="7"/>
  <c r="T54" i="7"/>
  <c r="V53" i="7"/>
  <c r="W53" i="7"/>
  <c r="X53" i="7"/>
  <c r="Y53" i="7"/>
  <c r="Z53" i="7"/>
  <c r="AA53" i="7"/>
  <c r="AB53" i="7"/>
  <c r="AC53" i="7"/>
  <c r="AD53" i="7"/>
  <c r="AE53" i="7"/>
  <c r="AF53" i="7"/>
  <c r="AG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V74" i="7"/>
  <c r="X74" i="7"/>
  <c r="Y74" i="7"/>
  <c r="U53" i="7"/>
  <c r="U74" i="7"/>
  <c r="N53" i="7"/>
  <c r="N52" i="7"/>
  <c r="Q50" i="7"/>
  <c r="Q49" i="7"/>
  <c r="Q48" i="7"/>
  <c r="O46" i="7"/>
  <c r="P46" i="7"/>
  <c r="R46" i="7"/>
  <c r="N26" i="7"/>
  <c r="P25" i="7"/>
  <c r="Q25" i="7"/>
  <c r="R25" i="7"/>
  <c r="S25" i="7"/>
  <c r="T25" i="7"/>
  <c r="U25" i="7"/>
  <c r="O25" i="7"/>
  <c r="BO85" i="9"/>
  <c r="BP85" i="9" s="1"/>
  <c r="B81" i="9"/>
  <c r="B49" i="9"/>
  <c r="B37" i="9"/>
  <c r="B74" i="9"/>
  <c r="B42" i="9"/>
  <c r="AF73" i="9" l="1"/>
  <c r="AD73" i="9"/>
  <c r="AB73" i="9"/>
  <c r="CG55" i="9"/>
  <c r="BZ67" i="9"/>
  <c r="AP67" i="9"/>
  <c r="O57" i="6"/>
  <c r="BF36" i="9"/>
  <c r="AT108" i="9" l="1"/>
  <c r="AW108" i="9"/>
  <c r="AZ107" i="9"/>
  <c r="AZ108" i="9"/>
  <c r="BQ36" i="9"/>
  <c r="AR36" i="9"/>
  <c r="AF67" i="9"/>
  <c r="AD67" i="9"/>
  <c r="AB67" i="9"/>
  <c r="AF36" i="9"/>
  <c r="AD36" i="9"/>
  <c r="AB36" i="9"/>
  <c r="B69" i="9"/>
  <c r="O66" i="9"/>
  <c r="CL42" i="9"/>
  <c r="CL37" i="9"/>
  <c r="A28" i="9" s="1"/>
  <c r="CL38" i="9"/>
  <c r="CL39" i="9"/>
  <c r="A30" i="9" s="1"/>
  <c r="CL40" i="9"/>
  <c r="A31" i="9" s="1"/>
  <c r="CL41" i="9"/>
  <c r="A32" i="9" s="1"/>
  <c r="CO45" i="9"/>
  <c r="CO46" i="9"/>
  <c r="CO47" i="9"/>
  <c r="CO42" i="9"/>
  <c r="CO43" i="9"/>
  <c r="CO44" i="9"/>
  <c r="AM42" i="7"/>
  <c r="AO42" i="7"/>
  <c r="AM43" i="7"/>
  <c r="AO43" i="7"/>
  <c r="AJ37" i="7"/>
  <c r="AL37" i="7"/>
  <c r="AJ38" i="7"/>
  <c r="AL38" i="7"/>
  <c r="K52" i="6"/>
  <c r="AK38" i="7" s="1"/>
  <c r="CP43" i="9"/>
  <c r="B61" i="9" s="1"/>
  <c r="AL36" i="7"/>
  <c r="AP18" i="7"/>
  <c r="AQ18" i="7"/>
  <c r="AR18" i="7"/>
  <c r="AO41" i="7"/>
  <c r="J50" i="6"/>
  <c r="CL36" i="9" s="1"/>
  <c r="N55" i="6"/>
  <c r="CO41" i="9" s="1"/>
  <c r="B180" i="6"/>
  <c r="C175" i="6"/>
  <c r="CL25" i="9"/>
  <c r="CL26" i="9"/>
  <c r="CL27" i="9"/>
  <c r="CL28" i="9"/>
  <c r="CL30" i="9"/>
  <c r="CL31" i="9"/>
  <c r="CL32" i="9"/>
  <c r="CL35" i="9"/>
  <c r="CQ40" i="9"/>
  <c r="CO40" i="9"/>
  <c r="CQ39" i="9"/>
  <c r="CO39" i="9"/>
  <c r="CQ38" i="9"/>
  <c r="CO38" i="9"/>
  <c r="CQ37" i="9"/>
  <c r="CO37" i="9"/>
  <c r="CQ36" i="9"/>
  <c r="CO36" i="9"/>
  <c r="CQ35" i="9"/>
  <c r="CO35" i="9"/>
  <c r="CN35" i="9"/>
  <c r="CQ33" i="9"/>
  <c r="CO33" i="9"/>
  <c r="CQ32" i="9"/>
  <c r="CO32" i="9"/>
  <c r="CN32" i="9"/>
  <c r="CQ31" i="9"/>
  <c r="CO31" i="9"/>
  <c r="CN31" i="9"/>
  <c r="CQ30" i="9"/>
  <c r="CO30" i="9"/>
  <c r="CN30" i="9"/>
  <c r="CQ28" i="9"/>
  <c r="CO28" i="9"/>
  <c r="CN28" i="9"/>
  <c r="CQ27" i="9"/>
  <c r="CO27" i="9"/>
  <c r="CN27" i="9"/>
  <c r="CQ26" i="9"/>
  <c r="CO26" i="9"/>
  <c r="CN26" i="9"/>
  <c r="CQ25" i="9"/>
  <c r="CO25" i="9"/>
  <c r="CN25" i="9"/>
  <c r="CN24" i="9"/>
  <c r="CL24" i="9"/>
  <c r="CK24" i="9"/>
  <c r="CI24" i="9"/>
  <c r="CN23" i="9"/>
  <c r="CL23" i="9"/>
  <c r="CK23" i="9"/>
  <c r="CI23" i="9"/>
  <c r="CK22" i="9"/>
  <c r="CI22" i="9"/>
  <c r="CN21" i="9"/>
  <c r="CL21" i="9"/>
  <c r="CK21" i="9"/>
  <c r="CI21" i="9"/>
  <c r="CN20" i="9"/>
  <c r="CL20" i="9"/>
  <c r="CK20" i="9"/>
  <c r="CI20" i="9"/>
  <c r="CN19" i="9"/>
  <c r="CL19" i="9"/>
  <c r="CK19" i="9"/>
  <c r="CI19" i="9"/>
  <c r="CN18" i="9"/>
  <c r="CL18" i="9"/>
  <c r="CK18" i="9"/>
  <c r="CI18" i="9"/>
  <c r="CO17" i="9"/>
  <c r="CN17" i="9"/>
  <c r="CL17" i="9"/>
  <c r="CK17" i="9"/>
  <c r="CI17" i="9"/>
  <c r="CO16" i="9"/>
  <c r="CN16" i="9"/>
  <c r="CL16" i="9"/>
  <c r="CK16" i="9"/>
  <c r="CI16" i="9"/>
  <c r="CO15" i="9"/>
  <c r="CN15" i="9"/>
  <c r="CL15" i="9"/>
  <c r="CK15" i="9"/>
  <c r="CI15" i="9"/>
  <c r="CO14" i="9"/>
  <c r="CN14" i="9"/>
  <c r="CL14" i="9"/>
  <c r="CK14" i="9"/>
  <c r="CI14" i="9"/>
  <c r="CO13" i="9"/>
  <c r="CN13" i="9"/>
  <c r="CL13" i="9"/>
  <c r="CK13" i="9"/>
  <c r="CI13" i="9"/>
  <c r="CO12" i="9"/>
  <c r="CN12" i="9"/>
  <c r="CL12" i="9"/>
  <c r="CK12" i="9"/>
  <c r="CI12" i="9"/>
  <c r="CH12" i="9"/>
  <c r="CF12" i="9"/>
  <c r="CO11" i="9"/>
  <c r="CN11" i="9"/>
  <c r="CL11" i="9"/>
  <c r="CK11" i="9"/>
  <c r="CI11" i="9"/>
  <c r="CH11" i="9"/>
  <c r="AL8" i="9" s="1"/>
  <c r="CF11" i="9"/>
  <c r="AJ8" i="9" s="1"/>
  <c r="CO10" i="9"/>
  <c r="CN10" i="9"/>
  <c r="CL10" i="9"/>
  <c r="CK10" i="9"/>
  <c r="CI10" i="9"/>
  <c r="CH10" i="9"/>
  <c r="AL7" i="9" s="1"/>
  <c r="CF10" i="9"/>
  <c r="AJ7" i="9" s="1"/>
  <c r="CO9" i="9"/>
  <c r="CN9" i="9"/>
  <c r="CL9" i="9"/>
  <c r="CK9" i="9"/>
  <c r="CI9" i="9"/>
  <c r="CH9" i="9"/>
  <c r="AL6" i="9" s="1"/>
  <c r="CF9" i="9"/>
  <c r="AJ6" i="9" s="1"/>
  <c r="CQ8" i="9"/>
  <c r="CO8" i="9"/>
  <c r="CN8" i="9"/>
  <c r="CL8" i="9"/>
  <c r="CK8" i="9"/>
  <c r="CI8" i="9"/>
  <c r="CH8" i="9"/>
  <c r="AL5" i="9" s="1"/>
  <c r="CF8" i="9"/>
  <c r="AJ5" i="9" s="1"/>
  <c r="CO7" i="9"/>
  <c r="CN7" i="9"/>
  <c r="CL7" i="9"/>
  <c r="CK7" i="9"/>
  <c r="CI7" i="9"/>
  <c r="CH7" i="9"/>
  <c r="AL4" i="9" s="1"/>
  <c r="CF7" i="9"/>
  <c r="AJ4" i="9" s="1"/>
  <c r="CO6" i="9"/>
  <c r="CN6" i="9"/>
  <c r="CL6" i="9"/>
  <c r="CK6" i="9"/>
  <c r="CI6" i="9"/>
  <c r="CH6" i="9"/>
  <c r="AL10" i="9" s="1"/>
  <c r="CF6" i="9"/>
  <c r="AJ10" i="9" s="1"/>
  <c r="CQ5" i="9"/>
  <c r="CO5" i="9"/>
  <c r="CN5" i="9"/>
  <c r="CL5" i="9"/>
  <c r="CK5" i="9"/>
  <c r="CI5" i="9"/>
  <c r="CF5" i="9"/>
  <c r="AJ3" i="9" s="1"/>
  <c r="CQ4" i="9"/>
  <c r="CO4" i="9"/>
  <c r="CN4" i="9"/>
  <c r="CL4" i="9"/>
  <c r="CK4" i="9"/>
  <c r="CI4" i="9"/>
  <c r="CH4" i="9"/>
  <c r="AL2" i="9" s="1"/>
  <c r="CF4" i="9"/>
  <c r="AJ2" i="9" s="1"/>
  <c r="F175" i="6"/>
  <c r="AI17" i="7"/>
  <c r="AG18" i="7"/>
  <c r="AH18" i="7"/>
  <c r="AI18" i="7"/>
  <c r="BA107" i="9" l="1"/>
  <c r="AJ36" i="7"/>
  <c r="CM38" i="9"/>
  <c r="B29" i="9" s="1"/>
  <c r="AM41" i="7"/>
  <c r="AN43" i="7"/>
  <c r="O69" i="9"/>
  <c r="O70" i="9" s="1"/>
  <c r="P70" i="9"/>
  <c r="AG12" i="7"/>
  <c r="AI12" i="7"/>
  <c r="H27" i="6"/>
  <c r="H28" i="6"/>
  <c r="H29" i="6"/>
  <c r="H30" i="6"/>
  <c r="F30" i="6"/>
  <c r="F29" i="6"/>
  <c r="F27" i="6"/>
  <c r="F28" i="6"/>
  <c r="G26" i="6"/>
  <c r="S38" i="6" s="1"/>
  <c r="CP24" i="9" s="1"/>
  <c r="AP17" i="7"/>
  <c r="AR17" i="7"/>
  <c r="AP5" i="7"/>
  <c r="AR5" i="7"/>
  <c r="AP6" i="7"/>
  <c r="AR6" i="7"/>
  <c r="AP7" i="7"/>
  <c r="AR7" i="7"/>
  <c r="AP8" i="7"/>
  <c r="AR8" i="7"/>
  <c r="AP9" i="7"/>
  <c r="AR9" i="7"/>
  <c r="AP10" i="7"/>
  <c r="AR10" i="7"/>
  <c r="AP11" i="7"/>
  <c r="AR11" i="7"/>
  <c r="AP12" i="7"/>
  <c r="AR12" i="7"/>
  <c r="AP13" i="7"/>
  <c r="AR13" i="7"/>
  <c r="AP14" i="7"/>
  <c r="AR14" i="7"/>
  <c r="AP15" i="7"/>
  <c r="AR15" i="7"/>
  <c r="AP16" i="7"/>
  <c r="AR16" i="7"/>
  <c r="AM36" i="7"/>
  <c r="AO36" i="7"/>
  <c r="AM37" i="7"/>
  <c r="AO37" i="7"/>
  <c r="AM38" i="7"/>
  <c r="AO38" i="7"/>
  <c r="AM39" i="7"/>
  <c r="AO39" i="7"/>
  <c r="AM40" i="7"/>
  <c r="AO40" i="7"/>
  <c r="AM32" i="7"/>
  <c r="AO32" i="7"/>
  <c r="AM33" i="7"/>
  <c r="AO33" i="7"/>
  <c r="AM34" i="7"/>
  <c r="AN34" i="7"/>
  <c r="AO34" i="7"/>
  <c r="AM35" i="7"/>
  <c r="AO35" i="7"/>
  <c r="AM18" i="7"/>
  <c r="AO18" i="7"/>
  <c r="AM19" i="7"/>
  <c r="AO19" i="7"/>
  <c r="AM20" i="7"/>
  <c r="AO20" i="7"/>
  <c r="AM21" i="7"/>
  <c r="AO21" i="7"/>
  <c r="AM22" i="7"/>
  <c r="AN22" i="7"/>
  <c r="AO22" i="7"/>
  <c r="AM23" i="7"/>
  <c r="AO23" i="7"/>
  <c r="AM24" i="7"/>
  <c r="AO24" i="7"/>
  <c r="AM25" i="7"/>
  <c r="AO25" i="7"/>
  <c r="AM26" i="7"/>
  <c r="AO26" i="7"/>
  <c r="AM27" i="7"/>
  <c r="AO27" i="7"/>
  <c r="AM28" i="7"/>
  <c r="AO28" i="7"/>
  <c r="AM29" i="7"/>
  <c r="AN29" i="7"/>
  <c r="AO29" i="7"/>
  <c r="AM30" i="7"/>
  <c r="AO30" i="7"/>
  <c r="AM31" i="7"/>
  <c r="AO31" i="7"/>
  <c r="AM5" i="7"/>
  <c r="AO5" i="7"/>
  <c r="AM6" i="7"/>
  <c r="AO6" i="7"/>
  <c r="AM7" i="7"/>
  <c r="AO7" i="7"/>
  <c r="AM8" i="7"/>
  <c r="AO8" i="7"/>
  <c r="AM9" i="7"/>
  <c r="AO9" i="7"/>
  <c r="AM10" i="7"/>
  <c r="AO10" i="7"/>
  <c r="AM11" i="7"/>
  <c r="AO11" i="7"/>
  <c r="AM12" i="7"/>
  <c r="AO12" i="7"/>
  <c r="AM13" i="7"/>
  <c r="AO13" i="7"/>
  <c r="AM14" i="7"/>
  <c r="AO14" i="7"/>
  <c r="AM15" i="7"/>
  <c r="AO15" i="7"/>
  <c r="AM16" i="7"/>
  <c r="AO16" i="7"/>
  <c r="AM17" i="7"/>
  <c r="AO17" i="7"/>
  <c r="AJ22" i="7"/>
  <c r="AL22" i="7"/>
  <c r="AJ23" i="7"/>
  <c r="AL23" i="7"/>
  <c r="AJ24" i="7"/>
  <c r="AL24" i="7"/>
  <c r="AJ25" i="7"/>
  <c r="AL25" i="7"/>
  <c r="AJ26" i="7"/>
  <c r="AL26" i="7"/>
  <c r="AJ27" i="7"/>
  <c r="AL27" i="7"/>
  <c r="AJ28" i="7"/>
  <c r="AL28" i="7"/>
  <c r="AJ29" i="7"/>
  <c r="AK29" i="7"/>
  <c r="AL29" i="7"/>
  <c r="AJ30" i="7"/>
  <c r="AL30" i="7"/>
  <c r="AJ31" i="7"/>
  <c r="AL31" i="7"/>
  <c r="AJ32" i="7"/>
  <c r="AL32" i="7"/>
  <c r="AJ33" i="7"/>
  <c r="AL33" i="7"/>
  <c r="AJ34" i="7"/>
  <c r="AK34" i="7"/>
  <c r="AL34" i="7"/>
  <c r="AJ35" i="7"/>
  <c r="AL35" i="7"/>
  <c r="AR4" i="7"/>
  <c r="AP4" i="7"/>
  <c r="AO4" i="7"/>
  <c r="AM4" i="7"/>
  <c r="AJ21" i="7"/>
  <c r="AL21" i="7"/>
  <c r="AJ18" i="7"/>
  <c r="AL18" i="7"/>
  <c r="AJ19" i="7"/>
  <c r="AL19" i="7"/>
  <c r="AJ20" i="7"/>
  <c r="AL20" i="7"/>
  <c r="AJ5" i="7"/>
  <c r="AL5" i="7"/>
  <c r="AJ6" i="7"/>
  <c r="AL6" i="7"/>
  <c r="AJ7" i="7"/>
  <c r="AL7" i="7"/>
  <c r="AJ8" i="7"/>
  <c r="AL8" i="7"/>
  <c r="AJ9" i="7"/>
  <c r="AL9" i="7"/>
  <c r="AJ10" i="7"/>
  <c r="AL10" i="7"/>
  <c r="AJ11" i="7"/>
  <c r="AL11" i="7"/>
  <c r="AJ12" i="7"/>
  <c r="AL12" i="7"/>
  <c r="AJ13" i="7"/>
  <c r="AL13" i="7"/>
  <c r="AJ14" i="7"/>
  <c r="AL14" i="7"/>
  <c r="AJ15" i="7"/>
  <c r="AL15" i="7"/>
  <c r="AJ16" i="7"/>
  <c r="AL16" i="7"/>
  <c r="AJ17" i="7"/>
  <c r="AL17" i="7"/>
  <c r="AL4" i="7"/>
  <c r="AJ4" i="7"/>
  <c r="AG5" i="7"/>
  <c r="A3" i="7" s="1"/>
  <c r="AG6" i="7"/>
  <c r="A10" i="7" s="1"/>
  <c r="AI6" i="7"/>
  <c r="C10" i="7" s="1"/>
  <c r="AG7" i="7"/>
  <c r="A4" i="7" s="1"/>
  <c r="AI7" i="7"/>
  <c r="C4" i="7" s="1"/>
  <c r="AG8" i="7"/>
  <c r="A5" i="7" s="1"/>
  <c r="AI8" i="7"/>
  <c r="C5" i="7" s="1"/>
  <c r="AG9" i="7"/>
  <c r="A6" i="7" s="1"/>
  <c r="AI9" i="7"/>
  <c r="C6" i="7" s="1"/>
  <c r="AG10" i="7"/>
  <c r="A7" i="7" s="1"/>
  <c r="AI10" i="7"/>
  <c r="C7" i="7" s="1"/>
  <c r="AG11" i="7"/>
  <c r="A8" i="7" s="1"/>
  <c r="AI11" i="7"/>
  <c r="C8" i="7" s="1"/>
  <c r="AI4" i="7"/>
  <c r="C2" i="7" s="1"/>
  <c r="AG4" i="7"/>
  <c r="A2" i="7" s="1"/>
  <c r="S30" i="6"/>
  <c r="BA106" i="9" l="1"/>
  <c r="AG15" i="7"/>
  <c r="CF15" i="9"/>
  <c r="AI14" i="7"/>
  <c r="C11" i="7" s="1"/>
  <c r="CH14" i="9"/>
  <c r="AL11" i="9" s="1"/>
  <c r="AG13" i="7"/>
  <c r="CF13" i="9"/>
  <c r="AI15" i="7"/>
  <c r="C12" i="7" s="1"/>
  <c r="CH15" i="9"/>
  <c r="AL12" i="9" s="1"/>
  <c r="AG14" i="7"/>
  <c r="CF14" i="9"/>
  <c r="AI16" i="7"/>
  <c r="CH16" i="9"/>
  <c r="AQ16" i="7"/>
  <c r="CP16" i="9"/>
  <c r="AH12" i="7"/>
  <c r="J6" i="7" s="1"/>
  <c r="CG12" i="9"/>
  <c r="AG16" i="7"/>
  <c r="CF16" i="9"/>
  <c r="AI13" i="7"/>
  <c r="CH13" i="9"/>
  <c r="AL107" i="9" l="1"/>
  <c r="AO107" i="9"/>
  <c r="AR107" i="9"/>
  <c r="AL108" i="9"/>
  <c r="AR108" i="9"/>
  <c r="AO108" i="9"/>
  <c r="B9" i="7"/>
  <c r="AK9" i="9"/>
  <c r="AW6" i="9"/>
  <c r="E180" i="6"/>
  <c r="I173" i="6"/>
  <c r="I171" i="6"/>
  <c r="I170" i="6"/>
  <c r="C193" i="6"/>
  <c r="C194" i="6"/>
  <c r="C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E172" i="6"/>
  <c r="B172" i="6"/>
  <c r="AL31" i="6"/>
  <c r="M79" i="6"/>
  <c r="P2" i="6"/>
  <c r="R2" i="6"/>
  <c r="T2" i="6"/>
  <c r="C18" i="2"/>
  <c r="O5" i="6"/>
  <c r="M4" i="6"/>
  <c r="E2" i="6"/>
  <c r="G4" i="2"/>
  <c r="AC31" i="6"/>
  <c r="K26" i="6"/>
  <c r="S39" i="6" s="1"/>
  <c r="S20" i="6"/>
  <c r="O18" i="6"/>
  <c r="K11" i="6"/>
  <c r="I11" i="6"/>
  <c r="K10" i="6"/>
  <c r="I10" i="6"/>
  <c r="M5" i="6"/>
  <c r="K9" i="6"/>
  <c r="I9" i="6"/>
  <c r="AC7" i="6"/>
  <c r="E6" i="6"/>
  <c r="C6" i="6"/>
  <c r="B6" i="6"/>
  <c r="A6" i="6"/>
  <c r="K5" i="6"/>
  <c r="I5" i="6"/>
  <c r="G5" i="6"/>
  <c r="E5" i="6"/>
  <c r="C5" i="6"/>
  <c r="B5" i="6"/>
  <c r="A5" i="6"/>
  <c r="G4" i="6"/>
  <c r="E4" i="6"/>
  <c r="C4" i="6"/>
  <c r="B4" i="6"/>
  <c r="A4" i="6"/>
  <c r="I3" i="6"/>
  <c r="G3" i="6"/>
  <c r="H19" i="6" s="1"/>
  <c r="E3" i="6"/>
  <c r="C3" i="6"/>
  <c r="B3" i="6"/>
  <c r="A3" i="6"/>
  <c r="I2" i="6"/>
  <c r="G2" i="6"/>
  <c r="C2" i="6"/>
  <c r="B2" i="6"/>
  <c r="A2" i="6"/>
  <c r="A1" i="6"/>
  <c r="B178" i="6" l="1"/>
  <c r="AN4" i="7"/>
  <c r="CM4" i="9"/>
  <c r="B34" i="9"/>
  <c r="AK12" i="7"/>
  <c r="K6" i="7" s="1"/>
  <c r="F36" i="7" s="1"/>
  <c r="CJ12" i="9"/>
  <c r="AX6" i="9" s="1"/>
  <c r="AO36" i="9" s="1"/>
  <c r="AQ6" i="7"/>
  <c r="CP6" i="9"/>
  <c r="AI5" i="7"/>
  <c r="C3" i="7" s="1"/>
  <c r="CH5" i="9"/>
  <c r="AL3" i="9" s="1"/>
  <c r="B173" i="6"/>
  <c r="O4" i="6"/>
  <c r="AN7" i="6"/>
  <c r="O37" i="6"/>
  <c r="S45" i="6" s="1"/>
  <c r="D103" i="7" l="1"/>
  <c r="D108" i="7" s="1"/>
  <c r="AN23" i="7"/>
  <c r="L11" i="7" s="1"/>
  <c r="CM23" i="9"/>
  <c r="AY11" i="9" s="1"/>
  <c r="B67" i="9" s="1"/>
  <c r="B48" i="9"/>
  <c r="B35" i="9"/>
  <c r="C35" i="9" s="1"/>
  <c r="H33" i="2"/>
  <c r="J33" i="2"/>
  <c r="J32" i="2"/>
  <c r="H32" i="2"/>
  <c r="O62" i="9" l="1"/>
  <c r="O63" i="9" s="1"/>
  <c r="P65" i="9" s="1"/>
  <c r="AD27" i="9"/>
  <c r="AD25" i="9" s="1"/>
  <c r="AN36" i="9"/>
  <c r="K13" i="6"/>
  <c r="K12" i="6"/>
  <c r="I12" i="6"/>
  <c r="I13" i="6"/>
  <c r="AP36" i="9" l="1"/>
  <c r="AD42" i="9"/>
  <c r="AD28" i="9"/>
  <c r="AK108" i="9"/>
  <c r="AQ108" i="9" s="1"/>
  <c r="J28" i="2"/>
  <c r="H28" i="2"/>
  <c r="J27" i="2"/>
  <c r="H27" i="2"/>
  <c r="J26" i="2"/>
  <c r="H26" i="2"/>
  <c r="O37" i="2"/>
  <c r="O36" i="2"/>
  <c r="J23" i="2"/>
  <c r="J22" i="2"/>
  <c r="C17" i="2"/>
  <c r="O3" i="6" s="1"/>
  <c r="B17" i="2"/>
  <c r="N3" i="6" s="1"/>
  <c r="A17" i="2"/>
  <c r="M3" i="6" s="1"/>
  <c r="C16" i="2"/>
  <c r="O2" i="6" s="1"/>
  <c r="B16" i="2"/>
  <c r="A16" i="2"/>
  <c r="O1" i="7" l="1"/>
  <c r="BB1" i="9"/>
  <c r="I7" i="6"/>
  <c r="K3" i="6"/>
  <c r="K6" i="6"/>
  <c r="K8" i="6"/>
  <c r="K2" i="6"/>
  <c r="I6" i="6"/>
  <c r="I8" i="6"/>
  <c r="K7" i="6"/>
  <c r="N2" i="6"/>
  <c r="M2" i="6"/>
  <c r="E16" i="2"/>
  <c r="Q2" i="6" s="1"/>
  <c r="B18" i="2"/>
  <c r="N4" i="6" s="1"/>
  <c r="G16" i="2"/>
  <c r="S2" i="6" s="1"/>
  <c r="C13" i="2"/>
  <c r="B13" i="2"/>
  <c r="A13" i="2"/>
  <c r="C12" i="2"/>
  <c r="B12" i="2"/>
  <c r="A12" i="2"/>
  <c r="A11" i="2"/>
  <c r="G9" i="2"/>
  <c r="F9" i="2"/>
  <c r="G8" i="2"/>
  <c r="F8" i="2"/>
  <c r="G7" i="2"/>
  <c r="F7" i="2"/>
  <c r="H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F4" i="2"/>
  <c r="E4" i="2"/>
  <c r="D4" i="2"/>
  <c r="C4" i="2"/>
  <c r="J24" i="2" s="1"/>
  <c r="B4" i="2"/>
  <c r="I24" i="2" s="1"/>
  <c r="A4" i="2"/>
  <c r="H24" i="2" s="1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F1" i="2"/>
  <c r="A1" i="2"/>
  <c r="O3" i="7" l="1"/>
  <c r="BB3" i="9"/>
  <c r="O5" i="7"/>
  <c r="BB5" i="9"/>
  <c r="O2" i="7"/>
  <c r="O6" i="7" s="1"/>
  <c r="BB2" i="9"/>
  <c r="BB6" i="9" s="1"/>
  <c r="K4" i="6"/>
  <c r="J4" i="6"/>
  <c r="I4" i="6"/>
  <c r="B30" i="2"/>
  <c r="I16" i="2"/>
  <c r="E12" i="2"/>
  <c r="B14" i="2"/>
  <c r="G12" i="2"/>
  <c r="H40" i="2"/>
  <c r="H42" i="2" s="1"/>
  <c r="B22" i="2"/>
  <c r="B19" i="2"/>
  <c r="F2" i="6" l="1"/>
  <c r="N5" i="6"/>
  <c r="U2" i="6"/>
  <c r="I12" i="2"/>
  <c r="B15" i="2"/>
  <c r="I26" i="2"/>
  <c r="O4" i="7" l="1"/>
  <c r="BB4" i="9"/>
  <c r="G18" i="6"/>
  <c r="B151" i="6"/>
  <c r="J6" i="6"/>
  <c r="K46" i="6" l="1"/>
  <c r="AK32" i="7" s="1"/>
  <c r="AH4" i="7"/>
  <c r="F20" i="7" s="1"/>
  <c r="CG4" i="9"/>
  <c r="O19" i="6"/>
  <c r="CM32" i="9" l="1"/>
  <c r="B2" i="7"/>
  <c r="AN5" i="7"/>
  <c r="CM5" i="9"/>
  <c r="AQ14" i="9"/>
  <c r="AK2" i="9"/>
  <c r="N80" i="6"/>
  <c r="B25" i="2"/>
  <c r="B31" i="2" s="1"/>
  <c r="B23" i="2"/>
  <c r="B41" i="2"/>
  <c r="B42" i="2" s="1"/>
  <c r="K43" i="2" l="1"/>
  <c r="F3" i="6"/>
  <c r="B114" i="6" s="1"/>
  <c r="H44" i="2"/>
  <c r="H43" i="2"/>
  <c r="H45" i="2" s="1"/>
  <c r="B26" i="2"/>
  <c r="B27" i="2" s="1"/>
  <c r="B28" i="2" s="1"/>
  <c r="H50" i="2"/>
  <c r="I25" i="2" s="1"/>
  <c r="F114" i="6" l="1"/>
  <c r="B115" i="6"/>
  <c r="B25" i="6"/>
  <c r="G19" i="6"/>
  <c r="I27" i="2"/>
  <c r="N35" i="2"/>
  <c r="K45" i="2"/>
  <c r="N34" i="2" s="1"/>
  <c r="J5" i="6"/>
  <c r="B34" i="2"/>
  <c r="B32" i="2"/>
  <c r="B36" i="2"/>
  <c r="I22" i="2"/>
  <c r="B116" i="6" l="1"/>
  <c r="AH5" i="7"/>
  <c r="B3" i="7" s="1"/>
  <c r="CG5" i="9"/>
  <c r="J7" i="6"/>
  <c r="F4" i="6"/>
  <c r="H46" i="2"/>
  <c r="I28" i="2" s="1"/>
  <c r="J2" i="6"/>
  <c r="F6" i="6"/>
  <c r="B37" i="2"/>
  <c r="N36" i="2"/>
  <c r="AK3" i="9" l="1"/>
  <c r="AK8" i="7"/>
  <c r="CJ8" i="9"/>
  <c r="BC24" i="9" s="1"/>
  <c r="K19" i="6"/>
  <c r="J8" i="6"/>
  <c r="H47" i="2"/>
  <c r="I32" i="2" s="1"/>
  <c r="G20" i="6"/>
  <c r="AB31" i="6"/>
  <c r="B147" i="6"/>
  <c r="K24" i="6"/>
  <c r="B38" i="2"/>
  <c r="B39" i="2" s="1"/>
  <c r="K36" i="6" l="1"/>
  <c r="AK22" i="7" s="1"/>
  <c r="B158" i="6"/>
  <c r="B185" i="6" s="1"/>
  <c r="E96" i="6"/>
  <c r="CD24" i="9"/>
  <c r="AK10" i="7"/>
  <c r="CJ10" i="9"/>
  <c r="AH6" i="7"/>
  <c r="J3" i="7" s="1"/>
  <c r="F19" i="7" s="1"/>
  <c r="CG6" i="9"/>
  <c r="D35" i="6"/>
  <c r="C158" i="6"/>
  <c r="J85" i="6"/>
  <c r="J12" i="6"/>
  <c r="H48" i="2"/>
  <c r="H49" i="2" s="1"/>
  <c r="K49" i="2" s="1"/>
  <c r="I31" i="2" s="1"/>
  <c r="S16" i="6"/>
  <c r="K21" i="6"/>
  <c r="B146" i="6"/>
  <c r="B118" i="6"/>
  <c r="B119" i="6" s="1"/>
  <c r="G25" i="6" s="1"/>
  <c r="G21" i="6"/>
  <c r="B117" i="6"/>
  <c r="B43" i="2"/>
  <c r="B44" i="2" s="1"/>
  <c r="B45" i="2" s="1"/>
  <c r="B46" i="2" s="1"/>
  <c r="B47" i="2" s="1"/>
  <c r="B33" i="2" s="1"/>
  <c r="D36" i="6" l="1"/>
  <c r="CJ22" i="9"/>
  <c r="B10" i="7"/>
  <c r="AH11" i="7"/>
  <c r="B8" i="7" s="1"/>
  <c r="CG11" i="9"/>
  <c r="AK8" i="9" s="1"/>
  <c r="AH7" i="7"/>
  <c r="B4" i="7" s="1"/>
  <c r="CG7" i="9"/>
  <c r="AK4" i="9" s="1"/>
  <c r="AK10" i="9"/>
  <c r="AW3" i="9"/>
  <c r="AW4" i="9"/>
  <c r="J4" i="7"/>
  <c r="AK7" i="7"/>
  <c r="CJ7" i="9"/>
  <c r="BT24" i="9" s="1"/>
  <c r="B161" i="6"/>
  <c r="J5" i="7"/>
  <c r="C91" i="7"/>
  <c r="B164" i="6"/>
  <c r="C161" i="6"/>
  <c r="D161" i="6"/>
  <c r="C164" i="6"/>
  <c r="B83" i="6"/>
  <c r="D158" i="6"/>
  <c r="F158" i="6"/>
  <c r="D64" i="6"/>
  <c r="K23" i="6"/>
  <c r="K50" i="2"/>
  <c r="I30" i="2" s="1"/>
  <c r="I33" i="2"/>
  <c r="J13" i="6" s="1"/>
  <c r="J11" i="6"/>
  <c r="F5" i="6"/>
  <c r="K37" i="6"/>
  <c r="O67" i="6"/>
  <c r="AE31" i="6"/>
  <c r="F50" i="6"/>
  <c r="B120" i="6"/>
  <c r="G22" i="6"/>
  <c r="B148" i="6"/>
  <c r="B149" i="6" s="1"/>
  <c r="AD31" i="6"/>
  <c r="K25" i="6"/>
  <c r="K20" i="6"/>
  <c r="B47" i="6"/>
  <c r="N37" i="2"/>
  <c r="I23" i="2"/>
  <c r="G79" i="6" l="1"/>
  <c r="J79" i="6" s="1"/>
  <c r="AL111" i="9"/>
  <c r="AL128" i="9"/>
  <c r="AL94" i="9"/>
  <c r="C108" i="7"/>
  <c r="C125" i="7"/>
  <c r="AW5" i="9"/>
  <c r="AQ13" i="9"/>
  <c r="AK23" i="7"/>
  <c r="K7" i="7" s="1"/>
  <c r="CJ23" i="9"/>
  <c r="AX7" i="9" s="1"/>
  <c r="AH8" i="7"/>
  <c r="B5" i="7" s="1"/>
  <c r="CG8" i="9"/>
  <c r="AK5" i="9" s="1"/>
  <c r="AK9" i="7"/>
  <c r="CJ9" i="9"/>
  <c r="E164" i="6"/>
  <c r="AK11" i="7"/>
  <c r="CJ11" i="9"/>
  <c r="AK6" i="7"/>
  <c r="K3" i="7" s="1"/>
  <c r="CJ6" i="9"/>
  <c r="AX3" i="9" s="1"/>
  <c r="B33" i="9" s="1"/>
  <c r="E50" i="6"/>
  <c r="E161" i="6"/>
  <c r="G23" i="6"/>
  <c r="K18" i="6"/>
  <c r="J10" i="6"/>
  <c r="I29" i="2"/>
  <c r="G31" i="6" s="1"/>
  <c r="AA9" i="6"/>
  <c r="K28" i="6"/>
  <c r="S25" i="6"/>
  <c r="K27" i="6"/>
  <c r="O41" i="6"/>
  <c r="AJ31" i="6"/>
  <c r="J3" i="6"/>
  <c r="G80" i="6" l="1"/>
  <c r="J80" i="6" s="1"/>
  <c r="AH9" i="7"/>
  <c r="B6" i="7" s="1"/>
  <c r="CG9" i="9"/>
  <c r="AK6" i="9" s="1"/>
  <c r="AN27" i="7"/>
  <c r="L7" i="7" s="1"/>
  <c r="CP27" i="9"/>
  <c r="AY7" i="9" s="1"/>
  <c r="AH17" i="7"/>
  <c r="CG17" i="9"/>
  <c r="BA80" i="9" s="1"/>
  <c r="AK13" i="7"/>
  <c r="K4" i="7" s="1"/>
  <c r="N24" i="7" s="1"/>
  <c r="CJ13" i="9"/>
  <c r="AX4" i="9" s="1"/>
  <c r="AW24" i="9" s="1"/>
  <c r="AK14" i="7"/>
  <c r="K5" i="7" s="1"/>
  <c r="CJ14" i="9"/>
  <c r="AX5" i="9" s="1"/>
  <c r="AK4" i="7"/>
  <c r="F21" i="7" s="1"/>
  <c r="CJ4" i="9"/>
  <c r="AQ11" i="7"/>
  <c r="CP11" i="9"/>
  <c r="AK5" i="7"/>
  <c r="CJ5" i="9"/>
  <c r="I36" i="7"/>
  <c r="F99" i="6"/>
  <c r="B99" i="6"/>
  <c r="B100" i="6" s="1"/>
  <c r="I127" i="6" s="1"/>
  <c r="I172" i="6"/>
  <c r="E175" i="6" s="1"/>
  <c r="K33" i="6"/>
  <c r="AD9" i="6"/>
  <c r="K34" i="6"/>
  <c r="B112" i="6"/>
  <c r="B121" i="6" s="1"/>
  <c r="AG8" i="6"/>
  <c r="AG9" i="6"/>
  <c r="G81" i="6" l="1"/>
  <c r="I104" i="7"/>
  <c r="C105" i="7"/>
  <c r="I105" i="7"/>
  <c r="F105" i="7"/>
  <c r="AQ15" i="9"/>
  <c r="BA49" i="9"/>
  <c r="R49" i="7" s="1"/>
  <c r="X77" i="7"/>
  <c r="AK20" i="7"/>
  <c r="K10" i="7" s="1"/>
  <c r="CJ20" i="9"/>
  <c r="AX10" i="9" s="1"/>
  <c r="AK19" i="7"/>
  <c r="K9" i="7" s="1"/>
  <c r="CJ19" i="9"/>
  <c r="AX9" i="9" s="1"/>
  <c r="R104" i="7"/>
  <c r="E36" i="7"/>
  <c r="B105" i="7" s="1"/>
  <c r="H105" i="7" s="1"/>
  <c r="F100" i="6"/>
  <c r="G27" i="6"/>
  <c r="E169" i="6"/>
  <c r="E173" i="6" s="1"/>
  <c r="B136" i="6"/>
  <c r="S22" i="6" s="1"/>
  <c r="K32" i="6"/>
  <c r="S44" i="6" s="1"/>
  <c r="AF7" i="6"/>
  <c r="AG31" i="6"/>
  <c r="N73" i="6"/>
  <c r="N74" i="6" s="1"/>
  <c r="N75" i="6" s="1"/>
  <c r="F112" i="6"/>
  <c r="F115" i="6" s="1"/>
  <c r="G24" i="6"/>
  <c r="K29" i="6"/>
  <c r="AF31" i="6"/>
  <c r="AQ36" i="9" l="1"/>
  <c r="AH13" i="7"/>
  <c r="CG13" i="9"/>
  <c r="AH10" i="7"/>
  <c r="B7" i="7" s="1"/>
  <c r="CG10" i="9"/>
  <c r="AK15" i="7"/>
  <c r="K8" i="7" s="1"/>
  <c r="CJ15" i="9"/>
  <c r="AX8" i="9" s="1"/>
  <c r="AQ8" i="7"/>
  <c r="CP8" i="9"/>
  <c r="AK18" i="7"/>
  <c r="K11" i="7" s="1"/>
  <c r="CJ18" i="9"/>
  <c r="AX11" i="9" s="1"/>
  <c r="AK21" i="7"/>
  <c r="CJ21" i="9"/>
  <c r="G36" i="7"/>
  <c r="H36" i="7" s="1"/>
  <c r="F101" i="6"/>
  <c r="G29" i="6" s="1"/>
  <c r="G28" i="6"/>
  <c r="B122" i="6"/>
  <c r="K30" i="6"/>
  <c r="B101" i="6"/>
  <c r="K41" i="6"/>
  <c r="BC36" i="9" l="1"/>
  <c r="AZ36" i="9" s="1"/>
  <c r="Q36" i="7" s="1"/>
  <c r="BB36" i="9"/>
  <c r="S36" i="7" s="1"/>
  <c r="CM81" i="9"/>
  <c r="CA49" i="9"/>
  <c r="B80" i="9"/>
  <c r="B66" i="9"/>
  <c r="G4" i="7"/>
  <c r="O61" i="9"/>
  <c r="P64" i="9" s="1"/>
  <c r="AH14" i="7"/>
  <c r="G2" i="7" s="1"/>
  <c r="CG14" i="9"/>
  <c r="AH15" i="7"/>
  <c r="B12" i="7" s="1"/>
  <c r="CG15" i="9"/>
  <c r="AK7" i="9"/>
  <c r="AT4" i="9"/>
  <c r="AK27" i="7"/>
  <c r="G7" i="7" s="1"/>
  <c r="CM27" i="9"/>
  <c r="AT7" i="9" s="1"/>
  <c r="AK16" i="7"/>
  <c r="H20" i="7" s="1"/>
  <c r="CJ16" i="9"/>
  <c r="AQ17" i="9" s="1"/>
  <c r="F135" i="6"/>
  <c r="B102" i="6"/>
  <c r="B170" i="6" s="1"/>
  <c r="I126" i="6"/>
  <c r="E108" i="7"/>
  <c r="F103" i="6"/>
  <c r="F102" i="6"/>
  <c r="B177" i="6" s="1"/>
  <c r="B103" i="6"/>
  <c r="F62" i="6" s="1"/>
  <c r="K40" i="6"/>
  <c r="K31" i="6"/>
  <c r="N77" i="6"/>
  <c r="O34" i="6"/>
  <c r="T36" i="7" l="1"/>
  <c r="B174" i="6"/>
  <c r="B181" i="6" s="1"/>
  <c r="K50" i="6"/>
  <c r="G30" i="6"/>
  <c r="AH16" i="7" s="1"/>
  <c r="S35" i="6"/>
  <c r="CP21" i="9" s="1"/>
  <c r="G3" i="7"/>
  <c r="G6" i="7" s="1"/>
  <c r="AT2" i="9"/>
  <c r="AK11" i="9"/>
  <c r="AT3" i="9"/>
  <c r="AK12" i="9"/>
  <c r="B11" i="7"/>
  <c r="AK17" i="7"/>
  <c r="CJ17" i="9"/>
  <c r="BD24" i="9" s="1"/>
  <c r="AK26" i="7"/>
  <c r="G8" i="7" s="1"/>
  <c r="G10" i="7" s="1"/>
  <c r="CM26" i="9"/>
  <c r="AT8" i="9" s="1"/>
  <c r="AT11" i="9" s="1"/>
  <c r="AK22" i="9" s="1"/>
  <c r="AL32" i="9" s="1"/>
  <c r="AN20" i="7"/>
  <c r="H21" i="7" s="1"/>
  <c r="CM20" i="9"/>
  <c r="AQ18" i="9" s="1"/>
  <c r="B65" i="6"/>
  <c r="S21" i="6"/>
  <c r="F104" i="6"/>
  <c r="F105" i="6" s="1"/>
  <c r="K39" i="6"/>
  <c r="J112" i="6"/>
  <c r="I114" i="6"/>
  <c r="B142" i="6"/>
  <c r="O26" i="6"/>
  <c r="N81" i="6"/>
  <c r="N82" i="6" s="1"/>
  <c r="N83" i="6"/>
  <c r="N78" i="6"/>
  <c r="K44" i="6"/>
  <c r="S36" i="6" s="1"/>
  <c r="CP22" i="9" s="1"/>
  <c r="B104" i="6"/>
  <c r="B105" i="6" s="1"/>
  <c r="E182" i="6"/>
  <c r="S37" i="6" l="1"/>
  <c r="CP23" i="9" s="1"/>
  <c r="F136" i="6"/>
  <c r="F134" i="6"/>
  <c r="CM36" i="9"/>
  <c r="B27" i="9" s="1"/>
  <c r="AK36" i="7"/>
  <c r="AT5" i="9"/>
  <c r="CG16" i="9"/>
  <c r="G32" i="9"/>
  <c r="G5" i="7"/>
  <c r="B183" i="6"/>
  <c r="K54" i="6"/>
  <c r="CM40" i="9" s="1"/>
  <c r="B31" i="9" s="1"/>
  <c r="CM37" i="9"/>
  <c r="B28" i="9" s="1"/>
  <c r="AK37" i="7"/>
  <c r="AT6" i="9"/>
  <c r="G11" i="7"/>
  <c r="B22" i="7" s="1"/>
  <c r="C42" i="7" s="1"/>
  <c r="AK30" i="7"/>
  <c r="CM30" i="9"/>
  <c r="AN12" i="7"/>
  <c r="CM12" i="9"/>
  <c r="AK25" i="7"/>
  <c r="G9" i="7" s="1"/>
  <c r="CM25" i="9"/>
  <c r="AQ7" i="7"/>
  <c r="CP7" i="9"/>
  <c r="AL42" i="9"/>
  <c r="AL31" i="9"/>
  <c r="BM31" i="9" s="1"/>
  <c r="AL41" i="9"/>
  <c r="AL40" i="9"/>
  <c r="AL28" i="9"/>
  <c r="AT10" i="9"/>
  <c r="AL27" i="9"/>
  <c r="AL26" i="9"/>
  <c r="AL39" i="9"/>
  <c r="AL29" i="9"/>
  <c r="AL33" i="9"/>
  <c r="BM32" i="9" s="1"/>
  <c r="AL44" i="9"/>
  <c r="AL37" i="9"/>
  <c r="AL38" i="9"/>
  <c r="AL36" i="9"/>
  <c r="AL35" i="9"/>
  <c r="AL34" i="9"/>
  <c r="AL46" i="9"/>
  <c r="AL30" i="9"/>
  <c r="AL43" i="9"/>
  <c r="AL45" i="9"/>
  <c r="B106" i="6"/>
  <c r="D125" i="6"/>
  <c r="B76" i="6"/>
  <c r="B141" i="6"/>
  <c r="O23" i="6"/>
  <c r="K42" i="6"/>
  <c r="K56" i="6" s="1"/>
  <c r="O47" i="6"/>
  <c r="N85" i="6"/>
  <c r="N84" i="6"/>
  <c r="C26" i="7" l="1"/>
  <c r="AX35" i="9"/>
  <c r="O35" i="7" s="1"/>
  <c r="AX45" i="9"/>
  <c r="O45" i="7" s="1"/>
  <c r="B159" i="6"/>
  <c r="E185" i="6" s="1"/>
  <c r="K53" i="6"/>
  <c r="CM39" i="9" s="1"/>
  <c r="B30" i="9" s="1"/>
  <c r="B184" i="6"/>
  <c r="B186" i="6" s="1"/>
  <c r="CM42" i="9"/>
  <c r="S40" i="6"/>
  <c r="BM26" i="9"/>
  <c r="BM45" i="9"/>
  <c r="BM35" i="9"/>
  <c r="BM37" i="9"/>
  <c r="BM39" i="9"/>
  <c r="BM28" i="9"/>
  <c r="BM42" i="9"/>
  <c r="BM29" i="9"/>
  <c r="BM34" i="9"/>
  <c r="AH41" i="9"/>
  <c r="BM38" i="9"/>
  <c r="BM43" i="9"/>
  <c r="BM44" i="9"/>
  <c r="BM40" i="9"/>
  <c r="AH43" i="9"/>
  <c r="BM46" i="9"/>
  <c r="AH42" i="9"/>
  <c r="BZ19" i="9"/>
  <c r="BZ20" i="9" s="1"/>
  <c r="BY32" i="9"/>
  <c r="BM33" i="9"/>
  <c r="BM30" i="9"/>
  <c r="BM27" i="9"/>
  <c r="BM41" i="9"/>
  <c r="BY33" i="9"/>
  <c r="BY36" i="9"/>
  <c r="BY27" i="9"/>
  <c r="BY30" i="9"/>
  <c r="B53" i="9"/>
  <c r="B56" i="9" s="1"/>
  <c r="C29" i="9"/>
  <c r="D29" i="9"/>
  <c r="AF39" i="9"/>
  <c r="AD35" i="9"/>
  <c r="AD32" i="9"/>
  <c r="AB39" i="9"/>
  <c r="BY38" i="9"/>
  <c r="BY41" i="9"/>
  <c r="BY42" i="9"/>
  <c r="BY34" i="9"/>
  <c r="BY39" i="9"/>
  <c r="BY31" i="9"/>
  <c r="BY26" i="9"/>
  <c r="BY28" i="9"/>
  <c r="AX26" i="9"/>
  <c r="O26" i="7" s="1"/>
  <c r="BY43" i="9"/>
  <c r="BY44" i="9"/>
  <c r="BY45" i="9"/>
  <c r="BY37" i="9"/>
  <c r="BY29" i="9"/>
  <c r="BY35" i="9"/>
  <c r="BY40" i="9"/>
  <c r="AF32" i="9"/>
  <c r="B40" i="9"/>
  <c r="AB32" i="9"/>
  <c r="D162" i="6"/>
  <c r="B75" i="6"/>
  <c r="C162" i="6" s="1"/>
  <c r="G38" i="9"/>
  <c r="G29" i="9"/>
  <c r="G30" i="9"/>
  <c r="G33" i="9"/>
  <c r="G27" i="9"/>
  <c r="G41" i="9"/>
  <c r="G43" i="9"/>
  <c r="G35" i="9"/>
  <c r="G44" i="9"/>
  <c r="G40" i="9"/>
  <c r="G45" i="9"/>
  <c r="G34" i="9"/>
  <c r="G37" i="9"/>
  <c r="G39" i="9"/>
  <c r="G28" i="9"/>
  <c r="G42" i="9"/>
  <c r="G46" i="9"/>
  <c r="AX31" i="9"/>
  <c r="O31" i="7" s="1"/>
  <c r="G31" i="9"/>
  <c r="G36" i="9"/>
  <c r="G26" i="9"/>
  <c r="AD39" i="9"/>
  <c r="AT9" i="9"/>
  <c r="B50" i="9"/>
  <c r="C29" i="7"/>
  <c r="C28" i="7"/>
  <c r="C27" i="7"/>
  <c r="C30" i="7"/>
  <c r="C33" i="7"/>
  <c r="C31" i="7"/>
  <c r="C36" i="7"/>
  <c r="C32" i="7"/>
  <c r="C38" i="7"/>
  <c r="C35" i="7"/>
  <c r="C40" i="7"/>
  <c r="C41" i="7"/>
  <c r="C37" i="7"/>
  <c r="C34" i="7"/>
  <c r="C39" i="7"/>
  <c r="C44" i="7"/>
  <c r="C45" i="7"/>
  <c r="C46" i="7"/>
  <c r="C43" i="7"/>
  <c r="AN33" i="7"/>
  <c r="CP33" i="9"/>
  <c r="AX29" i="9"/>
  <c r="O29" i="7" s="1"/>
  <c r="AX32" i="9"/>
  <c r="O32" i="7" s="1"/>
  <c r="AX40" i="9"/>
  <c r="AX42" i="9"/>
  <c r="AX34" i="9"/>
  <c r="O34" i="7" s="1"/>
  <c r="AX43" i="9"/>
  <c r="AX39" i="9"/>
  <c r="AN9" i="7"/>
  <c r="CM9" i="9"/>
  <c r="AX44" i="9"/>
  <c r="AX33" i="9"/>
  <c r="O33" i="7" s="1"/>
  <c r="AX36" i="9"/>
  <c r="AX38" i="9"/>
  <c r="AX27" i="9"/>
  <c r="O27" i="7" s="1"/>
  <c r="AX41" i="9"/>
  <c r="AK28" i="7"/>
  <c r="CM28" i="9"/>
  <c r="AX37" i="9"/>
  <c r="AX28" i="9"/>
  <c r="O28" i="7" s="1"/>
  <c r="AX30" i="9"/>
  <c r="O30" i="7" s="1"/>
  <c r="D68" i="6"/>
  <c r="D15" i="6"/>
  <c r="C159" i="6"/>
  <c r="C165" i="6"/>
  <c r="B165" i="6"/>
  <c r="O25" i="6"/>
  <c r="J81" i="6"/>
  <c r="J82" i="6" s="1"/>
  <c r="J83" i="6" s="1"/>
  <c r="J84" i="6" s="1"/>
  <c r="B84" i="6"/>
  <c r="B90" i="6" s="1"/>
  <c r="B137" i="6"/>
  <c r="AK31" i="6"/>
  <c r="O33" i="6"/>
  <c r="CM19" i="9" s="1"/>
  <c r="AY8" i="9" s="1"/>
  <c r="B65" i="9" s="1"/>
  <c r="B143" i="6"/>
  <c r="B144" i="6" s="1"/>
  <c r="K45" i="6"/>
  <c r="O50" i="6"/>
  <c r="B107" i="6"/>
  <c r="B108" i="6" s="1"/>
  <c r="B153" i="6"/>
  <c r="O35" i="6"/>
  <c r="O38" i="7" l="1"/>
  <c r="O44" i="7"/>
  <c r="O43" i="7"/>
  <c r="O41" i="7"/>
  <c r="O39" i="7"/>
  <c r="O40" i="7"/>
  <c r="O37" i="7"/>
  <c r="O36" i="7"/>
  <c r="O42" i="7"/>
  <c r="D69" i="6"/>
  <c r="F34" i="9"/>
  <c r="AD44" i="9"/>
  <c r="AI42" i="9" s="1"/>
  <c r="BE36" i="9" s="1"/>
  <c r="BG36" i="9" s="1"/>
  <c r="BH36" i="9" s="1"/>
  <c r="BI36" i="9" s="1"/>
  <c r="K55" i="6"/>
  <c r="CM41" i="9" s="1"/>
  <c r="B32" i="9" s="1"/>
  <c r="C32" i="9" s="1"/>
  <c r="B88" i="6"/>
  <c r="B126" i="6" s="1"/>
  <c r="E125" i="6" s="1"/>
  <c r="B125" i="6" s="1"/>
  <c r="O40" i="6"/>
  <c r="CP26" i="9" s="1"/>
  <c r="O61" i="6"/>
  <c r="CP47" i="9" s="1"/>
  <c r="B55" i="9"/>
  <c r="H46" i="9" s="1"/>
  <c r="J46" i="9" s="1"/>
  <c r="F38" i="9"/>
  <c r="G51" i="9" s="1"/>
  <c r="B54" i="9"/>
  <c r="D52" i="9"/>
  <c r="G49" i="9"/>
  <c r="AN11" i="7"/>
  <c r="CM11" i="9"/>
  <c r="AN21" i="7"/>
  <c r="CM21" i="9"/>
  <c r="AK31" i="7"/>
  <c r="CM31" i="9"/>
  <c r="AN36" i="7"/>
  <c r="G17" i="7" s="1"/>
  <c r="D37" i="7" s="1"/>
  <c r="CP36" i="9"/>
  <c r="AT17" i="9" s="1"/>
  <c r="S29" i="6"/>
  <c r="AN19" i="7"/>
  <c r="L8" i="7" s="1"/>
  <c r="O53" i="6"/>
  <c r="F159" i="6"/>
  <c r="B162" i="6"/>
  <c r="D159" i="6"/>
  <c r="O24" i="6"/>
  <c r="O29" i="6"/>
  <c r="AL9" i="6"/>
  <c r="AO8" i="6" s="1"/>
  <c r="AO9" i="6" s="1"/>
  <c r="O39" i="6"/>
  <c r="O42" i="6"/>
  <c r="K38" i="6"/>
  <c r="K47" i="6"/>
  <c r="O38" i="6"/>
  <c r="AQ8" i="6"/>
  <c r="AM8" i="6"/>
  <c r="H26" i="9" l="1"/>
  <c r="I46" i="9"/>
  <c r="BJ36" i="9"/>
  <c r="BK36" i="9" s="1"/>
  <c r="AN26" i="7"/>
  <c r="F63" i="6"/>
  <c r="H42" i="9"/>
  <c r="I42" i="9" s="1"/>
  <c r="H44" i="9"/>
  <c r="I44" i="9" s="1"/>
  <c r="H38" i="9"/>
  <c r="J38" i="9" s="1"/>
  <c r="H41" i="9"/>
  <c r="I41" i="9" s="1"/>
  <c r="H39" i="9"/>
  <c r="I39" i="9" s="1"/>
  <c r="H45" i="9"/>
  <c r="I45" i="9" s="1"/>
  <c r="H40" i="9"/>
  <c r="I40" i="9" s="1"/>
  <c r="H37" i="9"/>
  <c r="H43" i="9"/>
  <c r="I43" i="9" s="1"/>
  <c r="H27" i="9"/>
  <c r="I27" i="9" s="1"/>
  <c r="H31" i="9"/>
  <c r="I31" i="9" s="1"/>
  <c r="H35" i="9"/>
  <c r="I35" i="9" s="1"/>
  <c r="H30" i="9"/>
  <c r="I30" i="9" s="1"/>
  <c r="H34" i="9"/>
  <c r="I34" i="9" s="1"/>
  <c r="H29" i="9"/>
  <c r="I29" i="9" s="1"/>
  <c r="H28" i="9"/>
  <c r="I28" i="9" s="1"/>
  <c r="H36" i="9"/>
  <c r="I36" i="9" s="1"/>
  <c r="H33" i="9"/>
  <c r="I33" i="9" s="1"/>
  <c r="H32" i="9"/>
  <c r="I32" i="9" s="1"/>
  <c r="D41" i="7"/>
  <c r="D39" i="7"/>
  <c r="D35" i="7"/>
  <c r="D38" i="7"/>
  <c r="D36" i="7"/>
  <c r="D43" i="7"/>
  <c r="D42" i="7"/>
  <c r="D45" i="7"/>
  <c r="D44" i="7"/>
  <c r="D26" i="7"/>
  <c r="D30" i="7"/>
  <c r="D32" i="7"/>
  <c r="D33" i="7"/>
  <c r="D40" i="7"/>
  <c r="D46" i="7"/>
  <c r="D29" i="7"/>
  <c r="D27" i="7"/>
  <c r="D28" i="7"/>
  <c r="D34" i="7"/>
  <c r="D31" i="7"/>
  <c r="AN15" i="7"/>
  <c r="CM15" i="9"/>
  <c r="AM32" i="9"/>
  <c r="AM30" i="9"/>
  <c r="AM41" i="9"/>
  <c r="AM35" i="9"/>
  <c r="AM28" i="9"/>
  <c r="AM38" i="9"/>
  <c r="AM40" i="9"/>
  <c r="AM45" i="9"/>
  <c r="AM37" i="9"/>
  <c r="AM27" i="9"/>
  <c r="AM29" i="9"/>
  <c r="AM39" i="9"/>
  <c r="AM42" i="9"/>
  <c r="AM46" i="9"/>
  <c r="AM33" i="9"/>
  <c r="AM44" i="9"/>
  <c r="AM34" i="9"/>
  <c r="AM36" i="9"/>
  <c r="AM31" i="9"/>
  <c r="AM26" i="9"/>
  <c r="AM43" i="9"/>
  <c r="AK33" i="7"/>
  <c r="AQ15" i="7"/>
  <c r="CP15" i="9"/>
  <c r="AN24" i="7"/>
  <c r="L9" i="7" s="1"/>
  <c r="T52" i="7" s="1"/>
  <c r="CM24" i="9"/>
  <c r="AY9" i="9" s="1"/>
  <c r="AW55" i="9" s="1"/>
  <c r="AN25" i="7"/>
  <c r="L10" i="7" s="1"/>
  <c r="CP25" i="9"/>
  <c r="AY10" i="9" s="1"/>
  <c r="AN28" i="7"/>
  <c r="CP28" i="9"/>
  <c r="AN10" i="7"/>
  <c r="CM10" i="9"/>
  <c r="AN39" i="7"/>
  <c r="CP39" i="9"/>
  <c r="AK24" i="7"/>
  <c r="CJ24" i="9"/>
  <c r="E128" i="6"/>
  <c r="B128" i="6" s="1"/>
  <c r="I129" i="6" s="1"/>
  <c r="G64" i="7"/>
  <c r="B127" i="6"/>
  <c r="E162" i="6"/>
  <c r="E165" i="6"/>
  <c r="K49" i="6"/>
  <c r="B91" i="6"/>
  <c r="AH9" i="6"/>
  <c r="AH8" i="6"/>
  <c r="AB9" i="6"/>
  <c r="AE9" i="6"/>
  <c r="AB8" i="6"/>
  <c r="AE8" i="6"/>
  <c r="AJ8" i="6"/>
  <c r="S26" i="6"/>
  <c r="O31" i="6"/>
  <c r="CM17" i="9" s="1"/>
  <c r="AY4" i="9" s="1"/>
  <c r="AI9" i="6"/>
  <c r="B89" i="6"/>
  <c r="O32" i="6"/>
  <c r="S18" i="6"/>
  <c r="CP4" i="9" s="1"/>
  <c r="AK19" i="9" s="1"/>
  <c r="O27" i="6"/>
  <c r="B154" i="6"/>
  <c r="O52" i="6" s="1"/>
  <c r="I26" i="9" l="1"/>
  <c r="J26" i="9"/>
  <c r="I38" i="9"/>
  <c r="J37" i="9"/>
  <c r="K38" i="9" s="1"/>
  <c r="I37" i="9"/>
  <c r="J35" i="9"/>
  <c r="J36" i="9"/>
  <c r="AK18" i="9"/>
  <c r="B138" i="6"/>
  <c r="E177" i="6"/>
  <c r="O55" i="6" s="1"/>
  <c r="CR55" i="9"/>
  <c r="Q105" i="7"/>
  <c r="Q104" i="7"/>
  <c r="K105" i="7"/>
  <c r="N105" i="7"/>
  <c r="AO111" i="9"/>
  <c r="AO128" i="9"/>
  <c r="AO94" i="9"/>
  <c r="F125" i="7"/>
  <c r="F91" i="7"/>
  <c r="K36" i="7"/>
  <c r="E105" i="7" s="1"/>
  <c r="H104" i="7" s="1"/>
  <c r="R103" i="7"/>
  <c r="J34" i="9"/>
  <c r="F108" i="7"/>
  <c r="AN18" i="7"/>
  <c r="L5" i="7" s="1"/>
  <c r="CM18" i="9"/>
  <c r="AY5" i="9" s="1"/>
  <c r="AQ12" i="7"/>
  <c r="CP12" i="9"/>
  <c r="AN13" i="7"/>
  <c r="CM13" i="9"/>
  <c r="AN38" i="7"/>
  <c r="CP38" i="9"/>
  <c r="AK35" i="7"/>
  <c r="CM35" i="9"/>
  <c r="AT36" i="9"/>
  <c r="AQ4" i="7"/>
  <c r="B19" i="7" s="1"/>
  <c r="B18" i="7" s="1"/>
  <c r="S14" i="6"/>
  <c r="S13" i="6"/>
  <c r="O45" i="6"/>
  <c r="I128" i="6"/>
  <c r="S31" i="6"/>
  <c r="AN17" i="7"/>
  <c r="L4" i="7" s="1"/>
  <c r="S24" i="6"/>
  <c r="E170" i="6"/>
  <c r="B93" i="6"/>
  <c r="AI31" i="6"/>
  <c r="O22" i="6"/>
  <c r="B94" i="6"/>
  <c r="B96" i="6" s="1"/>
  <c r="AK7" i="6"/>
  <c r="O30" i="6"/>
  <c r="AH31" i="6"/>
  <c r="O44" i="6"/>
  <c r="K35" i="9" l="1"/>
  <c r="BF35" i="9" s="1"/>
  <c r="K34" i="9"/>
  <c r="BF34" i="9" s="1"/>
  <c r="F26" i="9"/>
  <c r="J27" i="9" s="1"/>
  <c r="K26" i="9" s="1"/>
  <c r="K37" i="9"/>
  <c r="BF37" i="9" s="1"/>
  <c r="BF38" i="9"/>
  <c r="F46" i="9"/>
  <c r="AR46" i="9"/>
  <c r="AR28" i="9"/>
  <c r="AN26" i="9"/>
  <c r="AN46" i="9"/>
  <c r="AN44" i="9"/>
  <c r="E174" i="6"/>
  <c r="E181" i="6" s="1"/>
  <c r="AN39" i="9"/>
  <c r="AN41" i="9"/>
  <c r="AR27" i="9"/>
  <c r="AR31" i="9"/>
  <c r="AN28" i="9"/>
  <c r="AN27" i="9"/>
  <c r="AR43" i="9"/>
  <c r="AR32" i="9"/>
  <c r="AR39" i="9"/>
  <c r="AR33" i="9"/>
  <c r="AR41" i="9"/>
  <c r="AR38" i="9"/>
  <c r="AN38" i="9"/>
  <c r="AR45" i="9"/>
  <c r="AN42" i="9"/>
  <c r="AN34" i="9"/>
  <c r="AR34" i="9"/>
  <c r="AN30" i="9"/>
  <c r="AN32" i="9"/>
  <c r="AR37" i="9"/>
  <c r="AY36" i="9" s="1"/>
  <c r="P36" i="7" s="1"/>
  <c r="AN37" i="9"/>
  <c r="AR30" i="9"/>
  <c r="AN33" i="9"/>
  <c r="AN31" i="9"/>
  <c r="AN43" i="9"/>
  <c r="AN35" i="9"/>
  <c r="AN40" i="9"/>
  <c r="AR29" i="9"/>
  <c r="AR44" i="9"/>
  <c r="AN29" i="9"/>
  <c r="AR42" i="9"/>
  <c r="AY42" i="9" s="1"/>
  <c r="P42" i="7" s="1"/>
  <c r="AR40" i="9"/>
  <c r="AN45" i="9"/>
  <c r="AR35" i="9"/>
  <c r="AR26" i="9"/>
  <c r="CP41" i="9"/>
  <c r="B59" i="9" s="1"/>
  <c r="AB63" i="9" s="1"/>
  <c r="AN41" i="7"/>
  <c r="L36" i="7"/>
  <c r="J36" i="7" s="1"/>
  <c r="H108" i="7" s="1"/>
  <c r="I26" i="7"/>
  <c r="E26" i="7"/>
  <c r="K26" i="7" s="1"/>
  <c r="J30" i="9"/>
  <c r="O56" i="6"/>
  <c r="S43" i="6" s="1"/>
  <c r="I35" i="7"/>
  <c r="I46" i="7"/>
  <c r="R122" i="7" s="1"/>
  <c r="R121" i="7" s="1"/>
  <c r="I38" i="7"/>
  <c r="E28" i="7"/>
  <c r="E39" i="7"/>
  <c r="I40" i="7"/>
  <c r="I32" i="7"/>
  <c r="I28" i="7"/>
  <c r="E31" i="7"/>
  <c r="E27" i="7"/>
  <c r="AN16" i="7"/>
  <c r="L6" i="7" s="1"/>
  <c r="CM16" i="9"/>
  <c r="AY6" i="9" s="1"/>
  <c r="AN31" i="7"/>
  <c r="G13" i="7" s="1"/>
  <c r="CP31" i="9"/>
  <c r="AT13" i="9" s="1"/>
  <c r="I29" i="7"/>
  <c r="I27" i="7"/>
  <c r="E34" i="7"/>
  <c r="E42" i="7"/>
  <c r="E46" i="7"/>
  <c r="E45" i="7"/>
  <c r="E43" i="7"/>
  <c r="I43" i="7"/>
  <c r="I44" i="7"/>
  <c r="E40" i="7"/>
  <c r="I31" i="7"/>
  <c r="I41" i="7"/>
  <c r="I39" i="7"/>
  <c r="E33" i="7"/>
  <c r="I33" i="7"/>
  <c r="I37" i="7"/>
  <c r="I30" i="7"/>
  <c r="E32" i="7"/>
  <c r="AN8" i="7"/>
  <c r="L3" i="7" s="1"/>
  <c r="CM8" i="9"/>
  <c r="AY3" i="9" s="1"/>
  <c r="AQ10" i="7"/>
  <c r="CP10" i="9"/>
  <c r="AN30" i="7"/>
  <c r="G14" i="7" s="1"/>
  <c r="CP30" i="9"/>
  <c r="AQ17" i="7"/>
  <c r="CP17" i="9"/>
  <c r="AU36" i="9"/>
  <c r="AN108" i="9"/>
  <c r="AQ107" i="9" s="1"/>
  <c r="E35" i="7"/>
  <c r="E29" i="7"/>
  <c r="E41" i="7"/>
  <c r="I34" i="7"/>
  <c r="I42" i="7"/>
  <c r="E44" i="7"/>
  <c r="E37" i="7"/>
  <c r="I45" i="7"/>
  <c r="E38" i="7"/>
  <c r="E30" i="7"/>
  <c r="I125" i="6"/>
  <c r="J129" i="6" s="1"/>
  <c r="B95" i="6"/>
  <c r="O21" i="6" s="1"/>
  <c r="A188" i="6"/>
  <c r="O54" i="6"/>
  <c r="S23" i="6"/>
  <c r="O49" i="6"/>
  <c r="S19" i="6"/>
  <c r="B152" i="6"/>
  <c r="B155" i="6" s="1"/>
  <c r="O20" i="6"/>
  <c r="B135" i="6"/>
  <c r="AY28" i="9" l="1"/>
  <c r="P28" i="7" s="1"/>
  <c r="AY26" i="9"/>
  <c r="P26" i="7" s="1"/>
  <c r="AT33" i="9"/>
  <c r="AU33" i="9" s="1"/>
  <c r="AT32" i="9"/>
  <c r="AT42" i="9"/>
  <c r="AU42" i="9" s="1"/>
  <c r="AS42" i="9" s="1"/>
  <c r="AT34" i="9"/>
  <c r="AT45" i="9"/>
  <c r="AU45" i="9" s="1"/>
  <c r="AT43" i="9"/>
  <c r="AU43" i="9" s="1"/>
  <c r="AT37" i="9"/>
  <c r="AT28" i="9"/>
  <c r="AT39" i="9"/>
  <c r="AU39" i="9" s="1"/>
  <c r="AS39" i="9" s="1"/>
  <c r="AT44" i="9"/>
  <c r="AU44" i="9" s="1"/>
  <c r="AP31" i="9"/>
  <c r="AO31" i="9" s="1"/>
  <c r="AT29" i="9"/>
  <c r="AU29" i="9" s="1"/>
  <c r="AS29" i="9" s="1"/>
  <c r="AT41" i="9"/>
  <c r="AU41" i="9" s="1"/>
  <c r="AS41" i="9" s="1"/>
  <c r="AT46" i="9"/>
  <c r="AN125" i="9" s="1"/>
  <c r="AQ124" i="9" s="1"/>
  <c r="J31" i="9"/>
  <c r="J29" i="9"/>
  <c r="K29" i="9" s="1"/>
  <c r="J33" i="9"/>
  <c r="J28" i="9"/>
  <c r="K27" i="9" s="1"/>
  <c r="J32" i="9"/>
  <c r="J42" i="9"/>
  <c r="J39" i="9"/>
  <c r="K39" i="9" s="1"/>
  <c r="J45" i="9"/>
  <c r="J44" i="9"/>
  <c r="J41" i="9"/>
  <c r="J40" i="9"/>
  <c r="J43" i="9"/>
  <c r="BF26" i="9"/>
  <c r="AY45" i="9"/>
  <c r="P45" i="7" s="1"/>
  <c r="AK91" i="9"/>
  <c r="AQ91" i="9" s="1"/>
  <c r="AP26" i="9"/>
  <c r="AQ26" i="9" s="1"/>
  <c r="AP27" i="9"/>
  <c r="AO27" i="9" s="1"/>
  <c r="AY27" i="9"/>
  <c r="P27" i="7" s="1"/>
  <c r="AY41" i="9"/>
  <c r="P41" i="7" s="1"/>
  <c r="AP37" i="9"/>
  <c r="AO37" i="9" s="1"/>
  <c r="AY31" i="9"/>
  <c r="P31" i="7" s="1"/>
  <c r="AK125" i="9"/>
  <c r="AQ125" i="9" s="1"/>
  <c r="AT26" i="9"/>
  <c r="AN91" i="9" s="1"/>
  <c r="AQ90" i="9" s="1"/>
  <c r="AP46" i="9"/>
  <c r="AO46" i="9" s="1"/>
  <c r="AF27" i="9" s="1"/>
  <c r="AP32" i="9"/>
  <c r="AQ32" i="9" s="1"/>
  <c r="AY44" i="9"/>
  <c r="P44" i="7" s="1"/>
  <c r="AF63" i="9"/>
  <c r="AP38" i="9"/>
  <c r="AQ38" i="9" s="1"/>
  <c r="AY39" i="9"/>
  <c r="P39" i="7" s="1"/>
  <c r="AT31" i="9"/>
  <c r="AU31" i="9" s="1"/>
  <c r="AS31" i="9" s="1"/>
  <c r="AP28" i="9"/>
  <c r="AQ28" i="9" s="1"/>
  <c r="AP34" i="9"/>
  <c r="AQ34" i="9" s="1"/>
  <c r="AY37" i="9"/>
  <c r="P37" i="7" s="1"/>
  <c r="AY30" i="9"/>
  <c r="P30" i="7" s="1"/>
  <c r="AP39" i="9"/>
  <c r="AQ39" i="9" s="1"/>
  <c r="AP44" i="9"/>
  <c r="AQ44" i="9" s="1"/>
  <c r="AY38" i="9"/>
  <c r="P38" i="7" s="1"/>
  <c r="AY34" i="9"/>
  <c r="P34" i="7" s="1"/>
  <c r="AP35" i="9"/>
  <c r="AO35" i="9" s="1"/>
  <c r="AP30" i="9"/>
  <c r="AO30" i="9" s="1"/>
  <c r="AP45" i="9"/>
  <c r="AO45" i="9" s="1"/>
  <c r="AY33" i="9"/>
  <c r="P33" i="7" s="1"/>
  <c r="AT38" i="9"/>
  <c r="AU38" i="9" s="1"/>
  <c r="AS38" i="9" s="1"/>
  <c r="AY43" i="9"/>
  <c r="P43" i="7" s="1"/>
  <c r="AY32" i="9"/>
  <c r="P32" i="7" s="1"/>
  <c r="AP40" i="9"/>
  <c r="AQ40" i="9" s="1"/>
  <c r="AP42" i="9"/>
  <c r="AQ42" i="9" s="1"/>
  <c r="AY40" i="9"/>
  <c r="P40" i="7" s="1"/>
  <c r="AP43" i="9"/>
  <c r="AQ43" i="9" s="1"/>
  <c r="AY35" i="9"/>
  <c r="P35" i="7" s="1"/>
  <c r="AT30" i="9"/>
  <c r="AU30" i="9" s="1"/>
  <c r="AS30" i="9" s="1"/>
  <c r="AP33" i="9"/>
  <c r="AO33" i="9" s="1"/>
  <c r="AT40" i="9"/>
  <c r="AU40" i="9" s="1"/>
  <c r="AP29" i="9"/>
  <c r="AQ29" i="9" s="1"/>
  <c r="AP41" i="9"/>
  <c r="AQ41" i="9" s="1"/>
  <c r="AT27" i="9"/>
  <c r="AU27" i="9" s="1"/>
  <c r="AS27" i="9" s="1"/>
  <c r="AT35" i="9"/>
  <c r="AU35" i="9" s="1"/>
  <c r="AY29" i="9"/>
  <c r="P29" i="7" s="1"/>
  <c r="AD63" i="9"/>
  <c r="B72" i="9"/>
  <c r="O62" i="6"/>
  <c r="S46" i="6" s="1"/>
  <c r="R49" i="6"/>
  <c r="S42" i="6"/>
  <c r="S41" i="6"/>
  <c r="I88" i="7"/>
  <c r="R87" i="7"/>
  <c r="R86" i="7" s="1"/>
  <c r="I87" i="7"/>
  <c r="F88" i="7"/>
  <c r="C88" i="7"/>
  <c r="M36" i="7"/>
  <c r="N64" i="7" s="1"/>
  <c r="G108" i="7"/>
  <c r="B122" i="7"/>
  <c r="H122" i="7" s="1"/>
  <c r="K38" i="7"/>
  <c r="L38" i="7" s="1"/>
  <c r="J38" i="7" s="1"/>
  <c r="K35" i="7"/>
  <c r="L35" i="7" s="1"/>
  <c r="J35" i="7" s="1"/>
  <c r="K33" i="7"/>
  <c r="L33" i="7" s="1"/>
  <c r="J33" i="7" s="1"/>
  <c r="K30" i="7"/>
  <c r="L30" i="7" s="1"/>
  <c r="J30" i="7" s="1"/>
  <c r="K29" i="7"/>
  <c r="L29" i="7" s="1"/>
  <c r="J29" i="7" s="1"/>
  <c r="K42" i="7"/>
  <c r="L42" i="7" s="1"/>
  <c r="J42" i="7" s="1"/>
  <c r="K37" i="7"/>
  <c r="L37" i="7" s="1"/>
  <c r="J37" i="7" s="1"/>
  <c r="K41" i="7"/>
  <c r="L41" i="7" s="1"/>
  <c r="J41" i="7" s="1"/>
  <c r="K27" i="7"/>
  <c r="L27" i="7" s="1"/>
  <c r="J27" i="7" s="1"/>
  <c r="K43" i="7"/>
  <c r="L43" i="7" s="1"/>
  <c r="J43" i="7" s="1"/>
  <c r="K28" i="7"/>
  <c r="L28" i="7" s="1"/>
  <c r="J28" i="7" s="1"/>
  <c r="K31" i="7"/>
  <c r="L31" i="7" s="1"/>
  <c r="J31" i="7" s="1"/>
  <c r="K39" i="7"/>
  <c r="L39" i="7" s="1"/>
  <c r="J39" i="7" s="1"/>
  <c r="K45" i="7"/>
  <c r="L45" i="7" s="1"/>
  <c r="J45" i="7" s="1"/>
  <c r="AT14" i="9"/>
  <c r="B82" i="9"/>
  <c r="AN42" i="7"/>
  <c r="CP42" i="9"/>
  <c r="B60" i="9" s="1"/>
  <c r="O59" i="6"/>
  <c r="CP45" i="9" s="1"/>
  <c r="B63" i="9" s="1"/>
  <c r="E183" i="6"/>
  <c r="O58" i="6" s="1"/>
  <c r="G39" i="7"/>
  <c r="H39" i="7" s="1"/>
  <c r="G44" i="7"/>
  <c r="H44" i="7" s="1"/>
  <c r="AU34" i="9"/>
  <c r="AS34" i="9" s="1"/>
  <c r="AU37" i="9"/>
  <c r="AS37" i="9" s="1"/>
  <c r="G40" i="7"/>
  <c r="H40" i="7" s="1"/>
  <c r="G27" i="7"/>
  <c r="H27" i="7" s="1"/>
  <c r="G38" i="7"/>
  <c r="H38" i="7" s="1"/>
  <c r="K46" i="7"/>
  <c r="E122" i="7" s="1"/>
  <c r="H121" i="7" s="1"/>
  <c r="G28" i="7"/>
  <c r="H28" i="7" s="1"/>
  <c r="G32" i="7"/>
  <c r="H32" i="7" s="1"/>
  <c r="K40" i="7"/>
  <c r="L40" i="7" s="1"/>
  <c r="J40" i="7" s="1"/>
  <c r="G35" i="7"/>
  <c r="H35" i="7" s="1"/>
  <c r="G42" i="7"/>
  <c r="H42" i="7" s="1"/>
  <c r="K44" i="7"/>
  <c r="L44" i="7" s="1"/>
  <c r="J44" i="7" s="1"/>
  <c r="G37" i="7"/>
  <c r="H37" i="7" s="1"/>
  <c r="G34" i="7"/>
  <c r="H34" i="7" s="1"/>
  <c r="K32" i="7"/>
  <c r="L32" i="7" s="1"/>
  <c r="J32" i="7" s="1"/>
  <c r="K34" i="7"/>
  <c r="L34" i="7" s="1"/>
  <c r="J34" i="7" s="1"/>
  <c r="G45" i="7"/>
  <c r="H45" i="7" s="1"/>
  <c r="B88" i="7"/>
  <c r="H88" i="7" s="1"/>
  <c r="AQ5" i="7"/>
  <c r="CP5" i="9"/>
  <c r="AN40" i="7"/>
  <c r="CP40" i="9"/>
  <c r="AV36" i="9"/>
  <c r="BD36" i="9" s="1"/>
  <c r="AN7" i="7"/>
  <c r="CM7" i="9"/>
  <c r="G29" i="7"/>
  <c r="H29" i="7" s="1"/>
  <c r="G30" i="7"/>
  <c r="H30" i="7" s="1"/>
  <c r="G26" i="7"/>
  <c r="H26" i="7" s="1"/>
  <c r="G41" i="7"/>
  <c r="H41" i="7" s="1"/>
  <c r="G31" i="7"/>
  <c r="H31" i="7" s="1"/>
  <c r="AN14" i="7"/>
  <c r="CM14" i="9"/>
  <c r="AU32" i="9"/>
  <c r="AN6" i="7"/>
  <c r="F22" i="7" s="1"/>
  <c r="CM6" i="9"/>
  <c r="AQ16" i="9" s="1"/>
  <c r="AQ9" i="7"/>
  <c r="CP9" i="9"/>
  <c r="AN35" i="7"/>
  <c r="CP35" i="9"/>
  <c r="O59" i="9" s="1"/>
  <c r="AU28" i="9"/>
  <c r="G33" i="7"/>
  <c r="H33" i="7" s="1"/>
  <c r="AS36" i="9"/>
  <c r="G43" i="7"/>
  <c r="H43" i="7" s="1"/>
  <c r="G46" i="7"/>
  <c r="H46" i="7" s="1"/>
  <c r="J127" i="6"/>
  <c r="G103" i="7"/>
  <c r="E88" i="7"/>
  <c r="H87" i="7" s="1"/>
  <c r="L26" i="7"/>
  <c r="B129" i="6"/>
  <c r="B130" i="6" s="1"/>
  <c r="B156" i="6"/>
  <c r="S28" i="6" s="1"/>
  <c r="S27" i="6"/>
  <c r="O51" i="6"/>
  <c r="O46" i="6"/>
  <c r="K43" i="9" l="1"/>
  <c r="E80" i="6"/>
  <c r="E81" i="6" s="1"/>
  <c r="E82" i="6" s="1"/>
  <c r="E83" i="6" s="1"/>
  <c r="AQ31" i="9"/>
  <c r="K40" i="9"/>
  <c r="AU46" i="9"/>
  <c r="K31" i="9"/>
  <c r="BF31" i="9" s="1"/>
  <c r="K41" i="9"/>
  <c r="K32" i="9"/>
  <c r="BF32" i="9" s="1"/>
  <c r="K33" i="9"/>
  <c r="BF33" i="9" s="1"/>
  <c r="K44" i="9"/>
  <c r="K30" i="9"/>
  <c r="K45" i="9"/>
  <c r="K46" i="9"/>
  <c r="K28" i="9"/>
  <c r="BF28" i="9" s="1"/>
  <c r="K42" i="9"/>
  <c r="BF39" i="9"/>
  <c r="BC26" i="9"/>
  <c r="U36" i="7"/>
  <c r="BF27" i="9"/>
  <c r="BF29" i="9"/>
  <c r="AO40" i="9"/>
  <c r="AQ27" i="9"/>
  <c r="AQ37" i="9"/>
  <c r="AQ46" i="9"/>
  <c r="AU26" i="9"/>
  <c r="AS26" i="9" s="1"/>
  <c r="AB58" i="9" s="1"/>
  <c r="AB55" i="9" s="1"/>
  <c r="AO32" i="9"/>
  <c r="AQ45" i="9"/>
  <c r="AO43" i="9"/>
  <c r="AO29" i="9"/>
  <c r="AO34" i="9"/>
  <c r="AQ30" i="9"/>
  <c r="AO38" i="9"/>
  <c r="AO28" i="9"/>
  <c r="AO44" i="9"/>
  <c r="AQ33" i="9"/>
  <c r="AO39" i="9"/>
  <c r="AO42" i="9"/>
  <c r="AQ35" i="9"/>
  <c r="AO41" i="9"/>
  <c r="O60" i="9"/>
  <c r="O72" i="9" s="1"/>
  <c r="BC41" i="9"/>
  <c r="BC39" i="9"/>
  <c r="BC28" i="9"/>
  <c r="BC40" i="9"/>
  <c r="BC32" i="9"/>
  <c r="BC29" i="9"/>
  <c r="BC44" i="9"/>
  <c r="BC42" i="9"/>
  <c r="BC34" i="9"/>
  <c r="BC38" i="9"/>
  <c r="BC43" i="9"/>
  <c r="BC31" i="9"/>
  <c r="Q55" i="7"/>
  <c r="Q59" i="7"/>
  <c r="Q63" i="7"/>
  <c r="Q67" i="7"/>
  <c r="Q71" i="7"/>
  <c r="Q60" i="7"/>
  <c r="Q54" i="7"/>
  <c r="Q58" i="7"/>
  <c r="Q62" i="7"/>
  <c r="Q66" i="7"/>
  <c r="Q70" i="7"/>
  <c r="Q74" i="7"/>
  <c r="Q68" i="7"/>
  <c r="Q57" i="7"/>
  <c r="Q61" i="7"/>
  <c r="Q65" i="7"/>
  <c r="Q69" i="7"/>
  <c r="Q73" i="7"/>
  <c r="Q56" i="7"/>
  <c r="Q64" i="7"/>
  <c r="Q72" i="7"/>
  <c r="BB40" i="9"/>
  <c r="S40" i="7" s="1"/>
  <c r="BB32" i="9"/>
  <c r="S32" i="7" s="1"/>
  <c r="BB29" i="9"/>
  <c r="S29" i="7" s="1"/>
  <c r="BB44" i="9"/>
  <c r="S44" i="7" s="1"/>
  <c r="BB41" i="9"/>
  <c r="S41" i="7" s="1"/>
  <c r="BB39" i="9"/>
  <c r="S39" i="7" s="1"/>
  <c r="AF35" i="9"/>
  <c r="AF44" i="9" s="1"/>
  <c r="AF25" i="9"/>
  <c r="BB38" i="9"/>
  <c r="S38" i="7" s="1"/>
  <c r="BB43" i="9"/>
  <c r="S43" i="7" s="1"/>
  <c r="BB34" i="9"/>
  <c r="S34" i="7" s="1"/>
  <c r="BB31" i="9"/>
  <c r="S31" i="7" s="1"/>
  <c r="BB28" i="9"/>
  <c r="S28" i="7" s="1"/>
  <c r="BB42" i="9"/>
  <c r="S42" i="7" s="1"/>
  <c r="BP39" i="9"/>
  <c r="BP44" i="9"/>
  <c r="BP43" i="9"/>
  <c r="AV43" i="9"/>
  <c r="AV28" i="9"/>
  <c r="AV40" i="9"/>
  <c r="BP40" i="9"/>
  <c r="AV44" i="9"/>
  <c r="AV32" i="9"/>
  <c r="BP42" i="9"/>
  <c r="BP41" i="9"/>
  <c r="BP31" i="9"/>
  <c r="BP28" i="9"/>
  <c r="D61" i="9"/>
  <c r="AB70" i="9"/>
  <c r="C61" i="9"/>
  <c r="B85" i="9"/>
  <c r="AF42" i="9"/>
  <c r="AF28" i="9"/>
  <c r="O77" i="9"/>
  <c r="M45" i="7"/>
  <c r="N73" i="7" s="1"/>
  <c r="F37" i="7"/>
  <c r="M29" i="7"/>
  <c r="N57" i="7" s="1"/>
  <c r="F39" i="7"/>
  <c r="AD70" i="9"/>
  <c r="AF70" i="9"/>
  <c r="AD58" i="9"/>
  <c r="AD55" i="9" s="1"/>
  <c r="AV39" i="9"/>
  <c r="AV31" i="9"/>
  <c r="F44" i="7"/>
  <c r="AV42" i="9"/>
  <c r="AV41" i="9"/>
  <c r="M35" i="7"/>
  <c r="N63" i="7" s="1"/>
  <c r="M40" i="7"/>
  <c r="N68" i="7" s="1"/>
  <c r="O60" i="6"/>
  <c r="CP46" i="9" s="1"/>
  <c r="B64" i="9" s="1"/>
  <c r="C64" i="9" s="1"/>
  <c r="CP44" i="9"/>
  <c r="B62" i="9" s="1"/>
  <c r="E184" i="6"/>
  <c r="E186" i="6" s="1"/>
  <c r="AV34" i="9"/>
  <c r="AV29" i="9"/>
  <c r="AV38" i="9"/>
  <c r="F40" i="7"/>
  <c r="M30" i="7"/>
  <c r="N58" i="7" s="1"/>
  <c r="M33" i="7"/>
  <c r="N61" i="7" s="1"/>
  <c r="F27" i="7"/>
  <c r="M41" i="7"/>
  <c r="N69" i="7" s="1"/>
  <c r="M37" i="7"/>
  <c r="N65" i="7" s="1"/>
  <c r="M27" i="7"/>
  <c r="N55" i="7" s="1"/>
  <c r="L46" i="7"/>
  <c r="G125" i="7" s="1"/>
  <c r="M44" i="7"/>
  <c r="N72" i="7" s="1"/>
  <c r="F35" i="7"/>
  <c r="F38" i="7"/>
  <c r="M28" i="7"/>
  <c r="N56" i="7" s="1"/>
  <c r="M39" i="7"/>
  <c r="N67" i="7" s="1"/>
  <c r="M38" i="7"/>
  <c r="N66" i="7" s="1"/>
  <c r="F28" i="7"/>
  <c r="F32" i="7"/>
  <c r="E125" i="7"/>
  <c r="M42" i="7"/>
  <c r="N70" i="7" s="1"/>
  <c r="F29" i="7"/>
  <c r="F34" i="7"/>
  <c r="F31" i="7"/>
  <c r="F42" i="7"/>
  <c r="F30" i="7"/>
  <c r="F41" i="7"/>
  <c r="M32" i="7"/>
  <c r="N60" i="7" s="1"/>
  <c r="F26" i="7"/>
  <c r="F45" i="7"/>
  <c r="F43" i="7"/>
  <c r="M34" i="7"/>
  <c r="N62" i="7" s="1"/>
  <c r="AS28" i="9"/>
  <c r="M26" i="7"/>
  <c r="N54" i="7" s="1"/>
  <c r="AN37" i="7"/>
  <c r="CP37" i="9"/>
  <c r="AQ13" i="7"/>
  <c r="CP13" i="9"/>
  <c r="E91" i="7"/>
  <c r="AS43" i="9"/>
  <c r="AS32" i="9"/>
  <c r="F46" i="7"/>
  <c r="D120" i="7" s="1"/>
  <c r="D125" i="7" s="1"/>
  <c r="AS46" i="9"/>
  <c r="AS35" i="9"/>
  <c r="AS33" i="9"/>
  <c r="AN32" i="7"/>
  <c r="G12" i="7" s="1"/>
  <c r="G16" i="7" s="1"/>
  <c r="B23" i="7" s="1"/>
  <c r="CP32" i="9"/>
  <c r="AT12" i="9" s="1"/>
  <c r="AQ14" i="7"/>
  <c r="CP14" i="9"/>
  <c r="AS44" i="9"/>
  <c r="AS40" i="9"/>
  <c r="F33" i="7"/>
  <c r="AS45" i="9"/>
  <c r="M43" i="7"/>
  <c r="N71" i="7" s="1"/>
  <c r="M31" i="7"/>
  <c r="N59" i="7" s="1"/>
  <c r="J26" i="7"/>
  <c r="G91" i="7"/>
  <c r="B131" i="6"/>
  <c r="B132" i="6" s="1"/>
  <c r="B133" i="6" s="1"/>
  <c r="E131" i="6"/>
  <c r="K24" i="9" l="1"/>
  <c r="BF30" i="9"/>
  <c r="BF45" i="9"/>
  <c r="BF44" i="9"/>
  <c r="BF46" i="9"/>
  <c r="BF40" i="9"/>
  <c r="K47" i="9"/>
  <c r="BF43" i="9"/>
  <c r="BF41" i="9"/>
  <c r="BF42" i="9"/>
  <c r="AF58" i="9"/>
  <c r="AF55" i="9" s="1"/>
  <c r="BB35" i="9"/>
  <c r="S35" i="7" s="1"/>
  <c r="AV27" i="9"/>
  <c r="BB33" i="9"/>
  <c r="S33" i="7" s="1"/>
  <c r="BC30" i="9"/>
  <c r="T30" i="7" s="1"/>
  <c r="BC45" i="9"/>
  <c r="AZ45" i="9" s="1"/>
  <c r="Q45" i="7" s="1"/>
  <c r="BC37" i="9"/>
  <c r="T37" i="7" s="1"/>
  <c r="BC46" i="9"/>
  <c r="T46" i="7" s="1"/>
  <c r="T44" i="7"/>
  <c r="T31" i="7"/>
  <c r="T40" i="7"/>
  <c r="T34" i="7"/>
  <c r="T32" i="7"/>
  <c r="T41" i="7"/>
  <c r="T43" i="7"/>
  <c r="AZ28" i="9"/>
  <c r="Q28" i="7" s="1"/>
  <c r="T42" i="7"/>
  <c r="T38" i="7"/>
  <c r="T29" i="7"/>
  <c r="T39" i="7"/>
  <c r="AV26" i="9"/>
  <c r="AI43" i="9"/>
  <c r="BE46" i="9" s="1"/>
  <c r="BB27" i="9"/>
  <c r="S27" i="7" s="1"/>
  <c r="BP35" i="9"/>
  <c r="BC27" i="9"/>
  <c r="BP27" i="9"/>
  <c r="AV37" i="9"/>
  <c r="BP37" i="9"/>
  <c r="AV30" i="9"/>
  <c r="BB37" i="9"/>
  <c r="S37" i="7" s="1"/>
  <c r="AV45" i="9"/>
  <c r="BP38" i="9"/>
  <c r="BB45" i="9"/>
  <c r="S45" i="7" s="1"/>
  <c r="BB46" i="9"/>
  <c r="S46" i="7" s="1"/>
  <c r="AV46" i="9"/>
  <c r="BP45" i="9"/>
  <c r="BP46" i="9"/>
  <c r="AV33" i="9"/>
  <c r="BP29" i="9"/>
  <c r="BB30" i="9"/>
  <c r="S30" i="7" s="1"/>
  <c r="BP32" i="9"/>
  <c r="BP30" i="9"/>
  <c r="BC33" i="9"/>
  <c r="AV35" i="9"/>
  <c r="BP34" i="9"/>
  <c r="BP33" i="9"/>
  <c r="AZ38" i="9"/>
  <c r="Q38" i="7" s="1"/>
  <c r="BC35" i="9"/>
  <c r="T27" i="7"/>
  <c r="AZ44" i="9"/>
  <c r="Q44" i="7" s="1"/>
  <c r="T28" i="7"/>
  <c r="AZ32" i="9"/>
  <c r="Q32" i="7" s="1"/>
  <c r="AZ34" i="9"/>
  <c r="Q34" i="7" s="1"/>
  <c r="AZ31" i="9"/>
  <c r="Q31" i="7" s="1"/>
  <c r="AZ41" i="9"/>
  <c r="Q41" i="7" s="1"/>
  <c r="AZ43" i="9"/>
  <c r="Q43" i="7" s="1"/>
  <c r="AZ39" i="9"/>
  <c r="Q39" i="7" s="1"/>
  <c r="AZ42" i="9"/>
  <c r="Q42" i="7" s="1"/>
  <c r="AZ29" i="9"/>
  <c r="Q29" i="7" s="1"/>
  <c r="AZ40" i="9"/>
  <c r="Q40" i="7" s="1"/>
  <c r="BD32" i="9"/>
  <c r="BD34" i="9"/>
  <c r="BD38" i="9"/>
  <c r="BD39" i="9"/>
  <c r="BD41" i="9"/>
  <c r="BD31" i="9"/>
  <c r="BD43" i="9"/>
  <c r="BD42" i="9"/>
  <c r="BD40" i="9"/>
  <c r="BD28" i="9"/>
  <c r="BD44" i="9"/>
  <c r="BD29" i="9"/>
  <c r="D86" i="7"/>
  <c r="D91" i="7" s="1"/>
  <c r="M46" i="7"/>
  <c r="N74" i="7" s="1"/>
  <c r="J46" i="7"/>
  <c r="H125" i="7" s="1"/>
  <c r="G15" i="7"/>
  <c r="AT16" i="9"/>
  <c r="AK23" i="9" s="1"/>
  <c r="B88" i="9" s="1"/>
  <c r="AT15" i="9"/>
  <c r="G86" i="7"/>
  <c r="H91" i="7"/>
  <c r="C59" i="7"/>
  <c r="C54" i="7"/>
  <c r="C64" i="7"/>
  <c r="C62" i="7"/>
  <c r="C57" i="7"/>
  <c r="C55" i="7"/>
  <c r="C71" i="7"/>
  <c r="C60" i="7"/>
  <c r="C58" i="7"/>
  <c r="C74" i="7"/>
  <c r="C69" i="7"/>
  <c r="C67" i="7"/>
  <c r="C56" i="7"/>
  <c r="C72" i="7"/>
  <c r="C70" i="7"/>
  <c r="C65" i="7"/>
  <c r="C63" i="7"/>
  <c r="C73" i="7"/>
  <c r="C68" i="7"/>
  <c r="C66" i="7"/>
  <c r="C61" i="7"/>
  <c r="BG46" i="9" l="1"/>
  <c r="BH46" i="9" s="1"/>
  <c r="T45" i="7"/>
  <c r="BD46" i="9"/>
  <c r="U46" i="7" s="1"/>
  <c r="BD45" i="9"/>
  <c r="U45" i="7" s="1"/>
  <c r="AZ37" i="9"/>
  <c r="Q37" i="7" s="1"/>
  <c r="AZ46" i="9"/>
  <c r="Q46" i="7" s="1"/>
  <c r="AZ30" i="9"/>
  <c r="Q30" i="7" s="1"/>
  <c r="BD30" i="9"/>
  <c r="U30" i="7" s="1"/>
  <c r="U40" i="7"/>
  <c r="U32" i="7"/>
  <c r="U31" i="7"/>
  <c r="U44" i="7"/>
  <c r="U43" i="7"/>
  <c r="U38" i="7"/>
  <c r="U41" i="7"/>
  <c r="U28" i="7"/>
  <c r="U34" i="7"/>
  <c r="U29" i="7"/>
  <c r="U42" i="7"/>
  <c r="U39" i="7"/>
  <c r="T35" i="7"/>
  <c r="AZ27" i="9"/>
  <c r="Q27" i="7" s="1"/>
  <c r="T33" i="7"/>
  <c r="BD26" i="9"/>
  <c r="BD27" i="9"/>
  <c r="BD37" i="9"/>
  <c r="BD33" i="9"/>
  <c r="AZ33" i="9"/>
  <c r="Q33" i="7" s="1"/>
  <c r="BD35" i="9"/>
  <c r="AZ35" i="9"/>
  <c r="Q35" i="7" s="1"/>
  <c r="BA28" i="9"/>
  <c r="BA42" i="9"/>
  <c r="BA41" i="9"/>
  <c r="BA38" i="9"/>
  <c r="BA31" i="9"/>
  <c r="BA40" i="9"/>
  <c r="BA39" i="9"/>
  <c r="BA44" i="9"/>
  <c r="BA43" i="9"/>
  <c r="O80" i="9"/>
  <c r="G120" i="7"/>
  <c r="AL74" i="9"/>
  <c r="AL75" i="9"/>
  <c r="AL73" i="9"/>
  <c r="AL57" i="9"/>
  <c r="AL66" i="9"/>
  <c r="AL70" i="9"/>
  <c r="AL69" i="9"/>
  <c r="AL72" i="9"/>
  <c r="AL68" i="9"/>
  <c r="AL60" i="9"/>
  <c r="AL67" i="9"/>
  <c r="AL76" i="9"/>
  <c r="AX75" i="9" s="1"/>
  <c r="AL62" i="9"/>
  <c r="AL61" i="9"/>
  <c r="AL64" i="9"/>
  <c r="AL58" i="9"/>
  <c r="AL65" i="9"/>
  <c r="AL59" i="9"/>
  <c r="AL71" i="9"/>
  <c r="AL63" i="9"/>
  <c r="AL77" i="9"/>
  <c r="D73" i="7"/>
  <c r="E73" i="7"/>
  <c r="G73" i="7"/>
  <c r="D74" i="7"/>
  <c r="G74" i="7"/>
  <c r="E74" i="7"/>
  <c r="D54" i="7"/>
  <c r="G54" i="7"/>
  <c r="E54" i="7"/>
  <c r="D68" i="7"/>
  <c r="E68" i="7"/>
  <c r="G68" i="7"/>
  <c r="D70" i="7"/>
  <c r="G70" i="7"/>
  <c r="E70" i="7"/>
  <c r="D69" i="7"/>
  <c r="G69" i="7"/>
  <c r="E69" i="7"/>
  <c r="D71" i="7"/>
  <c r="E71" i="7"/>
  <c r="G71" i="7"/>
  <c r="D64" i="7"/>
  <c r="E64" i="7"/>
  <c r="D66" i="7"/>
  <c r="E66" i="7"/>
  <c r="G66" i="7"/>
  <c r="D65" i="7"/>
  <c r="G65" i="7"/>
  <c r="E65" i="7"/>
  <c r="D67" i="7"/>
  <c r="E67" i="7"/>
  <c r="G67" i="7"/>
  <c r="D60" i="7"/>
  <c r="G60" i="7"/>
  <c r="E60" i="7"/>
  <c r="D62" i="7"/>
  <c r="E62" i="7"/>
  <c r="G62" i="7"/>
  <c r="D61" i="7"/>
  <c r="G61" i="7"/>
  <c r="E61" i="7"/>
  <c r="D63" i="7"/>
  <c r="G63" i="7"/>
  <c r="E63" i="7"/>
  <c r="D56" i="7"/>
  <c r="E56" i="7"/>
  <c r="G56" i="7"/>
  <c r="D58" i="7"/>
  <c r="G58" i="7"/>
  <c r="E58" i="7"/>
  <c r="D57" i="7"/>
  <c r="G57" i="7"/>
  <c r="E57" i="7"/>
  <c r="D59" i="7"/>
  <c r="E59" i="7"/>
  <c r="G59" i="7"/>
  <c r="D72" i="7"/>
  <c r="E72" i="7"/>
  <c r="G72" i="7"/>
  <c r="D55" i="7"/>
  <c r="G55" i="7"/>
  <c r="E55" i="7"/>
  <c r="AX70" i="9" l="1"/>
  <c r="AX62" i="9"/>
  <c r="AX57" i="9"/>
  <c r="AX71" i="9"/>
  <c r="AX60" i="9"/>
  <c r="AX69" i="9"/>
  <c r="AX61" i="9"/>
  <c r="AX64" i="9"/>
  <c r="AX67" i="9"/>
  <c r="AX73" i="9"/>
  <c r="AX65" i="9"/>
  <c r="AX58" i="9"/>
  <c r="AX59" i="9"/>
  <c r="AX74" i="9"/>
  <c r="AH74" i="9"/>
  <c r="AX76" i="9"/>
  <c r="BY88" i="9"/>
  <c r="BY89" i="9" s="1"/>
  <c r="AX66" i="9"/>
  <c r="AX63" i="9"/>
  <c r="AX68" i="9"/>
  <c r="AX72" i="9"/>
  <c r="BA37" i="9"/>
  <c r="R37" i="7" s="1"/>
  <c r="BA36" i="9"/>
  <c r="R36" i="7" s="1"/>
  <c r="CG46" i="9"/>
  <c r="BA45" i="9"/>
  <c r="R45" i="7" s="1"/>
  <c r="BA30" i="9"/>
  <c r="R30" i="7" s="1"/>
  <c r="BA29" i="9"/>
  <c r="R29" i="7" s="1"/>
  <c r="U37" i="7"/>
  <c r="U35" i="7"/>
  <c r="U33" i="7"/>
  <c r="U27" i="7"/>
  <c r="BA27" i="9"/>
  <c r="R27" i="7" s="1"/>
  <c r="BI46" i="9"/>
  <c r="BJ46" i="9" s="1"/>
  <c r="BK46" i="9" s="1"/>
  <c r="R31" i="7"/>
  <c r="R43" i="7"/>
  <c r="R40" i="7"/>
  <c r="R28" i="7"/>
  <c r="R44" i="7"/>
  <c r="R38" i="7"/>
  <c r="R41" i="7"/>
  <c r="R39" i="7"/>
  <c r="R42" i="7"/>
  <c r="AP66" i="9"/>
  <c r="AY66" i="9" s="1"/>
  <c r="BA33" i="9"/>
  <c r="BA32" i="9"/>
  <c r="BA34" i="9"/>
  <c r="BA35" i="9"/>
  <c r="N122" i="7"/>
  <c r="K122" i="7"/>
  <c r="Q121" i="7"/>
  <c r="Q122" i="7"/>
  <c r="Q88" i="7"/>
  <c r="N88" i="7"/>
  <c r="Q87" i="7"/>
  <c r="K88" i="7"/>
  <c r="CH58" i="9"/>
  <c r="CH60" i="9"/>
  <c r="CH63" i="9"/>
  <c r="CH72" i="9"/>
  <c r="CH69" i="9"/>
  <c r="AN67" i="9"/>
  <c r="AH73" i="9"/>
  <c r="AN57" i="9"/>
  <c r="AH72" i="9"/>
  <c r="CH74" i="9"/>
  <c r="CH76" i="9"/>
  <c r="CH66" i="9"/>
  <c r="CH68" i="9"/>
  <c r="CH62" i="9"/>
  <c r="CH57" i="9"/>
  <c r="CH70" i="9"/>
  <c r="CH75" i="9"/>
  <c r="CH71" i="9"/>
  <c r="CH59" i="9"/>
  <c r="CH64" i="9"/>
  <c r="CH61" i="9"/>
  <c r="CH67" i="9"/>
  <c r="CH65" i="9"/>
  <c r="CH73" i="9"/>
  <c r="K125" i="7"/>
  <c r="K91" i="7"/>
  <c r="K108" i="7"/>
  <c r="G71" i="9"/>
  <c r="R71" i="9"/>
  <c r="G64" i="9"/>
  <c r="R64" i="9"/>
  <c r="G67" i="9"/>
  <c r="R67" i="9"/>
  <c r="G69" i="9"/>
  <c r="R69" i="9"/>
  <c r="G73" i="9"/>
  <c r="R73" i="9"/>
  <c r="G63" i="9"/>
  <c r="R63" i="9"/>
  <c r="G58" i="9"/>
  <c r="R58" i="9"/>
  <c r="G76" i="9"/>
  <c r="R76" i="9"/>
  <c r="G72" i="9"/>
  <c r="R72" i="9"/>
  <c r="R57" i="9"/>
  <c r="O78" i="9"/>
  <c r="O79" i="9"/>
  <c r="R77" i="9"/>
  <c r="G65" i="9"/>
  <c r="R65" i="9"/>
  <c r="G62" i="9"/>
  <c r="R62" i="9"/>
  <c r="G68" i="9"/>
  <c r="R68" i="9"/>
  <c r="G66" i="9"/>
  <c r="R66" i="9"/>
  <c r="G74" i="9"/>
  <c r="R74" i="9"/>
  <c r="G59" i="9"/>
  <c r="R59" i="9"/>
  <c r="G61" i="9"/>
  <c r="R61" i="9"/>
  <c r="G60" i="9"/>
  <c r="R60" i="9"/>
  <c r="G70" i="9"/>
  <c r="R70" i="9"/>
  <c r="G75" i="9"/>
  <c r="R75" i="9"/>
  <c r="G57" i="9"/>
  <c r="B86" i="9"/>
  <c r="G77" i="9"/>
  <c r="B87" i="9"/>
  <c r="AP57" i="9"/>
  <c r="AM61" i="9"/>
  <c r="AP61" i="9"/>
  <c r="AN61" i="9"/>
  <c r="AM71" i="9"/>
  <c r="AP71" i="9"/>
  <c r="AN71" i="9"/>
  <c r="AM64" i="9"/>
  <c r="AP64" i="9"/>
  <c r="AN64" i="9"/>
  <c r="AM67" i="9"/>
  <c r="AM73" i="9"/>
  <c r="AP73" i="9"/>
  <c r="AN73" i="9"/>
  <c r="AM77" i="9"/>
  <c r="AP77" i="9"/>
  <c r="AN77" i="9"/>
  <c r="AS125" i="9" s="1"/>
  <c r="AY125" i="9" s="1"/>
  <c r="AM65" i="9"/>
  <c r="AP65" i="9"/>
  <c r="AY65" i="9" s="1"/>
  <c r="AN65" i="9"/>
  <c r="AM62" i="9"/>
  <c r="AP62" i="9"/>
  <c r="AN62" i="9"/>
  <c r="AM68" i="9"/>
  <c r="AN68" i="9"/>
  <c r="AP68" i="9"/>
  <c r="AM66" i="9"/>
  <c r="AN66" i="9"/>
  <c r="AM74" i="9"/>
  <c r="AN74" i="9"/>
  <c r="AP74" i="9"/>
  <c r="J105" i="7"/>
  <c r="P105" i="7" s="1"/>
  <c r="B53" i="7"/>
  <c r="AM59" i="9"/>
  <c r="AN59" i="9"/>
  <c r="AP59" i="9"/>
  <c r="AM60" i="9"/>
  <c r="AN60" i="9"/>
  <c r="AP60" i="9"/>
  <c r="AM70" i="9"/>
  <c r="AN70" i="9"/>
  <c r="AP70" i="9"/>
  <c r="AM75" i="9"/>
  <c r="AP75" i="9"/>
  <c r="AN75" i="9"/>
  <c r="AM69" i="9"/>
  <c r="AP69" i="9"/>
  <c r="AN69" i="9"/>
  <c r="AM63" i="9"/>
  <c r="AP63" i="9"/>
  <c r="AN63" i="9"/>
  <c r="AM58" i="9"/>
  <c r="AP58" i="9"/>
  <c r="AN58" i="9"/>
  <c r="AM76" i="9"/>
  <c r="AN76" i="9"/>
  <c r="AP76" i="9"/>
  <c r="AM72" i="9"/>
  <c r="AN72" i="9"/>
  <c r="AP72" i="9"/>
  <c r="AM57" i="9"/>
  <c r="H63" i="7"/>
  <c r="L74" i="7"/>
  <c r="H74" i="7"/>
  <c r="M122" i="7" s="1"/>
  <c r="P121" i="7" s="1"/>
  <c r="J122" i="7"/>
  <c r="P122" i="7" s="1"/>
  <c r="H71" i="7"/>
  <c r="H57" i="7"/>
  <c r="H61" i="7"/>
  <c r="H62" i="7"/>
  <c r="H65" i="7"/>
  <c r="H66" i="7"/>
  <c r="H54" i="7"/>
  <c r="J88" i="7"/>
  <c r="P88" i="7" s="1"/>
  <c r="H58" i="7"/>
  <c r="H55" i="7"/>
  <c r="H69" i="7"/>
  <c r="H59" i="7"/>
  <c r="H60" i="7"/>
  <c r="H67" i="7"/>
  <c r="H70" i="7"/>
  <c r="H68" i="7"/>
  <c r="L58" i="7"/>
  <c r="L69" i="7"/>
  <c r="L62" i="7"/>
  <c r="L60" i="7"/>
  <c r="L70" i="7"/>
  <c r="L72" i="7"/>
  <c r="L56" i="7"/>
  <c r="L63" i="7"/>
  <c r="H64" i="7"/>
  <c r="L64" i="7"/>
  <c r="L73" i="7"/>
  <c r="L55" i="7"/>
  <c r="L71" i="7"/>
  <c r="L66" i="7"/>
  <c r="L59" i="7"/>
  <c r="L57" i="7"/>
  <c r="L61" i="7"/>
  <c r="L67" i="7"/>
  <c r="L65" i="7"/>
  <c r="L68" i="7"/>
  <c r="L54" i="7"/>
  <c r="F72" i="7"/>
  <c r="K72" i="7" s="1"/>
  <c r="H72" i="7"/>
  <c r="F56" i="7"/>
  <c r="K56" i="7" s="1"/>
  <c r="H56" i="7"/>
  <c r="F73" i="7"/>
  <c r="K73" i="7" s="1"/>
  <c r="H73" i="7"/>
  <c r="F57" i="7"/>
  <c r="K57" i="7" s="1"/>
  <c r="F61" i="7"/>
  <c r="K61" i="7" s="1"/>
  <c r="F65" i="7"/>
  <c r="K65" i="7" s="1"/>
  <c r="F54" i="7"/>
  <c r="F62" i="7"/>
  <c r="K62" i="7" s="1"/>
  <c r="F66" i="7"/>
  <c r="K66" i="7" s="1"/>
  <c r="F63" i="7"/>
  <c r="K63" i="7" s="1"/>
  <c r="F64" i="7"/>
  <c r="F69" i="7"/>
  <c r="K69" i="7" s="1"/>
  <c r="F74" i="7"/>
  <c r="F59" i="7"/>
  <c r="K59" i="7" s="1"/>
  <c r="F60" i="7"/>
  <c r="K60" i="7" s="1"/>
  <c r="F67" i="7"/>
  <c r="K67" i="7" s="1"/>
  <c r="F70" i="7"/>
  <c r="K70" i="7" s="1"/>
  <c r="F68" i="7"/>
  <c r="K68" i="7" s="1"/>
  <c r="F55" i="7"/>
  <c r="K55" i="7" s="1"/>
  <c r="F58" i="7"/>
  <c r="F71" i="7"/>
  <c r="K71" i="7" s="1"/>
  <c r="AY72" i="9" l="1"/>
  <c r="V69" i="7" s="1"/>
  <c r="BC75" i="9"/>
  <c r="BC67" i="9"/>
  <c r="AY70" i="9"/>
  <c r="BC76" i="9"/>
  <c r="BC58" i="9"/>
  <c r="BC73" i="9"/>
  <c r="V59" i="9"/>
  <c r="BO59" i="9" s="1"/>
  <c r="AY63" i="9"/>
  <c r="V60" i="7" s="1"/>
  <c r="BC70" i="9"/>
  <c r="BC68" i="9"/>
  <c r="BC64" i="9"/>
  <c r="BC66" i="9"/>
  <c r="AY60" i="9"/>
  <c r="AY74" i="9"/>
  <c r="V71" i="7" s="1"/>
  <c r="BC77" i="9"/>
  <c r="BC60" i="9"/>
  <c r="BC57" i="9"/>
  <c r="BE57" i="9" s="1"/>
  <c r="BC63" i="9"/>
  <c r="BC74" i="9"/>
  <c r="BC62" i="9"/>
  <c r="BC71" i="9"/>
  <c r="BC72" i="9"/>
  <c r="BC69" i="9"/>
  <c r="BC59" i="9"/>
  <c r="BC65" i="9"/>
  <c r="BC61" i="9"/>
  <c r="AY69" i="9"/>
  <c r="V66" i="7" s="1"/>
  <c r="AY75" i="9"/>
  <c r="AY61" i="9"/>
  <c r="V58" i="7" s="1"/>
  <c r="AY68" i="9"/>
  <c r="V65" i="7" s="1"/>
  <c r="AY67" i="9"/>
  <c r="V64" i="7" s="1"/>
  <c r="AY59" i="9"/>
  <c r="AY62" i="9"/>
  <c r="AY71" i="9"/>
  <c r="AY76" i="9"/>
  <c r="V73" i="7" s="1"/>
  <c r="AY58" i="9"/>
  <c r="V55" i="7" s="1"/>
  <c r="AY73" i="9"/>
  <c r="AY64" i="9"/>
  <c r="V61" i="7" s="1"/>
  <c r="AY57" i="9"/>
  <c r="V54" i="7" s="1"/>
  <c r="U59" i="7"/>
  <c r="U65" i="7"/>
  <c r="U71" i="7"/>
  <c r="U66" i="7"/>
  <c r="U62" i="7"/>
  <c r="U54" i="7"/>
  <c r="U60" i="7"/>
  <c r="U67" i="7"/>
  <c r="U55" i="7"/>
  <c r="U70" i="7"/>
  <c r="U64" i="7"/>
  <c r="U58" i="7"/>
  <c r="U61" i="7"/>
  <c r="U73" i="7"/>
  <c r="U69" i="7"/>
  <c r="R35" i="7"/>
  <c r="R32" i="7"/>
  <c r="R34" i="7"/>
  <c r="R33" i="7"/>
  <c r="AU57" i="9"/>
  <c r="CM67" i="9"/>
  <c r="CN67" i="9" s="1"/>
  <c r="CM57" i="9"/>
  <c r="CN57" i="9" s="1"/>
  <c r="R59" i="7"/>
  <c r="R73" i="7"/>
  <c r="R56" i="7"/>
  <c r="R68" i="7"/>
  <c r="R57" i="7"/>
  <c r="R55" i="7"/>
  <c r="R63" i="7"/>
  <c r="R60" i="7"/>
  <c r="R54" i="7"/>
  <c r="R61" i="7"/>
  <c r="R71" i="7"/>
  <c r="R70" i="7"/>
  <c r="R58" i="7"/>
  <c r="R67" i="7"/>
  <c r="R66" i="7"/>
  <c r="R64" i="7"/>
  <c r="R72" i="7"/>
  <c r="R69" i="7"/>
  <c r="R74" i="7"/>
  <c r="R65" i="7"/>
  <c r="R62" i="7"/>
  <c r="CM72" i="9"/>
  <c r="CM76" i="9"/>
  <c r="CM58" i="9"/>
  <c r="CM63" i="9"/>
  <c r="CM60" i="9"/>
  <c r="CM59" i="9"/>
  <c r="CM64" i="9"/>
  <c r="CM71" i="9"/>
  <c r="CM69" i="9"/>
  <c r="CM75" i="9"/>
  <c r="CM70" i="9"/>
  <c r="CM61" i="9"/>
  <c r="CM74" i="9"/>
  <c r="CM66" i="9"/>
  <c r="AT94" i="9"/>
  <c r="AO67" i="9"/>
  <c r="AS108" i="9"/>
  <c r="AY108" i="9" s="1"/>
  <c r="CM68" i="9"/>
  <c r="CM62" i="9"/>
  <c r="CM65" i="9"/>
  <c r="CM77" i="9"/>
  <c r="CN77" i="9" s="1"/>
  <c r="CM73" i="9"/>
  <c r="AO57" i="9"/>
  <c r="H70" i="9"/>
  <c r="J70" i="9" s="1"/>
  <c r="H74" i="9"/>
  <c r="I74" i="9" s="1"/>
  <c r="H68" i="9"/>
  <c r="J68" i="9" s="1"/>
  <c r="H76" i="9"/>
  <c r="I76" i="9" s="1"/>
  <c r="H69" i="9"/>
  <c r="J69" i="9" s="1"/>
  <c r="H77" i="9"/>
  <c r="H75" i="9"/>
  <c r="I75" i="9" s="1"/>
  <c r="H72" i="9"/>
  <c r="I72" i="9" s="1"/>
  <c r="H73" i="9"/>
  <c r="I73" i="9" s="1"/>
  <c r="H71" i="9"/>
  <c r="H58" i="9"/>
  <c r="H62" i="9"/>
  <c r="H66" i="9"/>
  <c r="J66" i="9" s="1"/>
  <c r="H61" i="9"/>
  <c r="H65" i="9"/>
  <c r="J65" i="9" s="1"/>
  <c r="H60" i="9"/>
  <c r="H64" i="9"/>
  <c r="J64" i="9" s="1"/>
  <c r="H63" i="9"/>
  <c r="H59" i="9"/>
  <c r="H67" i="9"/>
  <c r="J67" i="9" s="1"/>
  <c r="V60" i="9"/>
  <c r="BO60" i="9" s="1"/>
  <c r="AT128" i="9"/>
  <c r="AT111" i="9"/>
  <c r="V62" i="9"/>
  <c r="BO62" i="9" s="1"/>
  <c r="V58" i="9"/>
  <c r="BO58" i="9" s="1"/>
  <c r="V61" i="9"/>
  <c r="BO61" i="9" s="1"/>
  <c r="V63" i="9"/>
  <c r="BO63" i="9" s="1"/>
  <c r="V64" i="9"/>
  <c r="BO64" i="9" s="1"/>
  <c r="S75" i="9"/>
  <c r="S66" i="9"/>
  <c r="T66" i="9" s="1"/>
  <c r="S77" i="9"/>
  <c r="T77" i="9" s="1"/>
  <c r="S72" i="9"/>
  <c r="S73" i="9"/>
  <c r="S67" i="9"/>
  <c r="T67" i="9" s="1"/>
  <c r="S71" i="9"/>
  <c r="S59" i="9"/>
  <c r="S63" i="9"/>
  <c r="S58" i="9"/>
  <c r="S62" i="9"/>
  <c r="S57" i="9"/>
  <c r="S64" i="9"/>
  <c r="S61" i="9"/>
  <c r="S65" i="9"/>
  <c r="T65" i="9" s="1"/>
  <c r="V65" i="9" s="1"/>
  <c r="BO65" i="9" s="1"/>
  <c r="S60" i="9"/>
  <c r="S70" i="9"/>
  <c r="S74" i="9"/>
  <c r="S68" i="9"/>
  <c r="T68" i="9" s="1"/>
  <c r="S76" i="9"/>
  <c r="S69" i="9"/>
  <c r="T69" i="9" s="1"/>
  <c r="H57" i="9"/>
  <c r="J57" i="9" s="1"/>
  <c r="Q72" i="9"/>
  <c r="R80" i="9" s="1"/>
  <c r="F62" i="9"/>
  <c r="G80" i="9" s="1"/>
  <c r="F72" i="9"/>
  <c r="G82" i="9" s="1"/>
  <c r="AQ57" i="9"/>
  <c r="AV91" i="9" s="1"/>
  <c r="AU76" i="9"/>
  <c r="AQ63" i="9"/>
  <c r="AO63" i="9"/>
  <c r="AT63" i="9" s="1"/>
  <c r="AO69" i="9"/>
  <c r="AT69" i="9" s="1"/>
  <c r="AQ69" i="9"/>
  <c r="AQ75" i="9"/>
  <c r="AO75" i="9"/>
  <c r="AT75" i="9" s="1"/>
  <c r="AU60" i="9"/>
  <c r="AU66" i="9"/>
  <c r="AO68" i="9"/>
  <c r="AT68" i="9" s="1"/>
  <c r="AQ68" i="9"/>
  <c r="AU62" i="9"/>
  <c r="V59" i="7"/>
  <c r="AU77" i="9"/>
  <c r="AU73" i="9"/>
  <c r="AU74" i="9"/>
  <c r="AQ66" i="9"/>
  <c r="AO66" i="9"/>
  <c r="AT66" i="9" s="1"/>
  <c r="AU68" i="9"/>
  <c r="AO62" i="9"/>
  <c r="AT62" i="9" s="1"/>
  <c r="AQ62" i="9"/>
  <c r="AO65" i="9"/>
  <c r="AT65" i="9" s="1"/>
  <c r="AQ65" i="9"/>
  <c r="AQ77" i="9"/>
  <c r="AO77" i="9"/>
  <c r="AO73" i="9"/>
  <c r="AT73" i="9" s="1"/>
  <c r="AQ73" i="9"/>
  <c r="AQ67" i="9"/>
  <c r="AR67" i="9" s="1"/>
  <c r="AU67" i="9"/>
  <c r="AU64" i="9"/>
  <c r="AU71" i="9"/>
  <c r="AU61" i="9"/>
  <c r="AU72" i="9"/>
  <c r="AO58" i="9"/>
  <c r="AT58" i="9" s="1"/>
  <c r="AQ58" i="9"/>
  <c r="AU70" i="9"/>
  <c r="V67" i="7"/>
  <c r="AU59" i="9"/>
  <c r="AO74" i="9"/>
  <c r="AT74" i="9" s="1"/>
  <c r="AQ74" i="9"/>
  <c r="V62" i="7"/>
  <c r="AU65" i="9"/>
  <c r="AS91" i="9"/>
  <c r="AY91" i="9" s="1"/>
  <c r="AQ72" i="9"/>
  <c r="AO72" i="9"/>
  <c r="AT72" i="9" s="1"/>
  <c r="AO76" i="9"/>
  <c r="AT76" i="9" s="1"/>
  <c r="AQ76" i="9"/>
  <c r="AU58" i="9"/>
  <c r="AU63" i="9"/>
  <c r="AU69" i="9"/>
  <c r="AU75" i="9"/>
  <c r="AQ70" i="9"/>
  <c r="AO70" i="9"/>
  <c r="AT70" i="9" s="1"/>
  <c r="AQ60" i="9"/>
  <c r="AO60" i="9"/>
  <c r="AT60" i="9" s="1"/>
  <c r="AQ59" i="9"/>
  <c r="AO59" i="9"/>
  <c r="AT59" i="9" s="1"/>
  <c r="AO64" i="9"/>
  <c r="AT64" i="9" s="1"/>
  <c r="AQ64" i="9"/>
  <c r="AQ71" i="9"/>
  <c r="AO71" i="9"/>
  <c r="AT71" i="9" s="1"/>
  <c r="AO61" i="9"/>
  <c r="AT61" i="9" s="1"/>
  <c r="AQ61" i="9"/>
  <c r="M105" i="7"/>
  <c r="P104" i="7" s="1"/>
  <c r="I54" i="7"/>
  <c r="J54" i="7" s="1"/>
  <c r="M61" i="7"/>
  <c r="M68" i="7"/>
  <c r="M59" i="7"/>
  <c r="M62" i="7"/>
  <c r="I70" i="7"/>
  <c r="J70" i="7" s="1"/>
  <c r="I60" i="7"/>
  <c r="J60" i="7" s="1"/>
  <c r="I58" i="7"/>
  <c r="J58" i="7" s="1"/>
  <c r="M65" i="7"/>
  <c r="M71" i="7"/>
  <c r="M69" i="7"/>
  <c r="M63" i="7"/>
  <c r="M67" i="7"/>
  <c r="M55" i="7"/>
  <c r="M66" i="7"/>
  <c r="M57" i="7"/>
  <c r="J108" i="7"/>
  <c r="J91" i="7"/>
  <c r="J125" i="7"/>
  <c r="I121" i="7"/>
  <c r="I122" i="7"/>
  <c r="F122" i="7"/>
  <c r="C122" i="7"/>
  <c r="C121" i="7"/>
  <c r="F121" i="7"/>
  <c r="M60" i="7"/>
  <c r="I63" i="7"/>
  <c r="J63" i="7" s="1"/>
  <c r="I59" i="7"/>
  <c r="J59" i="7" s="1"/>
  <c r="M70" i="7"/>
  <c r="I61" i="7"/>
  <c r="J61" i="7" s="1"/>
  <c r="I67" i="7"/>
  <c r="J67" i="7" s="1"/>
  <c r="I55" i="7"/>
  <c r="J55" i="7" s="1"/>
  <c r="M74" i="7"/>
  <c r="O74" i="7" s="1"/>
  <c r="P74" i="7" s="1"/>
  <c r="I74" i="7"/>
  <c r="J74" i="7" s="1"/>
  <c r="I57" i="7"/>
  <c r="J57" i="7" s="1"/>
  <c r="I66" i="7"/>
  <c r="J66" i="7" s="1"/>
  <c r="K64" i="7"/>
  <c r="I108" i="7"/>
  <c r="L103" i="7"/>
  <c r="I71" i="7"/>
  <c r="J71" i="7" s="1"/>
  <c r="I68" i="7"/>
  <c r="J68" i="7" s="1"/>
  <c r="I65" i="7"/>
  <c r="J65" i="7" s="1"/>
  <c r="I62" i="7"/>
  <c r="J62" i="7" s="1"/>
  <c r="K74" i="7"/>
  <c r="L120" i="7"/>
  <c r="I125" i="7"/>
  <c r="K54" i="7"/>
  <c r="I91" i="7"/>
  <c r="L86" i="7"/>
  <c r="K58" i="7"/>
  <c r="M54" i="7"/>
  <c r="M88" i="7"/>
  <c r="P87" i="7" s="1"/>
  <c r="I69" i="7"/>
  <c r="J69" i="7" s="1"/>
  <c r="M58" i="7"/>
  <c r="I73" i="7"/>
  <c r="J73" i="7" s="1"/>
  <c r="M73" i="7"/>
  <c r="I72" i="7"/>
  <c r="J72" i="7" s="1"/>
  <c r="M72" i="7"/>
  <c r="I64" i="7"/>
  <c r="M64" i="7"/>
  <c r="I56" i="7"/>
  <c r="J56" i="7" s="1"/>
  <c r="M56" i="7"/>
  <c r="V67" i="9" l="1"/>
  <c r="V70" i="7"/>
  <c r="K67" i="9"/>
  <c r="K64" i="9"/>
  <c r="K66" i="9"/>
  <c r="K70" i="9"/>
  <c r="K65" i="9"/>
  <c r="V68" i="9"/>
  <c r="BO68" i="9" s="1"/>
  <c r="V69" i="9"/>
  <c r="I59" i="9"/>
  <c r="I58" i="9"/>
  <c r="I61" i="9"/>
  <c r="J77" i="9"/>
  <c r="I60" i="9"/>
  <c r="I62" i="9"/>
  <c r="I57" i="9"/>
  <c r="I68" i="9"/>
  <c r="U77" i="9"/>
  <c r="U69" i="9"/>
  <c r="I63" i="9"/>
  <c r="I71" i="9"/>
  <c r="I77" i="9"/>
  <c r="I65" i="9"/>
  <c r="I64" i="9"/>
  <c r="I66" i="9"/>
  <c r="I69" i="9"/>
  <c r="I70" i="9"/>
  <c r="BE59" i="9"/>
  <c r="AB56" i="7" s="1"/>
  <c r="Z56" i="7"/>
  <c r="BE70" i="9"/>
  <c r="AB67" i="7" s="1"/>
  <c r="Z67" i="7"/>
  <c r="BE66" i="9"/>
  <c r="AB63" i="7" s="1"/>
  <c r="Z63" i="7"/>
  <c r="BE62" i="9"/>
  <c r="AB59" i="7" s="1"/>
  <c r="Z59" i="7"/>
  <c r="AV108" i="9"/>
  <c r="AY107" i="9" s="1"/>
  <c r="BE61" i="9"/>
  <c r="AB58" i="7" s="1"/>
  <c r="Z58" i="7"/>
  <c r="BE67" i="9"/>
  <c r="AB64" i="7" s="1"/>
  <c r="Z64" i="7"/>
  <c r="BE58" i="9"/>
  <c r="AB55" i="7" s="1"/>
  <c r="Z55" i="7"/>
  <c r="BE64" i="9"/>
  <c r="AB61" i="7" s="1"/>
  <c r="Z61" i="7"/>
  <c r="BE65" i="9"/>
  <c r="AB62" i="7" s="1"/>
  <c r="Z62" i="7"/>
  <c r="BE76" i="9"/>
  <c r="AB73" i="7" s="1"/>
  <c r="Z73" i="7"/>
  <c r="BE63" i="9"/>
  <c r="AB60" i="7" s="1"/>
  <c r="Z60" i="7"/>
  <c r="BE77" i="9"/>
  <c r="AB74" i="7" s="1"/>
  <c r="Z74" i="7"/>
  <c r="BE69" i="9"/>
  <c r="AB66" i="7" s="1"/>
  <c r="Z66" i="7"/>
  <c r="BE71" i="9"/>
  <c r="AB68" i="7" s="1"/>
  <c r="Z68" i="7"/>
  <c r="BE73" i="9"/>
  <c r="AB70" i="7" s="1"/>
  <c r="Z70" i="7"/>
  <c r="BE60" i="9"/>
  <c r="AB57" i="7" s="1"/>
  <c r="Z57" i="7"/>
  <c r="Z54" i="7"/>
  <c r="BE75" i="9"/>
  <c r="AB72" i="7" s="1"/>
  <c r="Z72" i="7"/>
  <c r="BE72" i="9"/>
  <c r="AB69" i="7" s="1"/>
  <c r="Z69" i="7"/>
  <c r="BE74" i="9"/>
  <c r="AB71" i="7" s="1"/>
  <c r="Z71" i="7"/>
  <c r="BE68" i="9"/>
  <c r="AB65" i="7" s="1"/>
  <c r="Z65" i="7"/>
  <c r="O73" i="7"/>
  <c r="O71" i="7"/>
  <c r="O61" i="7"/>
  <c r="S54" i="7"/>
  <c r="S57" i="7"/>
  <c r="O70" i="7"/>
  <c r="O66" i="7"/>
  <c r="S64" i="7"/>
  <c r="S70" i="7"/>
  <c r="S60" i="7"/>
  <c r="O72" i="7"/>
  <c r="O54" i="7"/>
  <c r="O67" i="7"/>
  <c r="O65" i="7"/>
  <c r="O62" i="7"/>
  <c r="S65" i="7"/>
  <c r="S72" i="7"/>
  <c r="S66" i="7"/>
  <c r="S58" i="7"/>
  <c r="S56" i="7"/>
  <c r="S74" i="7"/>
  <c r="O64" i="7"/>
  <c r="O55" i="7"/>
  <c r="S62" i="7"/>
  <c r="S71" i="7"/>
  <c r="S63" i="7"/>
  <c r="S59" i="7"/>
  <c r="O69" i="7"/>
  <c r="O68" i="7"/>
  <c r="S68" i="7"/>
  <c r="O56" i="7"/>
  <c r="O58" i="7"/>
  <c r="O60" i="7"/>
  <c r="O57" i="7"/>
  <c r="O63" i="7"/>
  <c r="O59" i="7"/>
  <c r="S69" i="7"/>
  <c r="S67" i="7"/>
  <c r="S61" i="7"/>
  <c r="S55" i="7"/>
  <c r="S73" i="7"/>
  <c r="BO67" i="9"/>
  <c r="V57" i="9"/>
  <c r="BO57" i="9" s="1"/>
  <c r="V66" i="9"/>
  <c r="BO66" i="9" s="1"/>
  <c r="Q77" i="9"/>
  <c r="T75" i="9" s="1"/>
  <c r="AR57" i="9"/>
  <c r="AV57" i="9"/>
  <c r="AY90" i="9"/>
  <c r="AV73" i="9"/>
  <c r="AR73" i="9"/>
  <c r="AS73" i="9" s="1"/>
  <c r="AV125" i="9"/>
  <c r="AY124" i="9" s="1"/>
  <c r="AV77" i="9"/>
  <c r="AR77" i="9"/>
  <c r="AF71" i="9" s="1"/>
  <c r="AR62" i="9"/>
  <c r="AS62" i="9" s="1"/>
  <c r="AV62" i="9"/>
  <c r="AR68" i="9"/>
  <c r="AS68" i="9" s="1"/>
  <c r="AV68" i="9"/>
  <c r="AR61" i="9"/>
  <c r="AS61" i="9" s="1"/>
  <c r="AV61" i="9"/>
  <c r="AR64" i="9"/>
  <c r="AS64" i="9" s="1"/>
  <c r="AV64" i="9"/>
  <c r="AR76" i="9"/>
  <c r="AS76" i="9" s="1"/>
  <c r="AV76" i="9"/>
  <c r="AR75" i="9"/>
  <c r="AS75" i="9" s="1"/>
  <c r="AV75" i="9"/>
  <c r="AR63" i="9"/>
  <c r="AS63" i="9" s="1"/>
  <c r="AV63" i="9"/>
  <c r="AT67" i="9"/>
  <c r="AV60" i="9"/>
  <c r="AR60" i="9"/>
  <c r="AS60" i="9" s="1"/>
  <c r="AR74" i="9"/>
  <c r="AS74" i="9" s="1"/>
  <c r="AV74" i="9"/>
  <c r="AT77" i="9"/>
  <c r="AR69" i="9"/>
  <c r="AS69" i="9" s="1"/>
  <c r="AV69" i="9"/>
  <c r="AV71" i="9"/>
  <c r="AR71" i="9"/>
  <c r="AS71" i="9" s="1"/>
  <c r="AR59" i="9"/>
  <c r="AS59" i="9" s="1"/>
  <c r="AV59" i="9"/>
  <c r="AR70" i="9"/>
  <c r="AS70" i="9" s="1"/>
  <c r="AV70" i="9"/>
  <c r="AV72" i="9"/>
  <c r="AR72" i="9"/>
  <c r="AS72" i="9" s="1"/>
  <c r="AR58" i="9"/>
  <c r="AS58" i="9" s="1"/>
  <c r="AV58" i="9"/>
  <c r="AV67" i="9"/>
  <c r="CV67" i="9" s="1"/>
  <c r="AR65" i="9"/>
  <c r="AS65" i="9" s="1"/>
  <c r="AV65" i="9"/>
  <c r="AR66" i="9"/>
  <c r="AS66" i="9" s="1"/>
  <c r="AV66" i="9"/>
  <c r="M91" i="7"/>
  <c r="O86" i="7"/>
  <c r="L91" i="7"/>
  <c r="L108" i="7"/>
  <c r="L125" i="7"/>
  <c r="O120" i="7"/>
  <c r="M125" i="7"/>
  <c r="J64" i="7"/>
  <c r="M108" i="7"/>
  <c r="O103" i="7"/>
  <c r="K69" i="9" l="1"/>
  <c r="V68" i="7"/>
  <c r="U68" i="7"/>
  <c r="T70" i="9"/>
  <c r="T72" i="9"/>
  <c r="T76" i="9"/>
  <c r="V77" i="9" s="1"/>
  <c r="K68" i="9"/>
  <c r="T74" i="9"/>
  <c r="V75" i="9" s="1"/>
  <c r="T73" i="9"/>
  <c r="T71" i="9"/>
  <c r="BO69" i="9"/>
  <c r="F57" i="9"/>
  <c r="BN65" i="9"/>
  <c r="BN64" i="9"/>
  <c r="BF62" i="9"/>
  <c r="BF59" i="9"/>
  <c r="AB54" i="7"/>
  <c r="BF57" i="9"/>
  <c r="BK67" i="9"/>
  <c r="BL67" i="9" s="1"/>
  <c r="CV76" i="9"/>
  <c r="BK76" i="9"/>
  <c r="BL76" i="9" s="1"/>
  <c r="CV77" i="9"/>
  <c r="BK77" i="9"/>
  <c r="BL77" i="9" s="1"/>
  <c r="CV59" i="9"/>
  <c r="BK59" i="9"/>
  <c r="BL59" i="9" s="1"/>
  <c r="CV74" i="9"/>
  <c r="BK74" i="9"/>
  <c r="BL74" i="9" s="1"/>
  <c r="CV73" i="9"/>
  <c r="BK73" i="9"/>
  <c r="BL73" i="9" s="1"/>
  <c r="CV58" i="9"/>
  <c r="BK58" i="9"/>
  <c r="BL58" i="9" s="1"/>
  <c r="CV70" i="9"/>
  <c r="BK70" i="9"/>
  <c r="BL70" i="9" s="1"/>
  <c r="CV62" i="9"/>
  <c r="BK62" i="9"/>
  <c r="BL62" i="9" s="1"/>
  <c r="BF73" i="9"/>
  <c r="CV66" i="9"/>
  <c r="BK66" i="9"/>
  <c r="BL66" i="9" s="1"/>
  <c r="CV72" i="9"/>
  <c r="BK72" i="9"/>
  <c r="BL72" i="9" s="1"/>
  <c r="CV63" i="9"/>
  <c r="BK63" i="9"/>
  <c r="BL63" i="9" s="1"/>
  <c r="CV61" i="9"/>
  <c r="BK61" i="9"/>
  <c r="BL61" i="9" s="1"/>
  <c r="CV69" i="9"/>
  <c r="BK69" i="9"/>
  <c r="BL69" i="9" s="1"/>
  <c r="CV65" i="9"/>
  <c r="BK65" i="9"/>
  <c r="BL65" i="9" s="1"/>
  <c r="CV71" i="9"/>
  <c r="BK71" i="9"/>
  <c r="BL71" i="9" s="1"/>
  <c r="CV60" i="9"/>
  <c r="BK60" i="9"/>
  <c r="BL60" i="9" s="1"/>
  <c r="CV75" i="9"/>
  <c r="BK75" i="9"/>
  <c r="BL75" i="9" s="1"/>
  <c r="CV64" i="9"/>
  <c r="BK64" i="9"/>
  <c r="BL64" i="9" s="1"/>
  <c r="CV68" i="9"/>
  <c r="BK68" i="9"/>
  <c r="BL68" i="9" s="1"/>
  <c r="BF69" i="9"/>
  <c r="BF70" i="9"/>
  <c r="BF76" i="9"/>
  <c r="BF77" i="9"/>
  <c r="BF75" i="9"/>
  <c r="BF65" i="9"/>
  <c r="BF63" i="9"/>
  <c r="BF58" i="9"/>
  <c r="BF72" i="9"/>
  <c r="BF61" i="9"/>
  <c r="BF68" i="9"/>
  <c r="BF60" i="9"/>
  <c r="BF64" i="9"/>
  <c r="BF71" i="9"/>
  <c r="BF66" i="9"/>
  <c r="BF67" i="9"/>
  <c r="BF74" i="9"/>
  <c r="P63" i="7"/>
  <c r="P60" i="7"/>
  <c r="P56" i="7"/>
  <c r="P72" i="7"/>
  <c r="P73" i="7"/>
  <c r="P69" i="7"/>
  <c r="P71" i="7"/>
  <c r="P57" i="7"/>
  <c r="P68" i="7"/>
  <c r="P64" i="7"/>
  <c r="P62" i="7"/>
  <c r="P70" i="7"/>
  <c r="P67" i="7"/>
  <c r="P61" i="7"/>
  <c r="P55" i="7"/>
  <c r="P66" i="7"/>
  <c r="P59" i="7"/>
  <c r="P58" i="7"/>
  <c r="P65" i="7"/>
  <c r="P54" i="7"/>
  <c r="CN61" i="9"/>
  <c r="CN60" i="9"/>
  <c r="CN72" i="9"/>
  <c r="CN65" i="9"/>
  <c r="CN69" i="9"/>
  <c r="CN58" i="9"/>
  <c r="CN70" i="9"/>
  <c r="CN64" i="9"/>
  <c r="CN71" i="9"/>
  <c r="CN63" i="9"/>
  <c r="CN62" i="9"/>
  <c r="CN73" i="9"/>
  <c r="CN74" i="9"/>
  <c r="CN68" i="9"/>
  <c r="CN66" i="9"/>
  <c r="CN59" i="9"/>
  <c r="CN76" i="9"/>
  <c r="CN75" i="9"/>
  <c r="AS57" i="9"/>
  <c r="AB59" i="9"/>
  <c r="AB66" i="9" s="1"/>
  <c r="BN66" i="9"/>
  <c r="AF59" i="9"/>
  <c r="AB71" i="9"/>
  <c r="AD59" i="9"/>
  <c r="AD71" i="9"/>
  <c r="AS67" i="9"/>
  <c r="AS77" i="9"/>
  <c r="U74" i="9" l="1"/>
  <c r="V73" i="9"/>
  <c r="V56" i="7"/>
  <c r="U56" i="7"/>
  <c r="AD66" i="9"/>
  <c r="V72" i="9"/>
  <c r="U70" i="9"/>
  <c r="V70" i="9"/>
  <c r="V76" i="9"/>
  <c r="V71" i="9"/>
  <c r="V74" i="9"/>
  <c r="J59" i="9"/>
  <c r="J62" i="9"/>
  <c r="J63" i="9"/>
  <c r="J58" i="9"/>
  <c r="J61" i="9"/>
  <c r="J60" i="9"/>
  <c r="AC68" i="7"/>
  <c r="AC62" i="7"/>
  <c r="AC63" i="7"/>
  <c r="AC60" i="7"/>
  <c r="U75" i="9"/>
  <c r="U72" i="9"/>
  <c r="AC57" i="7"/>
  <c r="AC55" i="7"/>
  <c r="AC74" i="7"/>
  <c r="BJ57" i="9"/>
  <c r="AG54" i="7" s="1"/>
  <c r="U76" i="9"/>
  <c r="AC58" i="7"/>
  <c r="AC67" i="7"/>
  <c r="AC70" i="7"/>
  <c r="AC56" i="7"/>
  <c r="U73" i="9"/>
  <c r="AC65" i="7"/>
  <c r="AC73" i="7"/>
  <c r="U71" i="9"/>
  <c r="AC71" i="7"/>
  <c r="AC61" i="7"/>
  <c r="AC69" i="7"/>
  <c r="AC72" i="7"/>
  <c r="AC66" i="7"/>
  <c r="AC59" i="7"/>
  <c r="BG62" i="9"/>
  <c r="AD59" i="7" s="1"/>
  <c r="BI62" i="9"/>
  <c r="AF59" i="7" s="1"/>
  <c r="BJ62" i="9"/>
  <c r="AG59" i="7" s="1"/>
  <c r="BJ73" i="9"/>
  <c r="AG70" i="7" s="1"/>
  <c r="BJ70" i="9"/>
  <c r="AG67" i="7" s="1"/>
  <c r="BJ59" i="9"/>
  <c r="AG56" i="7" s="1"/>
  <c r="BG73" i="9"/>
  <c r="AD70" i="7" s="1"/>
  <c r="BI59" i="9"/>
  <c r="AF56" i="7" s="1"/>
  <c r="BI71" i="9"/>
  <c r="AF68" i="7" s="1"/>
  <c r="BG59" i="9"/>
  <c r="AD56" i="7" s="1"/>
  <c r="BG65" i="9"/>
  <c r="BH65" i="9" s="1"/>
  <c r="AZ65" i="9" s="1"/>
  <c r="AC64" i="7"/>
  <c r="BI67" i="9"/>
  <c r="BG57" i="9"/>
  <c r="AD54" i="7" s="1"/>
  <c r="AC54" i="7"/>
  <c r="BY65" i="9"/>
  <c r="BY61" i="9"/>
  <c r="BI69" i="9"/>
  <c r="AF66" i="7" s="1"/>
  <c r="BG61" i="9"/>
  <c r="BH61" i="9" s="1"/>
  <c r="AZ61" i="9" s="1"/>
  <c r="BI73" i="9"/>
  <c r="AF70" i="7" s="1"/>
  <c r="BG70" i="9"/>
  <c r="BH70" i="9" s="1"/>
  <c r="AZ70" i="9" s="1"/>
  <c r="BJ61" i="9"/>
  <c r="AG58" i="7" s="1"/>
  <c r="BG75" i="9"/>
  <c r="AD72" i="7" s="1"/>
  <c r="BI74" i="9"/>
  <c r="AF71" i="7" s="1"/>
  <c r="BG74" i="9"/>
  <c r="AD71" i="7" s="1"/>
  <c r="BI70" i="9"/>
  <c r="AF67" i="7" s="1"/>
  <c r="BY68" i="9"/>
  <c r="BJ58" i="9"/>
  <c r="AG55" i="7" s="1"/>
  <c r="BY75" i="9"/>
  <c r="BI64" i="9"/>
  <c r="AF61" i="7" s="1"/>
  <c r="BJ74" i="9"/>
  <c r="AG71" i="7" s="1"/>
  <c r="BG77" i="9"/>
  <c r="AD74" i="7" s="1"/>
  <c r="BG58" i="9"/>
  <c r="AD55" i="7" s="1"/>
  <c r="BY62" i="9"/>
  <c r="BI63" i="9"/>
  <c r="AF60" i="7" s="1"/>
  <c r="BJ69" i="9"/>
  <c r="AG66" i="7" s="1"/>
  <c r="BJ63" i="9"/>
  <c r="AG60" i="7" s="1"/>
  <c r="BG60" i="9"/>
  <c r="AD57" i="7" s="1"/>
  <c r="BI75" i="9"/>
  <c r="AF72" i="7" s="1"/>
  <c r="BJ68" i="9"/>
  <c r="AG65" i="7" s="1"/>
  <c r="BI68" i="9"/>
  <c r="AF65" i="7" s="1"/>
  <c r="BY69" i="9"/>
  <c r="BY70" i="9"/>
  <c r="BJ75" i="9"/>
  <c r="AG72" i="7" s="1"/>
  <c r="BG68" i="9"/>
  <c r="BH68" i="9" s="1"/>
  <c r="AZ68" i="9" s="1"/>
  <c r="BG69" i="9"/>
  <c r="BH69" i="9" s="1"/>
  <c r="AZ69" i="9" s="1"/>
  <c r="BG63" i="9"/>
  <c r="AD60" i="7" s="1"/>
  <c r="BI77" i="9"/>
  <c r="AF74" i="7" s="1"/>
  <c r="BY76" i="9"/>
  <c r="BY74" i="9"/>
  <c r="BY63" i="9"/>
  <c r="BY60" i="9"/>
  <c r="BG76" i="9"/>
  <c r="AD73" i="7" s="1"/>
  <c r="BG67" i="9"/>
  <c r="AD64" i="7" s="1"/>
  <c r="BG64" i="9"/>
  <c r="BH64" i="9" s="1"/>
  <c r="AZ64" i="9" s="1"/>
  <c r="BJ76" i="9"/>
  <c r="AG73" i="7" s="1"/>
  <c r="BI72" i="9"/>
  <c r="AF69" i="7" s="1"/>
  <c r="BI76" i="9"/>
  <c r="AF73" i="7" s="1"/>
  <c r="BY77" i="9"/>
  <c r="BY64" i="9"/>
  <c r="BJ65" i="9"/>
  <c r="AG62" i="7" s="1"/>
  <c r="BI61" i="9"/>
  <c r="AF58" i="7" s="1"/>
  <c r="BI65" i="9"/>
  <c r="AF62" i="7" s="1"/>
  <c r="BJ77" i="9"/>
  <c r="AG74" i="7" s="1"/>
  <c r="BJ71" i="9"/>
  <c r="AG68" i="7" s="1"/>
  <c r="BG72" i="9"/>
  <c r="AD69" i="7" s="1"/>
  <c r="BJ64" i="9"/>
  <c r="AG61" i="7" s="1"/>
  <c r="BY58" i="9"/>
  <c r="BY57" i="9"/>
  <c r="BY72" i="9"/>
  <c r="BY71" i="9"/>
  <c r="BY73" i="9"/>
  <c r="BJ72" i="9"/>
  <c r="AG69" i="7" s="1"/>
  <c r="BI58" i="9"/>
  <c r="AF55" i="7" s="1"/>
  <c r="BJ67" i="9"/>
  <c r="AG64" i="7" s="1"/>
  <c r="BG71" i="9"/>
  <c r="BH71" i="9" s="1"/>
  <c r="AZ71" i="9" s="1"/>
  <c r="AF64" i="7"/>
  <c r="BY59" i="9"/>
  <c r="BJ60" i="9"/>
  <c r="AG57" i="7" s="1"/>
  <c r="BY66" i="9"/>
  <c r="BJ66" i="9"/>
  <c r="AG63" i="7" s="1"/>
  <c r="BI66" i="9"/>
  <c r="AF63" i="7" s="1"/>
  <c r="BI60" i="9"/>
  <c r="AF57" i="7" s="1"/>
  <c r="BG66" i="9"/>
  <c r="BH66" i="9" s="1"/>
  <c r="AZ66" i="9" s="1"/>
  <c r="AD60" i="9"/>
  <c r="AD75" i="9"/>
  <c r="AD56" i="9"/>
  <c r="AF66" i="9"/>
  <c r="AF60" i="9"/>
  <c r="AF56" i="9"/>
  <c r="AB56" i="9"/>
  <c r="AB60" i="9"/>
  <c r="K61" i="9" l="1"/>
  <c r="BA64" i="9"/>
  <c r="BB64" i="9" s="1"/>
  <c r="BA68" i="9"/>
  <c r="BB68" i="9" s="1"/>
  <c r="K59" i="9"/>
  <c r="BN59" i="9" s="1"/>
  <c r="BA70" i="9"/>
  <c r="BB70" i="9" s="1"/>
  <c r="BA69" i="9"/>
  <c r="BB69" i="9" s="1"/>
  <c r="BA65" i="9"/>
  <c r="BB65" i="9" s="1"/>
  <c r="V57" i="7"/>
  <c r="U57" i="7"/>
  <c r="AI73" i="9"/>
  <c r="BM67" i="9" s="1"/>
  <c r="AF75" i="9"/>
  <c r="K63" i="9"/>
  <c r="BN63" i="9" s="1"/>
  <c r="K58" i="9"/>
  <c r="BN58" i="9" s="1"/>
  <c r="K57" i="9"/>
  <c r="BH57" i="9"/>
  <c r="AZ57" i="9" s="1"/>
  <c r="BO70" i="9"/>
  <c r="V78" i="9"/>
  <c r="K60" i="9"/>
  <c r="BN60" i="9" s="1"/>
  <c r="K62" i="9"/>
  <c r="BN62" i="9" s="1"/>
  <c r="BO71" i="9"/>
  <c r="BH59" i="9"/>
  <c r="AZ59" i="9" s="1"/>
  <c r="BH60" i="9"/>
  <c r="AZ60" i="9" s="1"/>
  <c r="BA60" i="9" s="1"/>
  <c r="BB60" i="9" s="1"/>
  <c r="BH75" i="9"/>
  <c r="AZ75" i="9" s="1"/>
  <c r="BH63" i="9"/>
  <c r="BH74" i="9"/>
  <c r="BH76" i="9"/>
  <c r="BH77" i="9"/>
  <c r="BH62" i="9"/>
  <c r="BH67" i="9"/>
  <c r="BH73" i="9"/>
  <c r="BH72" i="9"/>
  <c r="BH58" i="9"/>
  <c r="AZ58" i="9" s="1"/>
  <c r="BO77" i="9"/>
  <c r="BN61" i="9"/>
  <c r="BO76" i="9"/>
  <c r="BO73" i="9"/>
  <c r="BO74" i="9"/>
  <c r="BO75" i="9"/>
  <c r="BO72" i="9"/>
  <c r="AD62" i="7"/>
  <c r="AD58" i="7"/>
  <c r="AC75" i="7"/>
  <c r="AD65" i="7"/>
  <c r="AD67" i="7"/>
  <c r="AD61" i="7"/>
  <c r="AD68" i="7"/>
  <c r="AD66" i="7"/>
  <c r="AD63" i="7"/>
  <c r="AE65" i="7"/>
  <c r="AE67" i="7"/>
  <c r="AE68" i="7"/>
  <c r="AE61" i="7"/>
  <c r="AE58" i="7"/>
  <c r="AE62" i="7"/>
  <c r="AE66" i="7"/>
  <c r="AB75" i="9"/>
  <c r="AI72" i="9" s="1"/>
  <c r="CV57" i="9"/>
  <c r="BA59" i="9" l="1"/>
  <c r="BB59" i="9" s="1"/>
  <c r="BA58" i="9"/>
  <c r="BB58" i="9" s="1"/>
  <c r="AE69" i="7"/>
  <c r="AZ72" i="9"/>
  <c r="AE60" i="7"/>
  <c r="AZ63" i="9"/>
  <c r="BA63" i="9" s="1"/>
  <c r="BB63" i="9" s="1"/>
  <c r="AE71" i="7"/>
  <c r="AZ74" i="9"/>
  <c r="BA74" i="9" s="1"/>
  <c r="BB74" i="9" s="1"/>
  <c r="AE70" i="7"/>
  <c r="AZ73" i="9"/>
  <c r="W70" i="7" s="1"/>
  <c r="AE73" i="7"/>
  <c r="AZ76" i="9"/>
  <c r="BA57" i="9"/>
  <c r="AE74" i="7"/>
  <c r="AZ77" i="9"/>
  <c r="W74" i="7" s="1"/>
  <c r="AE59" i="7"/>
  <c r="AZ62" i="9"/>
  <c r="AE64" i="7"/>
  <c r="AZ67" i="9"/>
  <c r="V72" i="7"/>
  <c r="U72" i="7"/>
  <c r="V63" i="7"/>
  <c r="U63" i="7"/>
  <c r="AI74" i="9"/>
  <c r="AE57" i="7"/>
  <c r="K55" i="9"/>
  <c r="BN57" i="9"/>
  <c r="AE55" i="7"/>
  <c r="AE56" i="7"/>
  <c r="AE72" i="7"/>
  <c r="W58" i="7"/>
  <c r="W67" i="7"/>
  <c r="AE63" i="7"/>
  <c r="W66" i="7"/>
  <c r="W62" i="7"/>
  <c r="W56" i="7"/>
  <c r="W57" i="7"/>
  <c r="W65" i="7"/>
  <c r="W61" i="7"/>
  <c r="W68" i="7"/>
  <c r="W55" i="7"/>
  <c r="BM57" i="9"/>
  <c r="AO26" i="9"/>
  <c r="BM65" i="9"/>
  <c r="BM63" i="9"/>
  <c r="BM60" i="9"/>
  <c r="BM73" i="9"/>
  <c r="BM59" i="9"/>
  <c r="BM61" i="9"/>
  <c r="BM74" i="9"/>
  <c r="BM76" i="9"/>
  <c r="BM68" i="9"/>
  <c r="BM58" i="9"/>
  <c r="BM71" i="9"/>
  <c r="BM62" i="9"/>
  <c r="BM72" i="9"/>
  <c r="BM69" i="9"/>
  <c r="BM66" i="9"/>
  <c r="BM70" i="9"/>
  <c r="BM64" i="9"/>
  <c r="BM75" i="9"/>
  <c r="BA67" i="9" l="1"/>
  <c r="BB67" i="9" s="1"/>
  <c r="Y64" i="7" s="1"/>
  <c r="BA66" i="9"/>
  <c r="BB66" i="9" s="1"/>
  <c r="BA72" i="9"/>
  <c r="BB72" i="9" s="1"/>
  <c r="Y69" i="7" s="1"/>
  <c r="BA71" i="9"/>
  <c r="BB71" i="9" s="1"/>
  <c r="BA62" i="9"/>
  <c r="BB62" i="9" s="1"/>
  <c r="BA61" i="9"/>
  <c r="BB61" i="9" s="1"/>
  <c r="Y58" i="7" s="1"/>
  <c r="BA76" i="9"/>
  <c r="BB76" i="9" s="1"/>
  <c r="W73" i="7"/>
  <c r="BA75" i="9"/>
  <c r="BB75" i="9" s="1"/>
  <c r="BA73" i="9"/>
  <c r="BB73" i="9" s="1"/>
  <c r="Y70" i="7" s="1"/>
  <c r="BP66" i="9"/>
  <c r="BR66" i="9" s="1"/>
  <c r="BS66" i="9" s="1"/>
  <c r="BP62" i="9"/>
  <c r="BR62" i="9" s="1"/>
  <c r="BS62" i="9" s="1"/>
  <c r="BP65" i="9"/>
  <c r="BR65" i="9" s="1"/>
  <c r="BS65" i="9" s="1"/>
  <c r="BP64" i="9"/>
  <c r="BR64" i="9" s="1"/>
  <c r="BS64" i="9" s="1"/>
  <c r="BP59" i="9"/>
  <c r="BR59" i="9" s="1"/>
  <c r="BS59" i="9" s="1"/>
  <c r="BP63" i="9"/>
  <c r="BR63" i="9" s="1"/>
  <c r="BS63" i="9" s="1"/>
  <c r="BP60" i="9"/>
  <c r="BR60" i="9" s="1"/>
  <c r="BS60" i="9" s="1"/>
  <c r="BP58" i="9"/>
  <c r="BR58" i="9" s="1"/>
  <c r="BS58" i="9" s="1"/>
  <c r="BP61" i="9"/>
  <c r="BR61" i="9" s="1"/>
  <c r="BS61" i="9" s="1"/>
  <c r="BM77" i="9"/>
  <c r="BP57" i="9"/>
  <c r="BR57" i="9" s="1"/>
  <c r="BS57" i="9" s="1"/>
  <c r="W64" i="7"/>
  <c r="W59" i="7"/>
  <c r="Y68" i="7"/>
  <c r="W71" i="7"/>
  <c r="W60" i="7"/>
  <c r="BI57" i="9"/>
  <c r="AF54" i="7" s="1"/>
  <c r="W69" i="7"/>
  <c r="T26" i="7"/>
  <c r="Y55" i="7"/>
  <c r="X55" i="7"/>
  <c r="Y61" i="7"/>
  <c r="X61" i="7"/>
  <c r="Y56" i="7"/>
  <c r="X56" i="7"/>
  <c r="Y62" i="7"/>
  <c r="X62" i="7"/>
  <c r="Y71" i="7"/>
  <c r="X71" i="7"/>
  <c r="W63" i="7"/>
  <c r="Y60" i="7"/>
  <c r="X60" i="7"/>
  <c r="Y65" i="7"/>
  <c r="X65" i="7"/>
  <c r="Y57" i="7"/>
  <c r="X57" i="7"/>
  <c r="Y66" i="7"/>
  <c r="X66" i="7"/>
  <c r="Y67" i="7"/>
  <c r="X67" i="7"/>
  <c r="BB26" i="9"/>
  <c r="S26" i="7" s="1"/>
  <c r="BP26" i="9"/>
  <c r="AB27" i="9"/>
  <c r="AB35" i="9" s="1"/>
  <c r="AT57" i="9"/>
  <c r="X69" i="7" l="1"/>
  <c r="X72" i="7"/>
  <c r="X58" i="7"/>
  <c r="X64" i="7"/>
  <c r="BA78" i="9"/>
  <c r="X59" i="7"/>
  <c r="X73" i="7"/>
  <c r="W72" i="7"/>
  <c r="Y72" i="7"/>
  <c r="AB44" i="9"/>
  <c r="AI41" i="9" s="1"/>
  <c r="Y73" i="7"/>
  <c r="X70" i="7"/>
  <c r="X68" i="7"/>
  <c r="BK57" i="9"/>
  <c r="BL57" i="9" s="1"/>
  <c r="Y59" i="7"/>
  <c r="AZ26" i="9"/>
  <c r="Q26" i="7" s="1"/>
  <c r="Y63" i="7"/>
  <c r="X63" i="7"/>
  <c r="AB28" i="9"/>
  <c r="AB42" i="9"/>
  <c r="AB25" i="9"/>
  <c r="CB67" i="9"/>
  <c r="CA67" i="9"/>
  <c r="CC67" i="9"/>
  <c r="AU106" i="9" s="1"/>
  <c r="AR111" i="9" s="1"/>
  <c r="CD67" i="9"/>
  <c r="BE33" i="9"/>
  <c r="BE44" i="9"/>
  <c r="BE32" i="9"/>
  <c r="BE39" i="9"/>
  <c r="BE37" i="9"/>
  <c r="BE45" i="9"/>
  <c r="BE40" i="9"/>
  <c r="BE28" i="9"/>
  <c r="BE30" i="9"/>
  <c r="BE29" i="9"/>
  <c r="BE41" i="9"/>
  <c r="BE27" i="9"/>
  <c r="BE35" i="9"/>
  <c r="BE43" i="9"/>
  <c r="BE31" i="9"/>
  <c r="BE42" i="9"/>
  <c r="BE38" i="9"/>
  <c r="BE34" i="9"/>
  <c r="BC80" i="9" l="1"/>
  <c r="BG44" i="9"/>
  <c r="BH44" i="9" s="1"/>
  <c r="BG31" i="9"/>
  <c r="BH31" i="9" s="1"/>
  <c r="BG29" i="9"/>
  <c r="BH29" i="9" s="1"/>
  <c r="BG41" i="9"/>
  <c r="BH41" i="9" s="1"/>
  <c r="BG32" i="9"/>
  <c r="BH32" i="9" s="1"/>
  <c r="BG45" i="9"/>
  <c r="BH45" i="9" s="1"/>
  <c r="BG34" i="9"/>
  <c r="BH34" i="9" s="1"/>
  <c r="BG33" i="9"/>
  <c r="BH33" i="9" s="1"/>
  <c r="BG37" i="9"/>
  <c r="BH37" i="9" s="1"/>
  <c r="BG30" i="9"/>
  <c r="BH30" i="9" s="1"/>
  <c r="BG42" i="9"/>
  <c r="BH42" i="9" s="1"/>
  <c r="BG40" i="9"/>
  <c r="BH40" i="9" s="1"/>
  <c r="BG39" i="9"/>
  <c r="BH39" i="9" s="1"/>
  <c r="BG38" i="9"/>
  <c r="BH38" i="9" s="1"/>
  <c r="BG35" i="9"/>
  <c r="BH35" i="9" s="1"/>
  <c r="BG43" i="9"/>
  <c r="BH43" i="9" s="1"/>
  <c r="BG28" i="9"/>
  <c r="BH28" i="9" s="1"/>
  <c r="BG27" i="9"/>
  <c r="BH27" i="9" s="1"/>
  <c r="BE26" i="9"/>
  <c r="BG26" i="9" s="1"/>
  <c r="BH26" i="9" s="1"/>
  <c r="BA26" i="9"/>
  <c r="BB57" i="9" s="1"/>
  <c r="U26" i="7"/>
  <c r="AE54" i="7"/>
  <c r="AS111" i="9"/>
  <c r="CO67" i="9"/>
  <c r="AU111" i="9"/>
  <c r="AV111" i="9"/>
  <c r="AX106" i="9"/>
  <c r="BR36" i="9"/>
  <c r="BU36" i="9"/>
  <c r="AP111" i="9" s="1"/>
  <c r="BI27" i="9" l="1"/>
  <c r="BI30" i="9"/>
  <c r="BI31" i="9"/>
  <c r="BI35" i="9"/>
  <c r="BI34" i="9"/>
  <c r="BI29" i="9"/>
  <c r="BI43" i="9"/>
  <c r="BI40" i="9"/>
  <c r="BI33" i="9"/>
  <c r="BI28" i="9"/>
  <c r="BI39" i="9"/>
  <c r="BI37" i="9"/>
  <c r="BI32" i="9"/>
  <c r="BI44" i="9"/>
  <c r="BI38" i="9"/>
  <c r="BI45" i="9"/>
  <c r="BI42" i="9"/>
  <c r="BI41" i="9"/>
  <c r="BI26" i="9"/>
  <c r="BJ26" i="9" s="1"/>
  <c r="BK26" i="9" s="1"/>
  <c r="R26" i="7"/>
  <c r="BA48" i="9"/>
  <c r="W54" i="7"/>
  <c r="CW67" i="9"/>
  <c r="AN111" i="9"/>
  <c r="BV36" i="9"/>
  <c r="BS36" i="9"/>
  <c r="BT36" i="9"/>
  <c r="R48" i="7" l="1"/>
  <c r="BA79" i="9"/>
  <c r="CD36" i="9"/>
  <c r="BA50" i="9"/>
  <c r="R50" i="7" s="1"/>
  <c r="Y54" i="7"/>
  <c r="CC36" i="9"/>
  <c r="BW36" i="9"/>
  <c r="CS67" i="9" s="1"/>
  <c r="CT67" i="9" s="1"/>
  <c r="BJ29" i="9"/>
  <c r="BK29" i="9" s="1"/>
  <c r="BJ44" i="9"/>
  <c r="BK44" i="9" s="1"/>
  <c r="BJ28" i="9"/>
  <c r="BK28" i="9" s="1"/>
  <c r="BJ39" i="9"/>
  <c r="BK39" i="9" s="1"/>
  <c r="BJ34" i="9"/>
  <c r="BK34" i="9" s="1"/>
  <c r="BJ30" i="9"/>
  <c r="BK30" i="9" s="1"/>
  <c r="BJ43" i="9"/>
  <c r="BK43" i="9" s="1"/>
  <c r="BJ32" i="9"/>
  <c r="BK32" i="9" s="1"/>
  <c r="BJ40" i="9"/>
  <c r="BK40" i="9" s="1"/>
  <c r="BJ37" i="9"/>
  <c r="BK37" i="9" s="1"/>
  <c r="BN37" i="9" s="1"/>
  <c r="BO37" i="9" s="1"/>
  <c r="BJ45" i="9"/>
  <c r="BK45" i="9" s="1"/>
  <c r="BL46" i="9" s="1"/>
  <c r="BJ42" i="9"/>
  <c r="BK42" i="9" s="1"/>
  <c r="BJ27" i="9"/>
  <c r="BK27" i="9" s="1"/>
  <c r="BJ41" i="9"/>
  <c r="BK41" i="9" s="1"/>
  <c r="BJ35" i="9"/>
  <c r="BK35" i="9" s="1"/>
  <c r="BL35" i="9" s="1"/>
  <c r="BJ31" i="9"/>
  <c r="BK31" i="9" s="1"/>
  <c r="BJ33" i="9"/>
  <c r="BK33" i="9" s="1"/>
  <c r="BJ38" i="9"/>
  <c r="BK38" i="9" s="1"/>
  <c r="CF67" i="9"/>
  <c r="AM106" i="9"/>
  <c r="AM111" i="9" s="1"/>
  <c r="CE67" i="9"/>
  <c r="AP106" i="9"/>
  <c r="AQ111" i="9" s="1"/>
  <c r="F77" i="9"/>
  <c r="J73" i="9" l="1"/>
  <c r="J72" i="9"/>
  <c r="J76" i="9"/>
  <c r="J71" i="9"/>
  <c r="K71" i="9" s="1"/>
  <c r="J75" i="9"/>
  <c r="J74" i="9"/>
  <c r="BL33" i="9"/>
  <c r="BL38" i="9"/>
  <c r="BL31" i="9"/>
  <c r="X75" i="7"/>
  <c r="X54" i="7"/>
  <c r="CA36" i="9"/>
  <c r="CE36" i="9"/>
  <c r="BN41" i="9"/>
  <c r="BO41" i="9" s="1"/>
  <c r="BN36" i="9"/>
  <c r="BL37" i="9"/>
  <c r="BN38" i="9"/>
  <c r="BO38" i="9" s="1"/>
  <c r="BL30" i="9"/>
  <c r="BN45" i="9"/>
  <c r="BO45" i="9" s="1"/>
  <c r="BN27" i="9"/>
  <c r="BO27" i="9" s="1"/>
  <c r="BL41" i="9"/>
  <c r="BL29" i="9"/>
  <c r="BN44" i="9"/>
  <c r="BO44" i="9" s="1"/>
  <c r="BL42" i="9"/>
  <c r="BL32" i="9"/>
  <c r="BL39" i="9"/>
  <c r="BL34" i="9"/>
  <c r="BL44" i="9"/>
  <c r="BN35" i="9"/>
  <c r="BQ35" i="9" s="1"/>
  <c r="BZ35" i="9" s="1"/>
  <c r="BL26" i="9"/>
  <c r="BL27" i="9"/>
  <c r="BN32" i="9"/>
  <c r="BO32" i="9" s="1"/>
  <c r="BN29" i="9"/>
  <c r="BO29" i="9" s="1"/>
  <c r="BN42" i="9"/>
  <c r="BO42" i="9" s="1"/>
  <c r="BL43" i="9"/>
  <c r="BL40" i="9"/>
  <c r="BN30" i="9"/>
  <c r="BO30" i="9" s="1"/>
  <c r="BN39" i="9"/>
  <c r="BO39" i="9" s="1"/>
  <c r="BN40" i="9"/>
  <c r="BO40" i="9" s="1"/>
  <c r="BN34" i="9"/>
  <c r="BO34" i="9" s="1"/>
  <c r="BN31" i="9"/>
  <c r="BO31" i="9" s="1"/>
  <c r="BN43" i="9"/>
  <c r="BO43" i="9" s="1"/>
  <c r="BN26" i="9"/>
  <c r="BO26" i="9" s="1"/>
  <c r="BL28" i="9"/>
  <c r="BN28" i="9"/>
  <c r="BO28" i="9" s="1"/>
  <c r="BN33" i="9"/>
  <c r="BO33" i="9" s="1"/>
  <c r="BN46" i="9"/>
  <c r="BO46" i="9" s="1"/>
  <c r="BL45" i="9"/>
  <c r="BQ37" i="9"/>
  <c r="BN69" i="9"/>
  <c r="K75" i="9" l="1"/>
  <c r="K73" i="9"/>
  <c r="K72" i="9"/>
  <c r="BN72" i="9" s="1"/>
  <c r="BP72" i="9" s="1"/>
  <c r="BR72" i="9" s="1"/>
  <c r="BS72" i="9" s="1"/>
  <c r="K76" i="9"/>
  <c r="BN76" i="9" s="1"/>
  <c r="K77" i="9"/>
  <c r="BN77" i="9" s="1"/>
  <c r="BP77" i="9" s="1"/>
  <c r="BR77" i="9" s="1"/>
  <c r="BS77" i="9" s="1"/>
  <c r="K74" i="9"/>
  <c r="BN75" i="9"/>
  <c r="BN73" i="9"/>
  <c r="BO35" i="9"/>
  <c r="X76" i="7"/>
  <c r="Z77" i="7"/>
  <c r="BQ38" i="9"/>
  <c r="BQ39" i="9" s="1"/>
  <c r="BQ40" i="9" s="1"/>
  <c r="BQ41" i="9" s="1"/>
  <c r="BQ42" i="9" s="1"/>
  <c r="BQ43" i="9" s="1"/>
  <c r="BQ44" i="9" s="1"/>
  <c r="BQ45" i="9" s="1"/>
  <c r="BQ34" i="9"/>
  <c r="BQ33" i="9" s="1"/>
  <c r="BU35" i="9"/>
  <c r="BV35" i="9" s="1"/>
  <c r="BR35" i="9"/>
  <c r="BZ36" i="9"/>
  <c r="BR37" i="9"/>
  <c r="BU37" i="9"/>
  <c r="BV37" i="9" s="1"/>
  <c r="BP69" i="9"/>
  <c r="BR69" i="9" s="1"/>
  <c r="BS69" i="9" s="1"/>
  <c r="BN70" i="9"/>
  <c r="BN68" i="9"/>
  <c r="BN67" i="9"/>
  <c r="BN71" i="9"/>
  <c r="K78" i="9" l="1"/>
  <c r="BN74" i="9"/>
  <c r="BP74" i="9" s="1"/>
  <c r="BR74" i="9" s="1"/>
  <c r="BS74" i="9" s="1"/>
  <c r="BQ46" i="9"/>
  <c r="BA125" i="9" s="1"/>
  <c r="BU38" i="9"/>
  <c r="BV38" i="9" s="1"/>
  <c r="BT35" i="9"/>
  <c r="BT37" i="9"/>
  <c r="BR34" i="9"/>
  <c r="BU34" i="9"/>
  <c r="BV34" i="9" s="1"/>
  <c r="BZ34" i="9"/>
  <c r="BS35" i="9"/>
  <c r="BS37" i="9"/>
  <c r="BR38" i="9"/>
  <c r="BZ37" i="9"/>
  <c r="BZ38" i="9"/>
  <c r="BU33" i="9"/>
  <c r="BV33" i="9" s="1"/>
  <c r="BZ33" i="9"/>
  <c r="BQ32" i="9"/>
  <c r="BR33" i="9"/>
  <c r="BP73" i="9"/>
  <c r="BR73" i="9" s="1"/>
  <c r="BS73" i="9" s="1"/>
  <c r="BP70" i="9"/>
  <c r="BR70" i="9" s="1"/>
  <c r="BS70" i="9" s="1"/>
  <c r="BP71" i="9"/>
  <c r="BR71" i="9" s="1"/>
  <c r="BS71" i="9" s="1"/>
  <c r="BP76" i="9"/>
  <c r="BR76" i="9" s="1"/>
  <c r="BS76" i="9" s="1"/>
  <c r="BP68" i="9"/>
  <c r="BR68" i="9" s="1"/>
  <c r="BS68" i="9" s="1"/>
  <c r="BP75" i="9"/>
  <c r="BR75" i="9" s="1"/>
  <c r="BS75" i="9" s="1"/>
  <c r="BP67" i="9"/>
  <c r="BR67" i="9" s="1"/>
  <c r="BS67" i="9" s="1"/>
  <c r="BT67" i="9" l="1"/>
  <c r="BU67" i="9" s="1"/>
  <c r="BV67" i="9" s="1"/>
  <c r="BW67" i="9" s="1"/>
  <c r="CC35" i="9"/>
  <c r="CD35" i="9"/>
  <c r="CD37" i="9"/>
  <c r="BW35" i="9"/>
  <c r="BW37" i="9"/>
  <c r="BT34" i="9"/>
  <c r="BS38" i="9"/>
  <c r="CC37" i="9"/>
  <c r="BS34" i="9"/>
  <c r="BT38" i="9"/>
  <c r="BU39" i="9"/>
  <c r="BV39" i="9" s="1"/>
  <c r="BZ39" i="9"/>
  <c r="BR39" i="9"/>
  <c r="BT33" i="9"/>
  <c r="BS33" i="9"/>
  <c r="BR32" i="9"/>
  <c r="BZ32" i="9"/>
  <c r="BQ31" i="9"/>
  <c r="BU32" i="9"/>
  <c r="BV32" i="9" s="1"/>
  <c r="CA35" i="9" l="1"/>
  <c r="CB35" i="9" s="1"/>
  <c r="CG35" i="9" s="1"/>
  <c r="CE35" i="9"/>
  <c r="CA37" i="9"/>
  <c r="CB36" i="9" s="1"/>
  <c r="CG36" i="9" s="1"/>
  <c r="CE37" i="9"/>
  <c r="CD33" i="9"/>
  <c r="CD34" i="9"/>
  <c r="CC38" i="9"/>
  <c r="CD38" i="9"/>
  <c r="BW34" i="9"/>
  <c r="CC33" i="9"/>
  <c r="BW33" i="9"/>
  <c r="BW38" i="9"/>
  <c r="CC34" i="9"/>
  <c r="BS39" i="9"/>
  <c r="BT39" i="9"/>
  <c r="BU41" i="9"/>
  <c r="BV41" i="9" s="1"/>
  <c r="BU40" i="9"/>
  <c r="BV40" i="9" s="1"/>
  <c r="BR40" i="9"/>
  <c r="BT32" i="9"/>
  <c r="BS32" i="9"/>
  <c r="BU31" i="9"/>
  <c r="BV31" i="9" s="1"/>
  <c r="BZ31" i="9"/>
  <c r="BQ30" i="9"/>
  <c r="BR31" i="9"/>
  <c r="BT66" i="9" l="1"/>
  <c r="BU66" i="9" s="1"/>
  <c r="BV66" i="9" s="1"/>
  <c r="BW66" i="9" s="1"/>
  <c r="BX66" i="9" s="1"/>
  <c r="BZ66" i="9" s="1"/>
  <c r="CA66" i="9" s="1"/>
  <c r="CO66" i="9" s="1"/>
  <c r="CP66" i="9" s="1"/>
  <c r="CA33" i="9"/>
  <c r="CE33" i="9"/>
  <c r="CA34" i="9"/>
  <c r="CB34" i="9" s="1"/>
  <c r="CG34" i="9" s="1"/>
  <c r="CE34" i="9"/>
  <c r="CA38" i="9"/>
  <c r="CB37" i="9" s="1"/>
  <c r="CG37" i="9" s="1"/>
  <c r="CE38" i="9"/>
  <c r="BT68" i="9"/>
  <c r="BU68" i="9" s="1"/>
  <c r="BV68" i="9" s="1"/>
  <c r="BW68" i="9" s="1"/>
  <c r="CD39" i="9"/>
  <c r="CP67" i="9"/>
  <c r="CQ67" i="9"/>
  <c r="CR67" i="9" s="1"/>
  <c r="CJ67" i="9" s="1"/>
  <c r="CD32" i="9"/>
  <c r="BW32" i="9"/>
  <c r="BW39" i="9"/>
  <c r="BS40" i="9"/>
  <c r="CC32" i="9"/>
  <c r="CC39" i="9"/>
  <c r="BT40" i="9"/>
  <c r="BZ40" i="9"/>
  <c r="BR41" i="9"/>
  <c r="BZ41" i="9"/>
  <c r="BS31" i="9"/>
  <c r="BT31" i="9"/>
  <c r="BR30" i="9"/>
  <c r="BZ30" i="9"/>
  <c r="BQ29" i="9"/>
  <c r="BU30" i="9"/>
  <c r="BV30" i="9" s="1"/>
  <c r="CI66" i="9" l="1"/>
  <c r="CD66" i="9"/>
  <c r="CE66" i="9" s="1"/>
  <c r="CB33" i="9"/>
  <c r="CG33" i="9" s="1"/>
  <c r="BX68" i="9"/>
  <c r="BZ68" i="9" s="1"/>
  <c r="BX67" i="9"/>
  <c r="CA32" i="9"/>
  <c r="CB32" i="9" s="1"/>
  <c r="CG32" i="9" s="1"/>
  <c r="CE32" i="9"/>
  <c r="BT65" i="9"/>
  <c r="BU65" i="9" s="1"/>
  <c r="BV65" i="9" s="1"/>
  <c r="BW65" i="9" s="1"/>
  <c r="BX65" i="9" s="1"/>
  <c r="BZ65" i="9" s="1"/>
  <c r="CA39" i="9"/>
  <c r="CB38" i="9" s="1"/>
  <c r="CG38" i="9" s="1"/>
  <c r="CE39" i="9"/>
  <c r="CC66" i="9"/>
  <c r="CF66" i="9" s="1"/>
  <c r="CB66" i="9"/>
  <c r="CW66" i="9" s="1"/>
  <c r="BT69" i="9"/>
  <c r="BU69" i="9" s="1"/>
  <c r="BV69" i="9" s="1"/>
  <c r="BW69" i="9" s="1"/>
  <c r="BX69" i="9" s="1"/>
  <c r="BT64" i="9"/>
  <c r="BU64" i="9" s="1"/>
  <c r="BV64" i="9" s="1"/>
  <c r="BW64" i="9" s="1"/>
  <c r="CD40" i="9"/>
  <c r="CD31" i="9"/>
  <c r="CC40" i="9"/>
  <c r="BW40" i="9"/>
  <c r="CC31" i="9"/>
  <c r="BW31" i="9"/>
  <c r="BT41" i="9"/>
  <c r="BS41" i="9"/>
  <c r="BR42" i="9"/>
  <c r="BU42" i="9"/>
  <c r="BV42" i="9" s="1"/>
  <c r="BU43" i="9"/>
  <c r="BQ28" i="9"/>
  <c r="BZ29" i="9"/>
  <c r="BR29" i="9"/>
  <c r="BU29" i="9"/>
  <c r="BT30" i="9"/>
  <c r="BS30" i="9"/>
  <c r="CS66" i="9" l="1"/>
  <c r="CT66" i="9" s="1"/>
  <c r="BZ69" i="9"/>
  <c r="CC69" i="9" s="1"/>
  <c r="CF69" i="9" s="1"/>
  <c r="CQ66" i="9"/>
  <c r="CR66" i="9" s="1"/>
  <c r="CJ66" i="9" s="1"/>
  <c r="CK66" i="9" s="1"/>
  <c r="CB65" i="9"/>
  <c r="CW65" i="9" s="1"/>
  <c r="CA65" i="9"/>
  <c r="CO65" i="9" s="1"/>
  <c r="CP65" i="9" s="1"/>
  <c r="CC65" i="9"/>
  <c r="CF65" i="9" s="1"/>
  <c r="CD65" i="9"/>
  <c r="CE65" i="9" s="1"/>
  <c r="CI65" i="9"/>
  <c r="BX64" i="9"/>
  <c r="BZ64" i="9" s="1"/>
  <c r="CA31" i="9"/>
  <c r="CB31" i="9" s="1"/>
  <c r="CG31" i="9" s="1"/>
  <c r="CE31" i="9"/>
  <c r="CA68" i="9"/>
  <c r="CO68" i="9" s="1"/>
  <c r="CI67" i="9"/>
  <c r="CD68" i="9"/>
  <c r="CE68" i="9" s="1"/>
  <c r="CB68" i="9"/>
  <c r="CC68" i="9"/>
  <c r="CF68" i="9" s="1"/>
  <c r="CA40" i="9"/>
  <c r="CB39" i="9" s="1"/>
  <c r="CG39" i="9" s="1"/>
  <c r="CE40" i="9"/>
  <c r="BT70" i="9"/>
  <c r="BU70" i="9" s="1"/>
  <c r="BV70" i="9" s="1"/>
  <c r="BW70" i="9" s="1"/>
  <c r="BX70" i="9" s="1"/>
  <c r="BT63" i="9"/>
  <c r="BU63" i="9" s="1"/>
  <c r="BV63" i="9" s="1"/>
  <c r="BW63" i="9" s="1"/>
  <c r="BX63" i="9" s="1"/>
  <c r="CD41" i="9"/>
  <c r="CD30" i="9"/>
  <c r="BW41" i="9"/>
  <c r="BW30" i="9"/>
  <c r="CC30" i="9"/>
  <c r="BS42" i="9"/>
  <c r="CC41" i="9"/>
  <c r="BZ42" i="9"/>
  <c r="BT42" i="9"/>
  <c r="BR43" i="9"/>
  <c r="BS29" i="9"/>
  <c r="BT29" i="9"/>
  <c r="BV29" i="9"/>
  <c r="BZ28" i="9"/>
  <c r="BQ27" i="9"/>
  <c r="BQ26" i="9" s="1"/>
  <c r="BZ26" i="9" s="1"/>
  <c r="BU28" i="9"/>
  <c r="BR28" i="9"/>
  <c r="BV43" i="9"/>
  <c r="CL66" i="9" l="1"/>
  <c r="CY67" i="9"/>
  <c r="CA69" i="9"/>
  <c r="CO69" i="9" s="1"/>
  <c r="CP69" i="9" s="1"/>
  <c r="CI68" i="9"/>
  <c r="BZ70" i="9"/>
  <c r="CC70" i="9" s="1"/>
  <c r="CF70" i="9" s="1"/>
  <c r="CD69" i="9"/>
  <c r="CE69" i="9" s="1"/>
  <c r="CB69" i="9"/>
  <c r="CW69" i="9" s="1"/>
  <c r="CC64" i="9"/>
  <c r="CF64" i="9" s="1"/>
  <c r="CI64" i="9"/>
  <c r="BZ63" i="9"/>
  <c r="CB63" i="9" s="1"/>
  <c r="CW63" i="9" s="1"/>
  <c r="CD64" i="9"/>
  <c r="CE64" i="9" s="1"/>
  <c r="CB64" i="9"/>
  <c r="CW64" i="9" s="1"/>
  <c r="CA64" i="9"/>
  <c r="CO64" i="9" s="1"/>
  <c r="CP64" i="9" s="1"/>
  <c r="BT71" i="9"/>
  <c r="BU71" i="9" s="1"/>
  <c r="BV71" i="9" s="1"/>
  <c r="BW71" i="9" s="1"/>
  <c r="BX71" i="9" s="1"/>
  <c r="CA41" i="9"/>
  <c r="CB40" i="9" s="1"/>
  <c r="CG40" i="9" s="1"/>
  <c r="CE41" i="9"/>
  <c r="CW68" i="9"/>
  <c r="CS68" i="9"/>
  <c r="CT68" i="9" s="1"/>
  <c r="BT62" i="9"/>
  <c r="BU62" i="9" s="1"/>
  <c r="BV62" i="9" s="1"/>
  <c r="BW62" i="9" s="1"/>
  <c r="BX62" i="9" s="1"/>
  <c r="CA30" i="9"/>
  <c r="CB30" i="9" s="1"/>
  <c r="CG30" i="9" s="1"/>
  <c r="CE30" i="9"/>
  <c r="CP68" i="9"/>
  <c r="CQ68" i="9"/>
  <c r="CR68" i="9" s="1"/>
  <c r="CJ68" i="9" s="1"/>
  <c r="CK67" i="9" s="1"/>
  <c r="CQ65" i="9"/>
  <c r="CR65" i="9" s="1"/>
  <c r="CJ65" i="9" s="1"/>
  <c r="CK65" i="9" s="1"/>
  <c r="CS65" i="9"/>
  <c r="CT65" i="9" s="1"/>
  <c r="CD29" i="9"/>
  <c r="CD42" i="9"/>
  <c r="CC42" i="9"/>
  <c r="BW42" i="9"/>
  <c r="BW29" i="9"/>
  <c r="BS43" i="9"/>
  <c r="CC29" i="9"/>
  <c r="BA90" i="9"/>
  <c r="BT43" i="9"/>
  <c r="BU44" i="9"/>
  <c r="BZ43" i="9"/>
  <c r="BR44" i="9"/>
  <c r="BV28" i="9"/>
  <c r="BU27" i="9"/>
  <c r="BZ27" i="9"/>
  <c r="BR27" i="9"/>
  <c r="BT28" i="9"/>
  <c r="BS28" i="9"/>
  <c r="BR45" i="9"/>
  <c r="BU45" i="9"/>
  <c r="BZ45" i="9"/>
  <c r="BZ44" i="9"/>
  <c r="CL67" i="9" l="1"/>
  <c r="CY68" i="9"/>
  <c r="CL65" i="9"/>
  <c r="CY66" i="9"/>
  <c r="CQ69" i="9"/>
  <c r="CR69" i="9" s="1"/>
  <c r="CJ69" i="9" s="1"/>
  <c r="CK68" i="9" s="1"/>
  <c r="CQ64" i="9"/>
  <c r="CR64" i="9" s="1"/>
  <c r="CJ64" i="9" s="1"/>
  <c r="CK64" i="9" s="1"/>
  <c r="CS69" i="9"/>
  <c r="CT69" i="9" s="1"/>
  <c r="CC63" i="9"/>
  <c r="CF63" i="9" s="1"/>
  <c r="CB70" i="9"/>
  <c r="CW70" i="9" s="1"/>
  <c r="CD70" i="9"/>
  <c r="CE70" i="9" s="1"/>
  <c r="BZ71" i="9"/>
  <c r="CA71" i="9" s="1"/>
  <c r="CO71" i="9" s="1"/>
  <c r="CP71" i="9" s="1"/>
  <c r="CI69" i="9"/>
  <c r="CA70" i="9"/>
  <c r="CO70" i="9" s="1"/>
  <c r="CP70" i="9" s="1"/>
  <c r="CA63" i="9"/>
  <c r="CO63" i="9" s="1"/>
  <c r="CP63" i="9" s="1"/>
  <c r="CI63" i="9"/>
  <c r="CD63" i="9"/>
  <c r="CE63" i="9" s="1"/>
  <c r="BZ62" i="9"/>
  <c r="CD62" i="9" s="1"/>
  <c r="CE62" i="9" s="1"/>
  <c r="BT61" i="9"/>
  <c r="BU61" i="9" s="1"/>
  <c r="BV61" i="9" s="1"/>
  <c r="BW61" i="9" s="1"/>
  <c r="BX61" i="9" s="1"/>
  <c r="BT72" i="9"/>
  <c r="BU72" i="9" s="1"/>
  <c r="BV72" i="9" s="1"/>
  <c r="BW72" i="9" s="1"/>
  <c r="BX72" i="9" s="1"/>
  <c r="CA29" i="9"/>
  <c r="CB29" i="9" s="1"/>
  <c r="CG29" i="9" s="1"/>
  <c r="CE29" i="9"/>
  <c r="CA42" i="9"/>
  <c r="CB41" i="9" s="1"/>
  <c r="CG41" i="9" s="1"/>
  <c r="CE42" i="9"/>
  <c r="CS64" i="9"/>
  <c r="CT64" i="9" s="1"/>
  <c r="CS63" i="9"/>
  <c r="CT63" i="9" s="1"/>
  <c r="CD28" i="9"/>
  <c r="CD43" i="9"/>
  <c r="CC28" i="9"/>
  <c r="BW28" i="9"/>
  <c r="BW43" i="9"/>
  <c r="BT44" i="9"/>
  <c r="CC43" i="9"/>
  <c r="BS44" i="9"/>
  <c r="BV44" i="9"/>
  <c r="BT27" i="9"/>
  <c r="BS27" i="9"/>
  <c r="BU26" i="9"/>
  <c r="BR26" i="9"/>
  <c r="BT26" i="9" s="1"/>
  <c r="BV27" i="9"/>
  <c r="BT45" i="9"/>
  <c r="BS45" i="9"/>
  <c r="BV45" i="9"/>
  <c r="BR46" i="9"/>
  <c r="BU46" i="9"/>
  <c r="CL68" i="9" l="1"/>
  <c r="CY69" i="9"/>
  <c r="CL64" i="9"/>
  <c r="CY65" i="9"/>
  <c r="CQ63" i="9"/>
  <c r="CR63" i="9" s="1"/>
  <c r="CJ63" i="9" s="1"/>
  <c r="CK63" i="9" s="1"/>
  <c r="CS70" i="9"/>
  <c r="CT70" i="9" s="1"/>
  <c r="CQ70" i="9"/>
  <c r="CR70" i="9" s="1"/>
  <c r="CJ70" i="9" s="1"/>
  <c r="CK69" i="9" s="1"/>
  <c r="CI62" i="9"/>
  <c r="CA62" i="9"/>
  <c r="CO62" i="9" s="1"/>
  <c r="CP62" i="9" s="1"/>
  <c r="CI70" i="9"/>
  <c r="BZ72" i="9"/>
  <c r="CA72" i="9" s="1"/>
  <c r="CO72" i="9" s="1"/>
  <c r="CP72" i="9" s="1"/>
  <c r="CC71" i="9"/>
  <c r="CF71" i="9" s="1"/>
  <c r="CB71" i="9"/>
  <c r="CW71" i="9" s="1"/>
  <c r="CD71" i="9"/>
  <c r="CE71" i="9" s="1"/>
  <c r="CB62" i="9"/>
  <c r="CW62" i="9" s="1"/>
  <c r="CC62" i="9"/>
  <c r="CF62" i="9" s="1"/>
  <c r="BZ61" i="9"/>
  <c r="CB61" i="9" s="1"/>
  <c r="CW61" i="9" s="1"/>
  <c r="CA28" i="9"/>
  <c r="CB28" i="9" s="1"/>
  <c r="CG28" i="9" s="1"/>
  <c r="CE28" i="9"/>
  <c r="BT73" i="9"/>
  <c r="BU73" i="9" s="1"/>
  <c r="BV73" i="9" s="1"/>
  <c r="BW73" i="9" s="1"/>
  <c r="BX73" i="9" s="1"/>
  <c r="BT60" i="9"/>
  <c r="BU60" i="9" s="1"/>
  <c r="BV60" i="9" s="1"/>
  <c r="BW60" i="9" s="1"/>
  <c r="BX60" i="9" s="1"/>
  <c r="CA43" i="9"/>
  <c r="CB42" i="9" s="1"/>
  <c r="CG42" i="9" s="1"/>
  <c r="CE43" i="9"/>
  <c r="BW26" i="9"/>
  <c r="CD45" i="9"/>
  <c r="CD44" i="9"/>
  <c r="CD27" i="9"/>
  <c r="CC26" i="9"/>
  <c r="BW45" i="9"/>
  <c r="BW27" i="9"/>
  <c r="CC44" i="9"/>
  <c r="BW44" i="9"/>
  <c r="AN94" i="9"/>
  <c r="CC45" i="9"/>
  <c r="AN128" i="9"/>
  <c r="CC27" i="9"/>
  <c r="BV46" i="9"/>
  <c r="AP128" i="9"/>
  <c r="BV26" i="9"/>
  <c r="AP94" i="9"/>
  <c r="BS26" i="9"/>
  <c r="BS46" i="9"/>
  <c r="BT46" i="9"/>
  <c r="CL63" i="9" l="1"/>
  <c r="CY64" i="9"/>
  <c r="CL69" i="9"/>
  <c r="CY70" i="9"/>
  <c r="CI61" i="9"/>
  <c r="CC72" i="9"/>
  <c r="CF72" i="9" s="1"/>
  <c r="BZ73" i="9"/>
  <c r="CC73" i="9" s="1"/>
  <c r="CF73" i="9" s="1"/>
  <c r="CB72" i="9"/>
  <c r="CW72" i="9" s="1"/>
  <c r="CA61" i="9"/>
  <c r="CO61" i="9" s="1"/>
  <c r="CP61" i="9" s="1"/>
  <c r="CD61" i="9"/>
  <c r="CE61" i="9" s="1"/>
  <c r="CC61" i="9"/>
  <c r="CF61" i="9" s="1"/>
  <c r="CS71" i="9"/>
  <c r="CT71" i="9" s="1"/>
  <c r="CQ71" i="9"/>
  <c r="CR71" i="9" s="1"/>
  <c r="CJ71" i="9" s="1"/>
  <c r="CK70" i="9" s="1"/>
  <c r="CD72" i="9"/>
  <c r="CE72" i="9" s="1"/>
  <c r="CI71" i="9"/>
  <c r="BZ60" i="9"/>
  <c r="CI60" i="9" s="1"/>
  <c r="CQ62" i="9"/>
  <c r="CR62" i="9" s="1"/>
  <c r="CJ62" i="9" s="1"/>
  <c r="CK62" i="9" s="1"/>
  <c r="CS62" i="9"/>
  <c r="CT62" i="9" s="1"/>
  <c r="CA44" i="9"/>
  <c r="CB43" i="9" s="1"/>
  <c r="CG43" i="9" s="1"/>
  <c r="CE44" i="9"/>
  <c r="BT75" i="9" s="1"/>
  <c r="BT74" i="9"/>
  <c r="BU74" i="9" s="1"/>
  <c r="BV74" i="9" s="1"/>
  <c r="BW74" i="9" s="1"/>
  <c r="BX74" i="9" s="1"/>
  <c r="CA45" i="9"/>
  <c r="CE45" i="9"/>
  <c r="CA27" i="9"/>
  <c r="CB27" i="9" s="1"/>
  <c r="CG27" i="9" s="1"/>
  <c r="CE27" i="9"/>
  <c r="BT58" i="9" s="1"/>
  <c r="BT59" i="9"/>
  <c r="BU59" i="9" s="1"/>
  <c r="BV59" i="9" s="1"/>
  <c r="BW59" i="9" s="1"/>
  <c r="BX59" i="9" s="1"/>
  <c r="CS61" i="9"/>
  <c r="CT61" i="9" s="1"/>
  <c r="CD46" i="9"/>
  <c r="CD26" i="9"/>
  <c r="CE26" i="9" s="1"/>
  <c r="BT57" i="9" s="1"/>
  <c r="BU57" i="9" s="1"/>
  <c r="BV57" i="9" s="1"/>
  <c r="BW57" i="9" s="1"/>
  <c r="BW46" i="9"/>
  <c r="CC46" i="9"/>
  <c r="AM89" i="9"/>
  <c r="AM94" i="9" s="1"/>
  <c r="AM123" i="9"/>
  <c r="AM128" i="9" s="1"/>
  <c r="AP123" i="9"/>
  <c r="AQ128" i="9" s="1"/>
  <c r="AP89" i="9"/>
  <c r="AQ94" i="9" s="1"/>
  <c r="CL62" i="9" l="1"/>
  <c r="CY63" i="9"/>
  <c r="CL70" i="9"/>
  <c r="CY71" i="9"/>
  <c r="CD60" i="9"/>
  <c r="CE60" i="9" s="1"/>
  <c r="BZ74" i="9"/>
  <c r="CA74" i="9" s="1"/>
  <c r="CO74" i="9" s="1"/>
  <c r="CP74" i="9" s="1"/>
  <c r="CQ61" i="9"/>
  <c r="CR61" i="9" s="1"/>
  <c r="CJ61" i="9" s="1"/>
  <c r="CK61" i="9" s="1"/>
  <c r="CD73" i="9"/>
  <c r="CE73" i="9" s="1"/>
  <c r="CI72" i="9"/>
  <c r="CA73" i="9"/>
  <c r="CO73" i="9" s="1"/>
  <c r="CP73" i="9" s="1"/>
  <c r="CB73" i="9"/>
  <c r="CW73" i="9" s="1"/>
  <c r="CQ72" i="9"/>
  <c r="CR72" i="9" s="1"/>
  <c r="CJ72" i="9" s="1"/>
  <c r="CK71" i="9" s="1"/>
  <c r="CS72" i="9"/>
  <c r="CT72" i="9" s="1"/>
  <c r="CA60" i="9"/>
  <c r="CO60" i="9" s="1"/>
  <c r="CP60" i="9" s="1"/>
  <c r="CC60" i="9"/>
  <c r="CF60" i="9" s="1"/>
  <c r="CB60" i="9"/>
  <c r="CW60" i="9" s="1"/>
  <c r="BZ59" i="9"/>
  <c r="CB59" i="9" s="1"/>
  <c r="CW59" i="9" s="1"/>
  <c r="CB44" i="9"/>
  <c r="CG44" i="9" s="1"/>
  <c r="BU58" i="9"/>
  <c r="BV58" i="9" s="1"/>
  <c r="BW58" i="9" s="1"/>
  <c r="CA26" i="9"/>
  <c r="CB26" i="9" s="1"/>
  <c r="CG26" i="9" s="1"/>
  <c r="BT76" i="9"/>
  <c r="BU76" i="9" s="1"/>
  <c r="BV76" i="9" s="1"/>
  <c r="BW76" i="9" s="1"/>
  <c r="BU75" i="9"/>
  <c r="BV75" i="9" s="1"/>
  <c r="BW75" i="9" s="1"/>
  <c r="BX75" i="9" s="1"/>
  <c r="CE46" i="9"/>
  <c r="CA46" i="9"/>
  <c r="CB45" i="9" s="1"/>
  <c r="CG45" i="9" s="1"/>
  <c r="CH25" i="9" l="1"/>
  <c r="CL61" i="9"/>
  <c r="CY62" i="9"/>
  <c r="CL71" i="9"/>
  <c r="CY72" i="9"/>
  <c r="CD74" i="9"/>
  <c r="CE74" i="9" s="1"/>
  <c r="CC74" i="9"/>
  <c r="CF74" i="9" s="1"/>
  <c r="CI73" i="9"/>
  <c r="BZ75" i="9"/>
  <c r="CI74" i="9" s="1"/>
  <c r="CB74" i="9"/>
  <c r="CW74" i="9" s="1"/>
  <c r="CC59" i="9"/>
  <c r="CF59" i="9" s="1"/>
  <c r="CQ73" i="9"/>
  <c r="CR73" i="9" s="1"/>
  <c r="CJ73" i="9" s="1"/>
  <c r="CK72" i="9" s="1"/>
  <c r="CI59" i="9"/>
  <c r="CD59" i="9"/>
  <c r="CE59" i="9" s="1"/>
  <c r="CA59" i="9"/>
  <c r="CO59" i="9" s="1"/>
  <c r="CP59" i="9" s="1"/>
  <c r="CS73" i="9"/>
  <c r="CT73" i="9" s="1"/>
  <c r="CQ60" i="9"/>
  <c r="CR60" i="9" s="1"/>
  <c r="CJ60" i="9" s="1"/>
  <c r="CK60" i="9" s="1"/>
  <c r="CA48" i="9"/>
  <c r="CC49" i="9" s="1"/>
  <c r="CS60" i="9"/>
  <c r="CT60" i="9" s="1"/>
  <c r="BX76" i="9"/>
  <c r="BX58" i="9"/>
  <c r="BZ58" i="9" s="1"/>
  <c r="CA58" i="9" s="1"/>
  <c r="CO58" i="9" s="1"/>
  <c r="CP58" i="9" s="1"/>
  <c r="BT77" i="9"/>
  <c r="BU77" i="9" s="1"/>
  <c r="BV77" i="9" s="1"/>
  <c r="BW77" i="9" s="1"/>
  <c r="BX77" i="9" s="1"/>
  <c r="CS59" i="9"/>
  <c r="CT59" i="9" s="1"/>
  <c r="CH26" i="9" l="1"/>
  <c r="CL72" i="9"/>
  <c r="CY73" i="9"/>
  <c r="CL60" i="9"/>
  <c r="CY61" i="9"/>
  <c r="BX57" i="9"/>
  <c r="BZ57" i="9" s="1"/>
  <c r="AW91" i="9" s="1"/>
  <c r="BZ76" i="9"/>
  <c r="CI75" i="9" s="1"/>
  <c r="CB75" i="9"/>
  <c r="CW75" i="9" s="1"/>
  <c r="CS74" i="9"/>
  <c r="CT74" i="9" s="1"/>
  <c r="CC75" i="9"/>
  <c r="CF75" i="9" s="1"/>
  <c r="CD75" i="9"/>
  <c r="CE75" i="9" s="1"/>
  <c r="CQ59" i="9"/>
  <c r="CR59" i="9" s="1"/>
  <c r="CJ59" i="9" s="1"/>
  <c r="CK59" i="9" s="1"/>
  <c r="CA75" i="9"/>
  <c r="CO75" i="9" s="1"/>
  <c r="CP75" i="9" s="1"/>
  <c r="CQ74" i="9"/>
  <c r="CR74" i="9" s="1"/>
  <c r="CJ74" i="9" s="1"/>
  <c r="CK73" i="9" s="1"/>
  <c r="CD58" i="9"/>
  <c r="CE58" i="9" s="1"/>
  <c r="CI58" i="9"/>
  <c r="CC58" i="9"/>
  <c r="CF58" i="9" s="1"/>
  <c r="CB58" i="9"/>
  <c r="CW58" i="9" s="1"/>
  <c r="BA89" i="9"/>
  <c r="BA124" i="9"/>
  <c r="CL73" i="9" l="1"/>
  <c r="CY74" i="9"/>
  <c r="CL59" i="9"/>
  <c r="CY60" i="9"/>
  <c r="CC76" i="9"/>
  <c r="CF76" i="9" s="1"/>
  <c r="CD76" i="9"/>
  <c r="CE76" i="9" s="1"/>
  <c r="BZ77" i="9"/>
  <c r="AW125" i="9" s="1"/>
  <c r="CB76" i="9"/>
  <c r="CW76" i="9" s="1"/>
  <c r="CA76" i="9"/>
  <c r="CO76" i="9" s="1"/>
  <c r="CP76" i="9" s="1"/>
  <c r="CS75" i="9"/>
  <c r="CT75" i="9" s="1"/>
  <c r="CQ75" i="9"/>
  <c r="CR75" i="9" s="1"/>
  <c r="CJ75" i="9" s="1"/>
  <c r="CK74" i="9" s="1"/>
  <c r="CC57" i="9"/>
  <c r="AU89" i="9" s="1"/>
  <c r="AR94" i="9" s="1"/>
  <c r="CS58" i="9"/>
  <c r="CT58" i="9" s="1"/>
  <c r="CD57" i="9"/>
  <c r="AX89" i="9" s="1"/>
  <c r="AZ90" i="9"/>
  <c r="AT91" i="9"/>
  <c r="AZ91" i="9"/>
  <c r="CB57" i="9"/>
  <c r="AU94" i="9" s="1"/>
  <c r="CI57" i="9"/>
  <c r="CQ58" i="9"/>
  <c r="CR58" i="9" s="1"/>
  <c r="CJ58" i="9" s="1"/>
  <c r="CK58" i="9" s="1"/>
  <c r="CA57" i="9"/>
  <c r="CO57" i="9" s="1"/>
  <c r="AL91" i="9"/>
  <c r="AO90" i="9"/>
  <c r="AR91" i="9"/>
  <c r="AO91" i="9"/>
  <c r="AR90" i="9"/>
  <c r="AL90" i="9"/>
  <c r="AR125" i="9"/>
  <c r="AO124" i="9"/>
  <c r="AO125" i="9"/>
  <c r="AR124" i="9"/>
  <c r="AL124" i="9"/>
  <c r="AL125" i="9"/>
  <c r="CL74" i="9" l="1"/>
  <c r="CY75" i="9"/>
  <c r="CL58" i="9"/>
  <c r="CY59" i="9"/>
  <c r="CS76" i="9"/>
  <c r="CT76" i="9" s="1"/>
  <c r="CD77" i="9"/>
  <c r="CE77" i="9" s="1"/>
  <c r="AZ125" i="9"/>
  <c r="CA77" i="9"/>
  <c r="CO77" i="9" s="1"/>
  <c r="CP77" i="9" s="1"/>
  <c r="AZ124" i="9"/>
  <c r="AT125" i="9"/>
  <c r="CB77" i="9"/>
  <c r="AU128" i="9" s="1"/>
  <c r="CI76" i="9"/>
  <c r="CC77" i="9"/>
  <c r="AU123" i="9" s="1"/>
  <c r="AR128" i="9" s="1"/>
  <c r="CQ76" i="9"/>
  <c r="CR76" i="9" s="1"/>
  <c r="CJ76" i="9" s="1"/>
  <c r="CK75" i="9" s="1"/>
  <c r="CW57" i="9"/>
  <c r="CS57" i="9"/>
  <c r="CT57" i="9" s="1"/>
  <c r="AV94" i="9"/>
  <c r="CF57" i="9"/>
  <c r="CE57" i="9"/>
  <c r="AS94" i="9"/>
  <c r="CQ57" i="9"/>
  <c r="CR57" i="9" s="1"/>
  <c r="CP57" i="9"/>
  <c r="CL75" i="9" l="1"/>
  <c r="CY76" i="9"/>
  <c r="CJ57" i="9"/>
  <c r="CK57" i="9" s="1"/>
  <c r="CY58" i="9" s="1"/>
  <c r="AV128" i="9"/>
  <c r="AX123" i="9"/>
  <c r="CQ77" i="9"/>
  <c r="CR77" i="9" s="1"/>
  <c r="CJ77" i="9" s="1"/>
  <c r="CK76" i="9" s="1"/>
  <c r="AS128" i="9"/>
  <c r="CF77" i="9"/>
  <c r="CS77" i="9"/>
  <c r="CT77" i="9" s="1"/>
  <c r="CW77" i="9"/>
  <c r="CL76" i="9" l="1"/>
  <c r="CY77" i="9"/>
  <c r="CL57" i="9"/>
  <c r="CM80" i="9"/>
  <c r="CO81" i="9" s="1"/>
  <c r="CZ77" i="9" l="1"/>
</calcChain>
</file>

<file path=xl/sharedStrings.xml><?xml version="1.0" encoding="utf-8"?>
<sst xmlns="http://schemas.openxmlformats.org/spreadsheetml/2006/main" count="1670" uniqueCount="781">
  <si>
    <t>Design exercise</t>
  </si>
  <si>
    <t>Given parameters</t>
  </si>
  <si>
    <t>Fluid properties</t>
  </si>
  <si>
    <t>ϒ Compressor</t>
  </si>
  <si>
    <t>ϒ Turbine</t>
  </si>
  <si>
    <t>Cp Compressir</t>
  </si>
  <si>
    <t>Cp Turbine</t>
  </si>
  <si>
    <t>T01</t>
  </si>
  <si>
    <t>P01</t>
  </si>
  <si>
    <t>πc</t>
  </si>
  <si>
    <t>T03</t>
  </si>
  <si>
    <t>Net power</t>
  </si>
  <si>
    <t>Pa</t>
  </si>
  <si>
    <t>K</t>
  </si>
  <si>
    <t>[-]</t>
  </si>
  <si>
    <t>W = [J/s] = [kg m^2/s^3]</t>
  </si>
  <si>
    <t>Assumptions</t>
  </si>
  <si>
    <t>Compressor efficiency</t>
  </si>
  <si>
    <t>Shaft efficiency</t>
  </si>
  <si>
    <t>Turbine efficiency</t>
  </si>
  <si>
    <t>Transmission efficiency</t>
  </si>
  <si>
    <t>HP</t>
  </si>
  <si>
    <t>Fuel Conventional gasoline</t>
  </si>
  <si>
    <t>(wiki properties)</t>
  </si>
  <si>
    <t>J/L</t>
  </si>
  <si>
    <t>kg/l</t>
  </si>
  <si>
    <t>J/(kg K)</t>
  </si>
  <si>
    <t>Compressor</t>
  </si>
  <si>
    <t>Inlet</t>
  </si>
  <si>
    <t>P03</t>
  </si>
  <si>
    <t>(g-1)</t>
  </si>
  <si>
    <t>g/(g-1)</t>
  </si>
  <si>
    <t>(g-1)/g</t>
  </si>
  <si>
    <t>P02</t>
  </si>
  <si>
    <t>T02s</t>
  </si>
  <si>
    <t>T02</t>
  </si>
  <si>
    <t>Combustor</t>
  </si>
  <si>
    <t>Combustor P efficiency</t>
  </si>
  <si>
    <t>AT</t>
  </si>
  <si>
    <t>m_fuel</t>
  </si>
  <si>
    <t>kg/m^3</t>
  </si>
  <si>
    <t>Turbine</t>
  </si>
  <si>
    <t>AHC</t>
  </si>
  <si>
    <t>f, dosado</t>
  </si>
  <si>
    <t>AHT</t>
  </si>
  <si>
    <t>T04</t>
  </si>
  <si>
    <t>T04s</t>
  </si>
  <si>
    <t>P04</t>
  </si>
  <si>
    <t>Second turbine</t>
  </si>
  <si>
    <t>T05s</t>
  </si>
  <si>
    <t>P05</t>
  </si>
  <si>
    <t>T05</t>
  </si>
  <si>
    <t>Efficiency 2nd turbine</t>
  </si>
  <si>
    <t>AHT available</t>
  </si>
  <si>
    <t>AHT*eff</t>
  </si>
  <si>
    <t>Massflow</t>
  </si>
  <si>
    <t>J/Kg</t>
  </si>
  <si>
    <t>kg/s</t>
  </si>
  <si>
    <t>Assuming expansion to t5s</t>
  </si>
  <si>
    <t>Global Parameter</t>
  </si>
  <si>
    <t>AHT_1</t>
  </si>
  <si>
    <t>AHT_2</t>
  </si>
  <si>
    <t>mf</t>
  </si>
  <si>
    <t>ADD DOSADO</t>
  </si>
  <si>
    <t>really low height of the blade</t>
  </si>
  <si>
    <t>blades are really short</t>
  </si>
  <si>
    <t xml:space="preserve">since </t>
  </si>
  <si>
    <t>Take 1 single turbine</t>
  </si>
  <si>
    <t>AHT avaliable - AHC</t>
  </si>
  <si>
    <t>(AHT available-AHC)*eff</t>
  </si>
  <si>
    <t xml:space="preserve">T05 </t>
  </si>
  <si>
    <t>massflow</t>
  </si>
  <si>
    <t>alpha2</t>
  </si>
  <si>
    <t>beta3</t>
  </si>
  <si>
    <t>M3</t>
  </si>
  <si>
    <t>degree reaction pressure</t>
  </si>
  <si>
    <t>º</t>
  </si>
  <si>
    <t>Exit combustor</t>
  </si>
  <si>
    <t>Global parameter</t>
  </si>
  <si>
    <t>Stator efficiency</t>
  </si>
  <si>
    <t>πexp</t>
  </si>
  <si>
    <t>Expansion ratio</t>
  </si>
  <si>
    <t>Rotor efficiency</t>
  </si>
  <si>
    <t>Assume M3, know P03, compute P3</t>
  </si>
  <si>
    <t>P3</t>
  </si>
  <si>
    <t>P2, Siverding rp definition</t>
  </si>
  <si>
    <t>P2, GP rp definition</t>
  </si>
  <si>
    <t>Rh/rt</t>
  </si>
  <si>
    <t>P2 chosen</t>
  </si>
  <si>
    <t>Assume Rd base pressure</t>
  </si>
  <si>
    <t>Knowing P2, take T2</t>
  </si>
  <si>
    <t>T2</t>
  </si>
  <si>
    <t>[Pa]</t>
  </si>
  <si>
    <t>[K]</t>
  </si>
  <si>
    <t>T2is</t>
  </si>
  <si>
    <t>V2is</t>
  </si>
  <si>
    <t>Assume stator efficiency</t>
  </si>
  <si>
    <t>V2</t>
  </si>
  <si>
    <t>Kinetic loss</t>
  </si>
  <si>
    <t>rho2</t>
  </si>
  <si>
    <t>R</t>
  </si>
  <si>
    <t>a2</t>
  </si>
  <si>
    <t>Cv Compressor</t>
  </si>
  <si>
    <t>Cv compressor</t>
  </si>
  <si>
    <t>R compressor</t>
  </si>
  <si>
    <t>R turbine</t>
  </si>
  <si>
    <t>M2</t>
  </si>
  <si>
    <t xml:space="preserve">T02 </t>
  </si>
  <si>
    <t>Total pressure loss</t>
  </si>
  <si>
    <t>Assume an alpha2</t>
  </si>
  <si>
    <t>V2x</t>
  </si>
  <si>
    <t>V2u</t>
  </si>
  <si>
    <t>Loading factor</t>
  </si>
  <si>
    <t xml:space="preserve">W2u </t>
  </si>
  <si>
    <t>[m/s]</t>
  </si>
  <si>
    <t>[kg/m3]</t>
  </si>
  <si>
    <t>Check VM</t>
  </si>
  <si>
    <t>check u/raiz(t01)</t>
  </si>
  <si>
    <t>beta2</t>
  </si>
  <si>
    <t>W2x</t>
  </si>
  <si>
    <t>assume the same</t>
  </si>
  <si>
    <t>[º]</t>
  </si>
  <si>
    <t>W2</t>
  </si>
  <si>
    <t>T02r</t>
  </si>
  <si>
    <t>T03r</t>
  </si>
  <si>
    <t>P02r</t>
  </si>
  <si>
    <t xml:space="preserve">T3 </t>
  </si>
  <si>
    <t>T3is</t>
  </si>
  <si>
    <t>W3</t>
  </si>
  <si>
    <t>rho3</t>
  </si>
  <si>
    <t>a3</t>
  </si>
  <si>
    <t>Mw3</t>
  </si>
  <si>
    <t>P03r</t>
  </si>
  <si>
    <t>Mw2</t>
  </si>
  <si>
    <t>Total pressure loss rotor</t>
  </si>
  <si>
    <t>Asume a beta3</t>
  </si>
  <si>
    <t>W3x</t>
  </si>
  <si>
    <t>W3u</t>
  </si>
  <si>
    <t>V3u</t>
  </si>
  <si>
    <t>U3</t>
  </si>
  <si>
    <t>U2</t>
  </si>
  <si>
    <t>V3</t>
  </si>
  <si>
    <t>V3x</t>
  </si>
  <si>
    <t>Axial speed cte</t>
  </si>
  <si>
    <t>m2</t>
  </si>
  <si>
    <t>Rt2</t>
  </si>
  <si>
    <t>Dm</t>
  </si>
  <si>
    <t>omega</t>
  </si>
  <si>
    <t>RPM</t>
  </si>
  <si>
    <t>Rm</t>
  </si>
  <si>
    <t>kept constant radius at hub</t>
  </si>
  <si>
    <t>Mean diameter assumption</t>
  </si>
  <si>
    <t>Rh3</t>
  </si>
  <si>
    <t>Rh2</t>
  </si>
  <si>
    <t>A3</t>
  </si>
  <si>
    <t>h3</t>
  </si>
  <si>
    <t>rt3</t>
  </si>
  <si>
    <t>h2 blade</t>
  </si>
  <si>
    <t>Triangle</t>
  </si>
  <si>
    <t>x</t>
  </si>
  <si>
    <t>y</t>
  </si>
  <si>
    <t>AHT2</t>
  </si>
  <si>
    <t>AHT1</t>
  </si>
  <si>
    <t>T3</t>
  </si>
  <si>
    <t>T3s</t>
  </si>
  <si>
    <t>assume is the one we guess</t>
  </si>
  <si>
    <t>Loses p total rotor</t>
  </si>
  <si>
    <t>GR_enthalpy</t>
  </si>
  <si>
    <t>Abeta</t>
  </si>
  <si>
    <t>W3-W2</t>
  </si>
  <si>
    <t>h3/h2</t>
  </si>
  <si>
    <t>M3c</t>
  </si>
  <si>
    <t>H3</t>
  </si>
  <si>
    <t>H3s</t>
  </si>
  <si>
    <t>H2</t>
  </si>
  <si>
    <t>H2s</t>
  </si>
  <si>
    <t>w3</t>
  </si>
  <si>
    <t>c2</t>
  </si>
  <si>
    <t>Epse</t>
  </si>
  <si>
    <t>Epsr</t>
  </si>
  <si>
    <t>Massflow &amp; radius at 2</t>
  </si>
  <si>
    <t>Massflow &amp; radius at 3</t>
  </si>
  <si>
    <t>[kg/s]</t>
  </si>
  <si>
    <t>m</t>
  </si>
  <si>
    <t>rad/s</t>
  </si>
  <si>
    <t>m/s</t>
  </si>
  <si>
    <t>SOODERBERG correlation loses</t>
  </si>
  <si>
    <t>Stator</t>
  </si>
  <si>
    <t>alpha3</t>
  </si>
  <si>
    <t>Combustor burner efficiency</t>
  </si>
  <si>
    <t>J/kg</t>
  </si>
  <si>
    <t>Mair +Mf</t>
  </si>
  <si>
    <t>Mair</t>
  </si>
  <si>
    <t>Mfuel</t>
  </si>
  <si>
    <t>Kg/s</t>
  </si>
  <si>
    <t>But actually the flow will have some speed</t>
  </si>
  <si>
    <t>P0exit</t>
  </si>
  <si>
    <t>M5</t>
  </si>
  <si>
    <t>GUESS</t>
  </si>
  <si>
    <t>p05</t>
  </si>
  <si>
    <t>asuming M5</t>
  </si>
  <si>
    <t>T05_following expand everything</t>
  </si>
  <si>
    <t>Get V1</t>
  </si>
  <si>
    <t>m1</t>
  </si>
  <si>
    <t>guess rho1</t>
  </si>
  <si>
    <t>rho01</t>
  </si>
  <si>
    <t>v1</t>
  </si>
  <si>
    <t>A1</t>
  </si>
  <si>
    <t>A2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</si>
  <si>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</si>
  <si>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T1</t>
  </si>
  <si>
    <t>follow isentropic</t>
  </si>
  <si>
    <t>P1</t>
  </si>
  <si>
    <t>rho1_Real</t>
  </si>
  <si>
    <t>v1_all</t>
  </si>
  <si>
    <t>GR2:entalpgy</t>
  </si>
  <si>
    <t>iterate for the rho1 to have A1=A2</t>
  </si>
  <si>
    <t>We know m1, this was my procedure, consider a change in A1</t>
  </si>
  <si>
    <t>For the T1 &amp; V1, we know m1 = m2, las gallinas que entran por las que salen</t>
  </si>
  <si>
    <t>[]</t>
  </si>
  <si>
    <t>V1</t>
  </si>
  <si>
    <t>Alpha2</t>
  </si>
  <si>
    <t>Beta2</t>
  </si>
  <si>
    <t>Alpha3</t>
  </si>
  <si>
    <t>Beta3</t>
  </si>
  <si>
    <t>Alpha1 [º]</t>
  </si>
  <si>
    <t>V1 [m/s]</t>
  </si>
  <si>
    <t>V2 [m/s]</t>
  </si>
  <si>
    <t>W2 [m/s]</t>
  </si>
  <si>
    <t>U2 [m/s]</t>
  </si>
  <si>
    <t>V3 [m/s]</t>
  </si>
  <si>
    <t>U3 [m/s]</t>
  </si>
  <si>
    <t>W3 [m/s]</t>
  </si>
  <si>
    <t>Alpha2 [º]</t>
  </si>
  <si>
    <t>Beta2 [º]</t>
  </si>
  <si>
    <t>Alpha3 [º]</t>
  </si>
  <si>
    <t>Beta3 [º]</t>
  </si>
  <si>
    <t>Resume stage1</t>
  </si>
  <si>
    <t>rho1</t>
  </si>
  <si>
    <t>Resume stage 2</t>
  </si>
  <si>
    <t>M1</t>
  </si>
  <si>
    <t>W2u</t>
  </si>
  <si>
    <t>Global Parameters</t>
  </si>
  <si>
    <t>Checker</t>
  </si>
  <si>
    <t>P2 chose</t>
  </si>
  <si>
    <t>M3 impose</t>
  </si>
  <si>
    <t>M3 achieve</t>
  </si>
  <si>
    <t>GRp</t>
  </si>
  <si>
    <t>GrH</t>
  </si>
  <si>
    <t>Abetta</t>
  </si>
  <si>
    <t>AHT T0 based</t>
  </si>
  <si>
    <t>AHT euler based</t>
  </si>
  <si>
    <t>AHT required</t>
  </si>
  <si>
    <t>Resume stage 3</t>
  </si>
  <si>
    <t>rh2</t>
  </si>
  <si>
    <t>rh3</t>
  </si>
  <si>
    <t>rt2</t>
  </si>
  <si>
    <t>h2</t>
  </si>
  <si>
    <t>V2x/v1x</t>
  </si>
  <si>
    <t>Efficiencies</t>
  </si>
  <si>
    <t>H01</t>
  </si>
  <si>
    <t>H03</t>
  </si>
  <si>
    <t>T3ss</t>
  </si>
  <si>
    <t>T3iss</t>
  </si>
  <si>
    <t>P3 impose</t>
  </si>
  <si>
    <t>P3 achieve</t>
  </si>
  <si>
    <t>H3ss</t>
  </si>
  <si>
    <t>etaTT</t>
  </si>
  <si>
    <t>etaTS</t>
  </si>
  <si>
    <t>epsp</t>
  </si>
  <si>
    <t>epspp</t>
  </si>
  <si>
    <t>W3s</t>
  </si>
  <si>
    <t>kinetic loss stator</t>
  </si>
  <si>
    <t>kinetic loss rotor</t>
  </si>
  <si>
    <t>rm</t>
  </si>
  <si>
    <t>rm3</t>
  </si>
  <si>
    <t>rm2</t>
  </si>
  <si>
    <t>[kg/m^3]</t>
  </si>
  <si>
    <t>a1</t>
  </si>
  <si>
    <t>[m]</t>
  </si>
  <si>
    <t>[m2]</t>
  </si>
  <si>
    <t>[J/kg]</t>
  </si>
  <si>
    <t>[rad/s]</t>
  </si>
  <si>
    <t>Select this</t>
  </si>
  <si>
    <t>Assume v1 = v3, not right</t>
  </si>
  <si>
    <t>V3x/v2x</t>
  </si>
  <si>
    <t>A3/A2</t>
  </si>
  <si>
    <t>&lt;0.5</t>
  </si>
  <si>
    <t>45-50</t>
  </si>
  <si>
    <t>high subsonic low supersonic</t>
  </si>
  <si>
    <t>60-65</t>
  </si>
  <si>
    <t>70-75</t>
  </si>
  <si>
    <t>0.85-1.2</t>
  </si>
  <si>
    <t>turning increases toward hub</t>
  </si>
  <si>
    <t>not higher than 0.45</t>
  </si>
  <si>
    <t>T5s</t>
  </si>
  <si>
    <t>T05_isentropic p03 a p05</t>
  </si>
  <si>
    <t>[K ]</t>
  </si>
  <si>
    <t>Stator T02 = T01</t>
  </si>
  <si>
    <t>ASSUME EXPAND TO P3 ASSUMED WITH M3</t>
  </si>
  <si>
    <t>Assume axial speed cte</t>
  </si>
  <si>
    <t>V3ueuler</t>
  </si>
  <si>
    <t>DO IT THIS WAY</t>
  </si>
  <si>
    <t>SINCE WE ASSUME BETA</t>
  </si>
  <si>
    <t>RoTor</t>
  </si>
  <si>
    <t>Assume a peripherical speed or loading factor</t>
  </si>
  <si>
    <t>Guess it throung the loading factor</t>
  </si>
  <si>
    <t>Use the triangle</t>
  </si>
  <si>
    <t>Assume w2x = v2x</t>
  </si>
  <si>
    <t>Compute the beta tirangle</t>
  </si>
  <si>
    <t>Pitagoras</t>
  </si>
  <si>
    <t>Add relative speed to static conditions</t>
  </si>
  <si>
    <t>Just use the M3 that you assume</t>
  </si>
  <si>
    <t>J/(kgK)</t>
  </si>
  <si>
    <t>Isentropic evolution</t>
  </si>
  <si>
    <t>It's the same good</t>
  </si>
  <si>
    <t>isentropic static to total</t>
  </si>
  <si>
    <t>Go to  rotor</t>
  </si>
  <si>
    <t>Total temperature is conserved</t>
  </si>
  <si>
    <t>PROCEDURE 1 USE P3</t>
  </si>
  <si>
    <t>p3</t>
  </si>
  <si>
    <t>Compute the V2u with work</t>
  </si>
  <si>
    <t>MATCH THIS</t>
  </si>
  <si>
    <t>find beta3</t>
  </si>
  <si>
    <t>IMPOSE THIS ANGLE</t>
  </si>
  <si>
    <t>euler</t>
  </si>
  <si>
    <t>T03_1</t>
  </si>
  <si>
    <t>T03_work</t>
  </si>
  <si>
    <t>to match work</t>
  </si>
  <si>
    <t>Compute Mach and total conditions</t>
  </si>
  <si>
    <t>required</t>
  </si>
  <si>
    <t>u3</t>
  </si>
  <si>
    <t>Assumption u3 = U2, AT THE BEGINNING THEN ITERATE</t>
  </si>
  <si>
    <t>Pressure loss founded</t>
  </si>
  <si>
    <t>Kinetic loss founded</t>
  </si>
  <si>
    <t>stator</t>
  </si>
  <si>
    <t>rotor</t>
  </si>
  <si>
    <t>Check loss impose</t>
  </si>
  <si>
    <t>check loss inpose</t>
  </si>
  <si>
    <t>Soderberg correlation 2</t>
  </si>
  <si>
    <t>Asssume axial</t>
  </si>
  <si>
    <t>epsx_st</t>
  </si>
  <si>
    <t>epsx_rt</t>
  </si>
  <si>
    <t>Correction rotor aspect ratio</t>
  </si>
  <si>
    <t>Correction stator ascpect ratio</t>
  </si>
  <si>
    <t>based on siverding note</t>
  </si>
  <si>
    <t>h/c</t>
  </si>
  <si>
    <t>Aspec ratio stator c/H</t>
  </si>
  <si>
    <t>Aspec ratio rotor c/H</t>
  </si>
  <si>
    <t>c/g optim for alpha 1= 0, alpha 2 = 75</t>
  </si>
  <si>
    <t>Reynolds number statr</t>
  </si>
  <si>
    <t>DH hidraulic diameter statr</t>
  </si>
  <si>
    <t>DH hidraulic diameter rotor</t>
  </si>
  <si>
    <t>Assume a pitch stator</t>
  </si>
  <si>
    <t>Assume a pitch rotor</t>
  </si>
  <si>
    <t>Assume a chord rotor</t>
  </si>
  <si>
    <t>Assume a chord stator</t>
  </si>
  <si>
    <t>Reynolds number rotr</t>
  </si>
  <si>
    <t>computed</t>
  </si>
  <si>
    <t>W3/w2</t>
  </si>
  <si>
    <t>epsp, loses page 35 siverding</t>
  </si>
  <si>
    <t>epspp, loses page 35 siverding</t>
  </si>
  <si>
    <t>Pressure loss ainley mathison definition, stator</t>
  </si>
  <si>
    <t>Pressure loss ainley mathison definition, rotor</t>
  </si>
  <si>
    <t>compare this with b156 and b157</t>
  </si>
  <si>
    <t>Total pressure loss down 02</t>
  </si>
  <si>
    <t>Total pressure loss rotor down w3</t>
  </si>
  <si>
    <t>Pressure loss founded down the lower</t>
  </si>
  <si>
    <t>Formula 35 eta tt</t>
  </si>
  <si>
    <t>&lt;1.1 - 1.2</t>
  </si>
  <si>
    <t>Loses info</t>
  </si>
  <si>
    <t>viscosity stator</t>
  </si>
  <si>
    <t>Viscosity rotor</t>
  </si>
  <si>
    <t>deviation</t>
  </si>
  <si>
    <t>this is using the definition of the loses of the 02 dowb</t>
  </si>
  <si>
    <t>9.49</t>
  </si>
  <si>
    <t>15.68</t>
  </si>
  <si>
    <t>20.76</t>
  </si>
  <si>
    <t>25.90</t>
  </si>
  <si>
    <t>28.86</t>
  </si>
  <si>
    <t>37.90</t>
  </si>
  <si>
    <t>44.34</t>
  </si>
  <si>
    <t>51.34</t>
  </si>
  <si>
    <t>58.51</t>
  </si>
  <si>
    <t>66.25</t>
  </si>
  <si>
    <t>73.91</t>
  </si>
  <si>
    <t>82.29</t>
  </si>
  <si>
    <t>90.75</t>
  </si>
  <si>
    <t>99.30</t>
  </si>
  <si>
    <t>108.2</t>
  </si>
  <si>
    <t>117.8</t>
  </si>
  <si>
    <t>138.6</t>
  </si>
  <si>
    <t>159.1</t>
  </si>
  <si>
    <t>182.1</t>
  </si>
  <si>
    <t>205.5</t>
  </si>
  <si>
    <t>229.1</t>
  </si>
  <si>
    <t>254.5</t>
  </si>
  <si>
    <t>T [k]</t>
  </si>
  <si>
    <t>Dynamic viscosity kg/(ms)</t>
  </si>
  <si>
    <t>kinematic viscosity</t>
  </si>
  <si>
    <t>formula optimum pitch to chord ration</t>
  </si>
  <si>
    <t>optimim pitch/chord sorderberg</t>
  </si>
  <si>
    <t>BEta2</t>
  </si>
  <si>
    <t>alpha1</t>
  </si>
  <si>
    <t>Ureal</t>
  </si>
  <si>
    <t>g/c rotor book</t>
  </si>
  <si>
    <t>definition 3.44</t>
  </si>
  <si>
    <t>equation 3.44</t>
  </si>
  <si>
    <t>eqn 4.4</t>
  </si>
  <si>
    <t>eqn 4.44</t>
  </si>
  <si>
    <t>loading factor</t>
  </si>
  <si>
    <t>Datas</t>
  </si>
  <si>
    <t>Stage 1</t>
  </si>
  <si>
    <t>Stage 2</t>
  </si>
  <si>
    <t>Stage 3</t>
  </si>
  <si>
    <t>Resume</t>
  </si>
  <si>
    <t>Alpha1</t>
  </si>
  <si>
    <t>Rt1</t>
  </si>
  <si>
    <t>Rh1</t>
  </si>
  <si>
    <t>rt1</t>
  </si>
  <si>
    <t>h1 blade</t>
  </si>
  <si>
    <t>rh1</t>
  </si>
  <si>
    <t>Data triangles</t>
  </si>
  <si>
    <t>V</t>
  </si>
  <si>
    <t>Vx</t>
  </si>
  <si>
    <t>Vu</t>
  </si>
  <si>
    <t>alpha</t>
  </si>
  <si>
    <t>U</t>
  </si>
  <si>
    <t>W</t>
  </si>
  <si>
    <t>Wx</t>
  </si>
  <si>
    <t>Wu</t>
  </si>
  <si>
    <t>beta</t>
  </si>
  <si>
    <t>geometry</t>
  </si>
  <si>
    <t>rm1</t>
  </si>
  <si>
    <r>
      <t>V</t>
    </r>
    <r>
      <rPr>
        <b/>
        <vertAlign val="subscript"/>
        <sz val="11"/>
        <rFont val="Calibri"/>
        <family val="2"/>
        <scheme val="minor"/>
      </rPr>
      <t>zm guess</t>
    </r>
  </si>
  <si>
    <t>Area</t>
  </si>
  <si>
    <t>u_m</t>
  </si>
  <si>
    <r>
      <t xml:space="preserve">U = </t>
    </r>
    <r>
      <rPr>
        <b/>
        <sz val="11"/>
        <rFont val="Calibri"/>
        <family val="2"/>
      </rPr>
      <t>ω</t>
    </r>
    <r>
      <rPr>
        <b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</si>
  <si>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11"/>
        <rFont val="Calibri"/>
        <family val="2"/>
      </rPr>
      <t>θ2</t>
    </r>
  </si>
  <si>
    <r>
      <t>W</t>
    </r>
    <r>
      <rPr>
        <b/>
        <vertAlign val="subscript"/>
        <sz val="11"/>
        <rFont val="Calibri"/>
        <family val="2"/>
      </rPr>
      <t>θ2</t>
    </r>
  </si>
  <si>
    <t>Δβ</t>
  </si>
  <si>
    <t>Δα</t>
  </si>
  <si>
    <t>3 parameter distribution</t>
  </si>
  <si>
    <t>Vu = AR^n +- B/R</t>
  </si>
  <si>
    <t>+</t>
  </si>
  <si>
    <t>-</t>
  </si>
  <si>
    <t>behind rotor</t>
  </si>
  <si>
    <t>ahead rotor</t>
  </si>
  <si>
    <t>Omega</t>
  </si>
  <si>
    <t>A</t>
  </si>
  <si>
    <t>B</t>
  </si>
  <si>
    <t>n</t>
  </si>
  <si>
    <t>Delta R stator</t>
  </si>
  <si>
    <t>Delta R rotor</t>
  </si>
  <si>
    <t>Number of partitios</t>
  </si>
  <si>
    <t>α2</t>
  </si>
  <si>
    <r>
      <t>V</t>
    </r>
    <r>
      <rPr>
        <b/>
        <vertAlign val="subscript"/>
        <sz val="11"/>
        <rFont val="Calibri"/>
        <family val="2"/>
        <scheme val="minor"/>
      </rPr>
      <t>z2</t>
    </r>
  </si>
  <si>
    <t>β2</t>
  </si>
  <si>
    <r>
      <t>W</t>
    </r>
    <r>
      <rPr>
        <b/>
        <vertAlign val="subscript"/>
        <sz val="11"/>
        <rFont val="Calibri"/>
        <family val="2"/>
      </rPr>
      <t>2</t>
    </r>
  </si>
  <si>
    <r>
      <t>V</t>
    </r>
    <r>
      <rPr>
        <b/>
        <vertAlign val="subscript"/>
        <sz val="11"/>
        <rFont val="Calibri"/>
        <family val="2"/>
      </rPr>
      <t>θ3</t>
    </r>
  </si>
  <si>
    <r>
      <t>α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</si>
  <si>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z3</t>
    </r>
  </si>
  <si>
    <r>
      <t>W</t>
    </r>
    <r>
      <rPr>
        <b/>
        <vertAlign val="subscript"/>
        <sz val="11"/>
        <rFont val="Calibri"/>
        <family val="2"/>
      </rPr>
      <t>θ3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</si>
  <si>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</si>
  <si>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3</t>
    </r>
  </si>
  <si>
    <r>
      <t>W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</si>
  <si>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zm3 guess</t>
    </r>
  </si>
  <si>
    <t>HUB</t>
  </si>
  <si>
    <t>TIP</t>
  </si>
  <si>
    <t>Massflow &amp; radius at inlet stator</t>
  </si>
  <si>
    <t>h para rm cte</t>
  </si>
  <si>
    <t>hub</t>
  </si>
  <si>
    <t>Delta ma</t>
  </si>
  <si>
    <t>rho</t>
  </si>
  <si>
    <t>Massfloe real</t>
  </si>
  <si>
    <t>Massflow real</t>
  </si>
  <si>
    <t>cp_turbine</t>
  </si>
  <si>
    <t>gamma turbine</t>
  </si>
  <si>
    <t>g.1 turbine</t>
  </si>
  <si>
    <t>g-1/g turbine</t>
  </si>
  <si>
    <t>g/(g-1) turbiine</t>
  </si>
  <si>
    <t>T02r check</t>
  </si>
  <si>
    <t>T03_impose</t>
  </si>
  <si>
    <t>T3_compued</t>
  </si>
  <si>
    <t>T03_computed</t>
  </si>
  <si>
    <t>T3 impose T03</t>
  </si>
  <si>
    <t>impose T03</t>
  </si>
  <si>
    <t>DIVERGENCE ANGLE CHECK HOW MUCH, LOWER THAN 15 º</t>
  </si>
  <si>
    <t>DIVEGENCE CHECK</t>
  </si>
  <si>
    <t>chord [m]</t>
  </si>
  <si>
    <t>rh2  [m]</t>
  </si>
  <si>
    <t>rt2  [m]</t>
  </si>
  <si>
    <t>rh3  [m]</t>
  </si>
  <si>
    <t>rt3  [m]</t>
  </si>
  <si>
    <t>Divergence hub [º]</t>
  </si>
  <si>
    <t>Divergence tip [º]</t>
  </si>
  <si>
    <t>Check if it's the same</t>
  </si>
  <si>
    <t>kinetic loss eq 3.44</t>
  </si>
  <si>
    <t>this definition use in the denominator the real one</t>
  </si>
  <si>
    <t>recompute , should be the same</t>
  </si>
  <si>
    <t>ONLY WILL  BE THE SAME IF THE Rm = cte, so increase area hub &amp; tip</t>
  </si>
  <si>
    <t>1D analysis</t>
  </si>
  <si>
    <t>guess &amp; PLAY for distribution</t>
  </si>
  <si>
    <t>Data stage1</t>
  </si>
  <si>
    <t>Difference %</t>
  </si>
  <si>
    <t>Deviation stage 02</t>
  </si>
  <si>
    <t>Deviatio real %</t>
  </si>
  <si>
    <t>MIDHEIGHT</t>
  </si>
  <si>
    <t>TIIP</t>
  </si>
  <si>
    <t>change beta3 for, TO GIVE WORK</t>
  </si>
  <si>
    <t>c/g optimbor beta 2 y beta3, Sieverding book</t>
  </si>
  <si>
    <t>g/c stator,  Sieverding book</t>
  </si>
  <si>
    <t>Work deviation</t>
  </si>
  <si>
    <t>tmax/C stator</t>
  </si>
  <si>
    <t>tmax/C rotor</t>
  </si>
  <si>
    <t>after rotr¡or</t>
  </si>
  <si>
    <t>clearance</t>
  </si>
  <si>
    <t>clearance factor</t>
  </si>
  <si>
    <t>chord</t>
  </si>
  <si>
    <t>c/h</t>
  </si>
  <si>
    <t>Re dh</t>
  </si>
  <si>
    <t>dh</t>
  </si>
  <si>
    <t>Re c</t>
  </si>
  <si>
    <t>RE c</t>
  </si>
  <si>
    <t>(v1/v2)^2</t>
  </si>
  <si>
    <t>pitch/chord</t>
  </si>
  <si>
    <t>FL</t>
  </si>
  <si>
    <t>FL*s/b</t>
  </si>
  <si>
    <t>Nhb</t>
  </si>
  <si>
    <t>Nr</t>
  </si>
  <si>
    <t>beta1</t>
  </si>
  <si>
    <t>Losses secondary</t>
  </si>
  <si>
    <t>Parameter secondary losses</t>
  </si>
  <si>
    <t>graph parameters secondary losses</t>
  </si>
  <si>
    <t>losses secondary</t>
  </si>
  <si>
    <t>k</t>
  </si>
  <si>
    <t>h</t>
  </si>
  <si>
    <t>delta</t>
  </si>
  <si>
    <t>assume 5%</t>
  </si>
  <si>
    <t>beta3x</t>
  </si>
  <si>
    <t>betam</t>
  </si>
  <si>
    <t>beta2_tan</t>
  </si>
  <si>
    <t>beta3_Tan</t>
  </si>
  <si>
    <t>Z</t>
  </si>
  <si>
    <t>zgraph</t>
  </si>
  <si>
    <t>CL</t>
  </si>
  <si>
    <t>cos2</t>
  </si>
  <si>
    <t>YCL</t>
  </si>
  <si>
    <t>penetration</t>
  </si>
  <si>
    <t>pentration</t>
  </si>
  <si>
    <t>turning</t>
  </si>
  <si>
    <t>CR</t>
  </si>
  <si>
    <t>zte/cx</t>
  </si>
  <si>
    <t>Zte/cx</t>
  </si>
  <si>
    <t>bll_delta1</t>
  </si>
  <si>
    <t>epsb</t>
  </si>
  <si>
    <t>NR</t>
  </si>
  <si>
    <t>Ni</t>
  </si>
  <si>
    <t>Nt</t>
  </si>
  <si>
    <t>Aeps</t>
  </si>
  <si>
    <t>kp</t>
  </si>
  <si>
    <t>t_te</t>
  </si>
  <si>
    <t>As for secondary</t>
  </si>
  <si>
    <t>Siverding book, page 50</t>
  </si>
  <si>
    <t>correction, graph3.5 page 277</t>
  </si>
  <si>
    <t>siverging 280 3.10</t>
  </si>
  <si>
    <t>Siverding 280, 3.10</t>
  </si>
  <si>
    <t>te/g</t>
  </si>
  <si>
    <t>Craig Cox paper</t>
  </si>
  <si>
    <t>siverging 275 3.10</t>
  </si>
  <si>
    <t>turning/sqrt(CR)</t>
  </si>
  <si>
    <t xml:space="preserve">zte </t>
  </si>
  <si>
    <t xml:space="preserve">zte  </t>
  </si>
  <si>
    <t>minR</t>
  </si>
  <si>
    <t>maxR</t>
  </si>
  <si>
    <t>zte/span</t>
  </si>
  <si>
    <t>base</t>
  </si>
  <si>
    <t>base_2</t>
  </si>
  <si>
    <t>base_real_sectores</t>
  </si>
  <si>
    <t>areas reals</t>
  </si>
  <si>
    <t>zte/dr_rotor</t>
  </si>
  <si>
    <t>zte/dh_st</t>
  </si>
  <si>
    <t>base_real</t>
  </si>
  <si>
    <t>Profiles clearance</t>
  </si>
  <si>
    <t>Profiles rotor for secondary</t>
  </si>
  <si>
    <t>Profiles stator for secondary</t>
  </si>
  <si>
    <t>Secondary losses S</t>
  </si>
  <si>
    <t>USE this</t>
  </si>
  <si>
    <t>angle</t>
  </si>
  <si>
    <t>stagger graph 2,6 page 49</t>
  </si>
  <si>
    <t>eps,s0*g/b*sin(alpha2)</t>
  </si>
  <si>
    <t>m3</t>
  </si>
  <si>
    <t>ma1 + mf</t>
  </si>
  <si>
    <r>
      <t>AH = u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2u</t>
    </r>
    <r>
      <rPr>
        <b/>
        <sz val="11"/>
        <rFont val="Calibri"/>
        <family val="2"/>
        <scheme val="minor"/>
      </rPr>
      <t xml:space="preserve"> - u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3u</t>
    </r>
  </si>
  <si>
    <t>T3_work</t>
  </si>
  <si>
    <t>global sum</t>
  </si>
  <si>
    <t xml:space="preserve">R </t>
  </si>
  <si>
    <t>COMMON</t>
  </si>
  <si>
    <t>Zte/h</t>
  </si>
  <si>
    <t>1-sinB/sinA</t>
  </si>
  <si>
    <t>REFER TO FIGURES PAPER CRAIG &amp; COX</t>
  </si>
  <si>
    <t>FIG 4</t>
  </si>
  <si>
    <t>fig 18</t>
  </si>
  <si>
    <t>g</t>
  </si>
  <si>
    <t>zte/span_impose</t>
  </si>
  <si>
    <t>BASE</t>
  </si>
  <si>
    <t>Profile + Secondary</t>
  </si>
  <si>
    <t>P01/P02</t>
  </si>
  <si>
    <t>v2is</t>
  </si>
  <si>
    <t>Entropy</t>
  </si>
  <si>
    <t>entropy</t>
  </si>
  <si>
    <t>TM</t>
  </si>
  <si>
    <t>DS/DR</t>
  </si>
  <si>
    <t>M3r</t>
  </si>
  <si>
    <t>profile + secondary + clearance</t>
  </si>
  <si>
    <t>P02r/p03r</t>
  </si>
  <si>
    <t>AS/AR</t>
  </si>
  <si>
    <t>THIS BETTER</t>
  </si>
  <si>
    <t>DS</t>
  </si>
  <si>
    <t>MW3</t>
  </si>
  <si>
    <t>Global</t>
  </si>
  <si>
    <t>Gloobal</t>
  </si>
  <si>
    <t>T03 use work</t>
  </si>
  <si>
    <t>Index</t>
  </si>
  <si>
    <t>Radius</t>
  </si>
  <si>
    <t>MIDSPAN</t>
  </si>
  <si>
    <t>eps</t>
  </si>
  <si>
    <t>refer tangential</t>
  </si>
  <si>
    <t>refer tan</t>
  </si>
  <si>
    <t>STATOR + ROTOR</t>
  </si>
  <si>
    <t>DS/DR*DR</t>
  </si>
  <si>
    <t>DR</t>
  </si>
  <si>
    <r>
      <t>V</t>
    </r>
    <r>
      <rPr>
        <b/>
        <vertAlign val="subscript"/>
        <sz val="11"/>
        <rFont val="Calibri"/>
        <family val="2"/>
        <scheme val="minor"/>
      </rPr>
      <t>z2 ISRE</t>
    </r>
  </si>
  <si>
    <r>
      <t>V</t>
    </r>
    <r>
      <rPr>
        <b/>
        <vertAlign val="subscript"/>
        <sz val="11"/>
        <rFont val="Calibri"/>
        <family val="2"/>
        <scheme val="minor"/>
      </rPr>
      <t>z3 ISRE</t>
    </r>
  </si>
  <si>
    <t>p2</t>
  </si>
  <si>
    <t>T03r work</t>
  </si>
  <si>
    <t>mean 1D</t>
  </si>
  <si>
    <t>take p02r ISRE</t>
  </si>
  <si>
    <t>not needed</t>
  </si>
  <si>
    <t>T3r work</t>
  </si>
  <si>
    <t>p3 1D</t>
  </si>
  <si>
    <t>p21D</t>
  </si>
  <si>
    <t>T21D</t>
  </si>
  <si>
    <t>nblades</t>
  </si>
  <si>
    <t>alpha2  isre</t>
  </si>
  <si>
    <t>beta3  isre</t>
  </si>
  <si>
    <t>alpha3  isre</t>
  </si>
  <si>
    <t>V2 mid ISRE</t>
  </si>
  <si>
    <t>W2 mid ISRE</t>
  </si>
  <si>
    <t>U2 mid ISRE</t>
  </si>
  <si>
    <t>V3 mid ISRE</t>
  </si>
  <si>
    <t>W3 mid ISRE</t>
  </si>
  <si>
    <t>U3 mid ISRE</t>
  </si>
  <si>
    <t>V2 hub ISRE</t>
  </si>
  <si>
    <t>U3  hub ISRE</t>
  </si>
  <si>
    <t>W2  hub ISRE</t>
  </si>
  <si>
    <t>U2  hub ISRE</t>
  </si>
  <si>
    <t>V3  hub ISRE</t>
  </si>
  <si>
    <t>W3 hub ISRE</t>
  </si>
  <si>
    <t>V2 tip ISRE</t>
  </si>
  <si>
    <t>W2  tip ISRE</t>
  </si>
  <si>
    <t>U2  tip ISRE</t>
  </si>
  <si>
    <t>V3  tip ISRE</t>
  </si>
  <si>
    <t>W3  tip ISRE</t>
  </si>
  <si>
    <t>U3  tip ISRE</t>
  </si>
  <si>
    <t>U3  hub NISRE</t>
  </si>
  <si>
    <t>V2 hub NISRE</t>
  </si>
  <si>
    <t>W2  hub NISRE</t>
  </si>
  <si>
    <t>U2  hub NISRE</t>
  </si>
  <si>
    <t>V3  hub NISRE</t>
  </si>
  <si>
    <t>W3 hub NISRE</t>
  </si>
  <si>
    <t>V2 mid NISRE</t>
  </si>
  <si>
    <t>W2 mid NISRE</t>
  </si>
  <si>
    <t>U2 mid NISRE</t>
  </si>
  <si>
    <t>V3 mid NISRE</t>
  </si>
  <si>
    <t>W3 mid NISRE</t>
  </si>
  <si>
    <t>U3 mid NISRE</t>
  </si>
  <si>
    <t>V2 tip NISRE</t>
  </si>
  <si>
    <t>W2  tip NISRE</t>
  </si>
  <si>
    <t>U2  tip NISRE</t>
  </si>
  <si>
    <t>V3  tip NISRE</t>
  </si>
  <si>
    <t>W3  tip NISRE</t>
  </si>
  <si>
    <t>U3  tip NISRE</t>
  </si>
  <si>
    <t>VZ3, NISRE</t>
  </si>
  <si>
    <t>VZ2 NISRE</t>
  </si>
  <si>
    <t>Δβ NISRE</t>
  </si>
  <si>
    <t>Δα NISRE</t>
  </si>
  <si>
    <t>Δβ ISRE</t>
  </si>
  <si>
    <t>Δα ISRE</t>
  </si>
  <si>
    <t>ma NISRE</t>
  </si>
  <si>
    <t>ma ISRE</t>
  </si>
  <si>
    <t>Rd NISRE</t>
  </si>
  <si>
    <t>Rd ISRE</t>
  </si>
  <si>
    <t>T3_T02r</t>
  </si>
  <si>
    <t>Rd</t>
  </si>
  <si>
    <t>rd ISRE</t>
  </si>
  <si>
    <t>rd NISRE</t>
  </si>
  <si>
    <t>RD</t>
  </si>
  <si>
    <t xml:space="preserve">Geometrical characteristcs </t>
  </si>
  <si>
    <t>Chord stator</t>
  </si>
  <si>
    <t>Span stator</t>
  </si>
  <si>
    <t>Pitch stator</t>
  </si>
  <si>
    <t>α</t>
  </si>
  <si>
    <t>β</t>
  </si>
  <si>
    <t>α1</t>
  </si>
  <si>
    <t>Chord rotor</t>
  </si>
  <si>
    <t>Span rotor</t>
  </si>
  <si>
    <t>Pitch rotor</t>
  </si>
  <si>
    <t>β3</t>
  </si>
  <si>
    <t>Blades stator</t>
  </si>
  <si>
    <t>Blades rotor</t>
  </si>
  <si>
    <t>List of symbols</t>
  </si>
  <si>
    <t>c</t>
  </si>
  <si>
    <t>ξ</t>
  </si>
  <si>
    <t>φ</t>
  </si>
  <si>
    <t>ω</t>
  </si>
  <si>
    <t>ψ</t>
  </si>
  <si>
    <t>μ</t>
  </si>
  <si>
    <t>ϒ</t>
  </si>
  <si>
    <t>a</t>
  </si>
  <si>
    <r>
      <rPr>
        <sz val="11"/>
        <color theme="1"/>
        <rFont val="Calibri"/>
        <family val="2"/>
      </rPr>
      <t>π</t>
    </r>
    <r>
      <rPr>
        <vertAlign val="subscript"/>
        <sz val="11"/>
        <color theme="1"/>
        <rFont val="Calibri"/>
        <family val="2"/>
      </rPr>
      <t>c</t>
    </r>
  </si>
  <si>
    <t>T</t>
  </si>
  <si>
    <t>Temperature</t>
  </si>
  <si>
    <t>speed of sound</t>
  </si>
  <si>
    <t>pitch</t>
  </si>
  <si>
    <t>span</t>
  </si>
  <si>
    <t>Absolute angle</t>
  </si>
  <si>
    <t>ϒst</t>
  </si>
  <si>
    <t>Stagger angle</t>
  </si>
  <si>
    <t>r</t>
  </si>
  <si>
    <t>s</t>
  </si>
  <si>
    <t>Inlet stator</t>
  </si>
  <si>
    <t>Outlet stator inlet rotor</t>
  </si>
  <si>
    <t>Outlet rotor</t>
  </si>
  <si>
    <t>σ</t>
  </si>
  <si>
    <t>Solidiry c/g</t>
  </si>
  <si>
    <t>Dynamic viscosity</t>
  </si>
  <si>
    <t>Relative angle</t>
  </si>
  <si>
    <t>Kinematic losses</t>
  </si>
  <si>
    <t>Presure ratio</t>
  </si>
  <si>
    <t>Specific heat ratio</t>
  </si>
  <si>
    <t>Flow coefficient</t>
  </si>
  <si>
    <t>Work coefficient</t>
  </si>
  <si>
    <t>Pressure losses</t>
  </si>
  <si>
    <t>is</t>
  </si>
  <si>
    <t>isentropic</t>
  </si>
  <si>
    <t>rotor, relative</t>
  </si>
  <si>
    <t>H</t>
  </si>
  <si>
    <t>tip</t>
  </si>
  <si>
    <t>flow coefficient</t>
  </si>
  <si>
    <t>mean radiues</t>
  </si>
  <si>
    <t>Cst radial distribution</t>
  </si>
  <si>
    <t>[kg/(ms)]</t>
  </si>
  <si>
    <t>Profile losses Craig</t>
  </si>
  <si>
    <t>Global losses S</t>
  </si>
  <si>
    <t>global losses pressure</t>
  </si>
  <si>
    <t>vzm_guess_losses</t>
  </si>
  <si>
    <t>Profile losses hub</t>
  </si>
  <si>
    <t>Profile losses MC</t>
  </si>
  <si>
    <t>Profile losses tip</t>
  </si>
  <si>
    <t>To interplate profile losses</t>
  </si>
  <si>
    <t>PRESSURE losses</t>
  </si>
  <si>
    <t>Clearance losses S</t>
  </si>
  <si>
    <t>Pressure losses profile + secondary</t>
  </si>
  <si>
    <t>Paramter clearance losses</t>
  </si>
  <si>
    <t>β3 NISRE</t>
  </si>
  <si>
    <t>α3 NISRE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</si>
  <si>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>2 NISRE</t>
    </r>
  </si>
  <si>
    <t>β2 NISRE</t>
  </si>
  <si>
    <t>α2 ISRE</t>
  </si>
  <si>
    <t>β2 ISRE</t>
  </si>
  <si>
    <r>
      <t>α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 xml:space="preserve"> ISRE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</si>
  <si>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ISRE</t>
    </r>
  </si>
  <si>
    <t>assume p02r NISRE</t>
  </si>
  <si>
    <t>Jorge Saavedra García</t>
  </si>
  <si>
    <t>&lt;120</t>
  </si>
  <si>
    <t>c/g zweiffel opt 6.3 page 65</t>
  </si>
  <si>
    <t>changed to p3 ISRE</t>
  </si>
  <si>
    <t>MASS AVEARAGED LOSSES</t>
  </si>
  <si>
    <t>Going via euler</t>
  </si>
  <si>
    <t>Assumed alpha1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</si>
</sst>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00000"/>
    <numFmt numFmtId="168" formatCode="0.000E+00"/>
    <numFmt numFmtId="169" formatCode="0.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1" fontId="0" fillId="0" borderId="9" xfId="0" applyNumberFormat="1" applyBorder="1"/>
    <xf numFmtId="0" fontId="0" fillId="0" borderId="14" xfId="0" applyFill="1" applyBorder="1"/>
    <xf numFmtId="0" fontId="0" fillId="0" borderId="15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1" fontId="0" fillId="0" borderId="15" xfId="0" applyNumberFormat="1" applyBorder="1"/>
    <xf numFmtId="2" fontId="0" fillId="0" borderId="2" xfId="0" applyNumberFormat="1" applyBorder="1"/>
    <xf numFmtId="0" fontId="0" fillId="2" borderId="2" xfId="0" applyFill="1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0" fontId="0" fillId="0" borderId="26" xfId="0" applyFill="1" applyBorder="1"/>
    <xf numFmtId="0" fontId="3" fillId="2" borderId="2" xfId="0" applyFont="1" applyFill="1" applyBorder="1"/>
    <xf numFmtId="0" fontId="0" fillId="0" borderId="15" xfId="0" applyFont="1" applyFill="1" applyBorder="1"/>
    <xf numFmtId="0" fontId="2" fillId="0" borderId="14" xfId="0" applyFont="1" applyFill="1" applyBorder="1"/>
    <xf numFmtId="0" fontId="0" fillId="0" borderId="0" xfId="0" applyFill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10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3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7" borderId="2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0" borderId="2" xfId="0" applyNumberFormat="1" applyBorder="1"/>
    <xf numFmtId="0" fontId="0" fillId="14" borderId="0" xfId="0" applyFill="1"/>
    <xf numFmtId="166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/>
    <xf numFmtId="0" fontId="0" fillId="15" borderId="0" xfId="0" applyFill="1"/>
    <xf numFmtId="167" fontId="0" fillId="15" borderId="0" xfId="0" applyNumberFormat="1" applyFill="1"/>
    <xf numFmtId="0" fontId="0" fillId="16" borderId="2" xfId="0" applyFill="1" applyBorder="1"/>
    <xf numFmtId="164" fontId="0" fillId="16" borderId="2" xfId="0" applyNumberFormat="1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4" borderId="0" xfId="0" applyFill="1"/>
    <xf numFmtId="164" fontId="0" fillId="0" borderId="1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9" borderId="2" xfId="0" applyNumberFormat="1" applyFill="1" applyBorder="1"/>
    <xf numFmtId="0" fontId="0" fillId="9" borderId="6" xfId="0" applyFill="1" applyBorder="1"/>
    <xf numFmtId="0" fontId="0" fillId="0" borderId="35" xfId="0" applyBorder="1"/>
    <xf numFmtId="164" fontId="0" fillId="0" borderId="28" xfId="0" applyNumberFormat="1" applyBorder="1"/>
    <xf numFmtId="0" fontId="0" fillId="0" borderId="34" xfId="0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36" xfId="0" applyBorder="1"/>
    <xf numFmtId="0" fontId="0" fillId="0" borderId="37" xfId="0" applyBorder="1"/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right"/>
    </xf>
    <xf numFmtId="0" fontId="0" fillId="5" borderId="0" xfId="0" applyFill="1"/>
    <xf numFmtId="0" fontId="0" fillId="3" borderId="0" xfId="0" applyFill="1"/>
    <xf numFmtId="166" fontId="0" fillId="0" borderId="0" xfId="0" applyNumberFormat="1"/>
    <xf numFmtId="0" fontId="0" fillId="13" borderId="6" xfId="0" applyFill="1" applyBorder="1"/>
    <xf numFmtId="164" fontId="0" fillId="13" borderId="2" xfId="0" applyNumberFormat="1" applyFill="1" applyBorder="1"/>
    <xf numFmtId="0" fontId="0" fillId="13" borderId="7" xfId="0" applyFill="1" applyBorder="1"/>
    <xf numFmtId="168" fontId="0" fillId="0" borderId="0" xfId="0" applyNumberFormat="1"/>
    <xf numFmtId="0" fontId="0" fillId="10" borderId="0" xfId="0" applyFill="1"/>
    <xf numFmtId="164" fontId="0" fillId="10" borderId="0" xfId="0" applyNumberFormat="1" applyFill="1"/>
    <xf numFmtId="0" fontId="0" fillId="18" borderId="0" xfId="0" applyFill="1"/>
    <xf numFmtId="0" fontId="6" fillId="0" borderId="38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46" xfId="0" applyFont="1" applyBorder="1" applyAlignment="1">
      <alignment horizontal="center" wrapText="1"/>
    </xf>
    <xf numFmtId="0" fontId="1" fillId="0" borderId="2" xfId="0" applyFont="1" applyFill="1" applyBorder="1"/>
    <xf numFmtId="0" fontId="0" fillId="0" borderId="0" xfId="0" applyAlignment="1">
      <alignment horizontal="center"/>
    </xf>
    <xf numFmtId="0" fontId="0" fillId="12" borderId="0" xfId="0" applyFill="1" applyBorder="1"/>
    <xf numFmtId="0" fontId="0" fillId="19" borderId="0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5" xfId="0" applyBorder="1"/>
    <xf numFmtId="0" fontId="0" fillId="0" borderId="50" xfId="0" applyBorder="1"/>
    <xf numFmtId="0" fontId="0" fillId="0" borderId="51" xfId="0" applyBorder="1"/>
    <xf numFmtId="0" fontId="0" fillId="0" borderId="1" xfId="0" applyBorder="1"/>
    <xf numFmtId="0" fontId="0" fillId="0" borderId="52" xfId="0" applyBorder="1"/>
    <xf numFmtId="0" fontId="0" fillId="10" borderId="48" xfId="0" applyFill="1" applyBorder="1"/>
    <xf numFmtId="0" fontId="0" fillId="17" borderId="48" xfId="0" applyFill="1" applyBorder="1"/>
    <xf numFmtId="0" fontId="0" fillId="21" borderId="49" xfId="0" applyFill="1" applyBorder="1"/>
    <xf numFmtId="0" fontId="0" fillId="12" borderId="3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10" fillId="13" borderId="2" xfId="0" applyFont="1" applyFill="1" applyBorder="1"/>
    <xf numFmtId="0" fontId="0" fillId="12" borderId="14" xfId="0" applyFill="1" applyBorder="1"/>
    <xf numFmtId="0" fontId="0" fillId="2" borderId="0" xfId="0" applyFill="1"/>
    <xf numFmtId="0" fontId="0" fillId="11" borderId="0" xfId="0" applyFill="1"/>
    <xf numFmtId="0" fontId="7" fillId="13" borderId="15" xfId="0" applyFont="1" applyFill="1" applyBorder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/>
    <xf numFmtId="0" fontId="0" fillId="12" borderId="0" xfId="0" applyFill="1"/>
    <xf numFmtId="0" fontId="0" fillId="0" borderId="25" xfId="0" applyFill="1" applyBorder="1"/>
    <xf numFmtId="0" fontId="0" fillId="0" borderId="50" xfId="0" applyFill="1" applyBorder="1"/>
    <xf numFmtId="0" fontId="0" fillId="0" borderId="7" xfId="0" applyFill="1" applyBorder="1"/>
    <xf numFmtId="0" fontId="0" fillId="12" borderId="25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53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20" borderId="51" xfId="0" applyFont="1" applyFill="1" applyBorder="1" applyAlignment="1">
      <alignment horizontal="center"/>
    </xf>
    <xf numFmtId="0" fontId="1" fillId="20" borderId="52" xfId="0" applyFont="1" applyFill="1" applyBorder="1" applyAlignment="1">
      <alignment horizontal="center"/>
    </xf>
    <xf numFmtId="0" fontId="0" fillId="18" borderId="2" xfId="0" applyFill="1" applyBorder="1"/>
    <xf numFmtId="11" fontId="0" fillId="0" borderId="2" xfId="0" applyNumberFormat="1" applyBorder="1"/>
    <xf numFmtId="0" fontId="1" fillId="0" borderId="2" xfId="0" applyFont="1" applyBorder="1"/>
    <xf numFmtId="0" fontId="1" fillId="18" borderId="2" xfId="0" applyFont="1" applyFill="1" applyBorder="1"/>
    <xf numFmtId="11" fontId="0" fillId="19" borderId="2" xfId="0" applyNumberFormat="1" applyFill="1" applyBorder="1"/>
    <xf numFmtId="0" fontId="1" fillId="19" borderId="2" xfId="0" applyFont="1" applyFill="1" applyBorder="1"/>
    <xf numFmtId="0" fontId="0" fillId="0" borderId="25" xfId="0" applyBorder="1" applyAlignment="1"/>
    <xf numFmtId="0" fontId="0" fillId="0" borderId="50" xfId="0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4" xfId="0" applyFont="1" applyBorder="1" applyAlignment="1">
      <alignment horizontal="center"/>
    </xf>
    <xf numFmtId="0" fontId="0" fillId="0" borderId="53" xfId="0" applyBorder="1"/>
    <xf numFmtId="0" fontId="0" fillId="0" borderId="55" xfId="0" applyBorder="1"/>
    <xf numFmtId="0" fontId="0" fillId="0" borderId="2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/>
    <xf numFmtId="11" fontId="0" fillId="0" borderId="0" xfId="0" applyNumberFormat="1"/>
    <xf numFmtId="0" fontId="1" fillId="10" borderId="0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Fill="1"/>
    <xf numFmtId="0" fontId="0" fillId="0" borderId="0" xfId="0" quotePrefix="1"/>
    <xf numFmtId="0" fontId="0" fillId="0" borderId="57" xfId="0" applyBorder="1"/>
    <xf numFmtId="164" fontId="0" fillId="0" borderId="0" xfId="0" applyNumberFormat="1" applyFill="1" applyBorder="1" applyAlignment="1">
      <alignment horizontal="center"/>
    </xf>
    <xf numFmtId="0" fontId="0" fillId="12" borderId="52" xfId="0" applyFill="1" applyBorder="1"/>
    <xf numFmtId="165" fontId="0" fillId="0" borderId="48" xfId="0" applyNumberFormat="1" applyBorder="1"/>
    <xf numFmtId="0" fontId="7" fillId="12" borderId="2" xfId="0" applyFont="1" applyFill="1" applyBorder="1"/>
    <xf numFmtId="0" fontId="10" fillId="12" borderId="2" xfId="0" applyFont="1" applyFill="1" applyBorder="1"/>
    <xf numFmtId="0" fontId="3" fillId="12" borderId="2" xfId="0" applyFont="1" applyFill="1" applyBorder="1"/>
    <xf numFmtId="165" fontId="0" fillId="2" borderId="0" xfId="0" applyNumberFormat="1" applyFill="1"/>
    <xf numFmtId="0" fontId="0" fillId="2" borderId="57" xfId="0" applyFill="1" applyBorder="1"/>
    <xf numFmtId="0" fontId="7" fillId="0" borderId="0" xfId="0" applyFont="1" applyFill="1" applyBorder="1"/>
    <xf numFmtId="0" fontId="1" fillId="18" borderId="0" xfId="0" applyFont="1" applyFill="1"/>
    <xf numFmtId="11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ill="1" applyBorder="1"/>
    <xf numFmtId="0" fontId="0" fillId="11" borderId="51" xfId="0" applyFill="1" applyBorder="1"/>
    <xf numFmtId="0" fontId="0" fillId="11" borderId="52" xfId="0" applyFill="1" applyBorder="1"/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7" fillId="12" borderId="15" xfId="0" applyFont="1" applyFill="1" applyBorder="1"/>
    <xf numFmtId="0" fontId="7" fillId="13" borderId="18" xfId="0" applyFont="1" applyFill="1" applyBorder="1"/>
    <xf numFmtId="0" fontId="3" fillId="0" borderId="0" xfId="0" applyFont="1" applyFill="1" applyBorder="1"/>
    <xf numFmtId="0" fontId="7" fillId="9" borderId="35" xfId="0" applyFont="1" applyFill="1" applyBorder="1"/>
    <xf numFmtId="0" fontId="0" fillId="9" borderId="0" xfId="0" applyFill="1"/>
    <xf numFmtId="0" fontId="2" fillId="0" borderId="0" xfId="0" applyFont="1"/>
    <xf numFmtId="165" fontId="0" fillId="0" borderId="4" xfId="0" applyNumberFormat="1" applyBorder="1"/>
    <xf numFmtId="2" fontId="0" fillId="0" borderId="9" xfId="0" applyNumberFormat="1" applyBorder="1"/>
    <xf numFmtId="0" fontId="0" fillId="0" borderId="0" xfId="0" applyFill="1" applyBorder="1" applyAlignment="1"/>
    <xf numFmtId="0" fontId="7" fillId="0" borderId="15" xfId="0" applyFont="1" applyFill="1" applyBorder="1"/>
    <xf numFmtId="0" fontId="7" fillId="0" borderId="2" xfId="0" applyFont="1" applyFill="1" applyBorder="1"/>
    <xf numFmtId="0" fontId="12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/>
    <xf numFmtId="166" fontId="6" fillId="0" borderId="40" xfId="0" applyNumberFormat="1" applyFont="1" applyBorder="1" applyAlignment="1">
      <alignment horizontal="center" wrapText="1"/>
    </xf>
    <xf numFmtId="2" fontId="0" fillId="0" borderId="0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0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11" fontId="0" fillId="0" borderId="2" xfId="0" applyNumberFormat="1" applyBorder="1" applyAlignment="1">
      <alignment horizontal="center" vertical="center" wrapText="1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20" borderId="56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0E7-9E1A-ABD6827827E5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1-40E7-9E1A-ABD6827827E5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1-40E7-9E1A-ABD6827827E5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1-40E7-9E1A-ABD6827827E5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1-40E7-9E1A-ABD6827827E5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1-40E7-9E1A-ABD6827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2896"/>
        <c:axId val="88686976"/>
      </c:scatterChart>
      <c:valAx>
        <c:axId val="886728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88686976"/>
        <c:crossesAt val="0"/>
        <c:crossBetween val="midCat"/>
        <c:majorUnit val="200"/>
      </c:valAx>
      <c:valAx>
        <c:axId val="8868697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886728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294-A76E-58221F731F77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D-4294-A76E-58221F731F77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294-A76E-58221F731F77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D-4294-A76E-58221F731F77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D-4294-A76E-58221F731F77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D-4294-A76E-58221F73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5472"/>
        <c:axId val="106708992"/>
      </c:scatterChart>
      <c:valAx>
        <c:axId val="1071454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6708992"/>
        <c:crossesAt val="0"/>
        <c:crossBetween val="midCat"/>
        <c:majorUnit val="200"/>
      </c:valAx>
      <c:valAx>
        <c:axId val="1067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454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11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NISRE!$BW$56</c:f>
              <c:strCache>
                <c:ptCount val="1"/>
                <c:pt idx="0">
                  <c:v>STATOR + ROTOR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NISRE!$BW$57:$BW$77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14.254183829976164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0-4781-A69E-37BAFE76F3A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0-4781-A69E-37BAFE7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392"/>
        <c:axId val="107210240"/>
      </c:scatterChart>
      <c:valAx>
        <c:axId val="107179392"/>
        <c:scaling>
          <c:orientation val="minMax"/>
          <c:max val="30"/>
          <c:min val="13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S stator + rotor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10240"/>
        <c:crosses val="autoZero"/>
        <c:crossBetween val="midCat"/>
      </c:valAx>
      <c:valAx>
        <c:axId val="10721024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699E-2"/>
              <c:y val="0.4046934939006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79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195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NISRE!$AP$56</c:f>
              <c:strCache>
                <c:ptCount val="1"/>
                <c:pt idx="0">
                  <c:v>Vz3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NISRE!$AP$57:$AP$77</c:f>
              <c:numCache>
                <c:formatCode>General</c:formatCode>
                <c:ptCount val="21"/>
                <c:pt idx="0">
                  <c:v>250.6584673178767</c:v>
                </c:pt>
                <c:pt idx="1">
                  <c:v>251.12954764672853</c:v>
                </c:pt>
                <c:pt idx="2">
                  <c:v>251.58688078595844</c:v>
                </c:pt>
                <c:pt idx="3">
                  <c:v>252.03090675790591</c:v>
                </c:pt>
                <c:pt idx="4">
                  <c:v>252.46204819261203</c:v>
                </c:pt>
                <c:pt idx="5">
                  <c:v>252.88071117137034</c:v>
                </c:pt>
                <c:pt idx="6">
                  <c:v>253.28728602103018</c:v>
                </c:pt>
                <c:pt idx="7">
                  <c:v>253.68214806245325</c:v>
                </c:pt>
                <c:pt idx="8">
                  <c:v>254.06565831623811</c:v>
                </c:pt>
                <c:pt idx="9">
                  <c:v>254.43816416859195</c:v>
                </c:pt>
                <c:pt idx="10">
                  <c:v>254.8</c:v>
                </c:pt>
                <c:pt idx="11">
                  <c:v>255.15148777913853</c:v>
                </c:pt>
                <c:pt idx="12">
                  <c:v>255.49293762429517</c:v>
                </c:pt>
                <c:pt idx="13">
                  <c:v>255.82464833438374</c:v>
                </c:pt>
                <c:pt idx="14">
                  <c:v>256.14690789149239</c:v>
                </c:pt>
                <c:pt idx="15">
                  <c:v>256.45999393675606</c:v>
                </c:pt>
                <c:pt idx="16">
                  <c:v>256.76417422121574</c:v>
                </c:pt>
                <c:pt idx="17">
                  <c:v>257.05970703320867</c:v>
                </c:pt>
                <c:pt idx="18">
                  <c:v>257.34684160372092</c:v>
                </c:pt>
                <c:pt idx="19">
                  <c:v>257.62581849103566</c:v>
                </c:pt>
                <c:pt idx="20">
                  <c:v>257.89686994591591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7-4233-817B-8CB3287D743F}"/>
            </c:ext>
          </c:extLst>
        </c:ser>
        <c:ser>
          <c:idx val="3"/>
          <c:order val="1"/>
          <c:tx>
            <c:strRef>
              <c:f>NISRE!$BZ$56</c:f>
              <c:strCache>
                <c:ptCount val="1"/>
                <c:pt idx="0">
                  <c:v>VZ3,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NISRE!$BZ$57:$BZ$77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7-4233-817B-8CB3287D743F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7-4233-817B-8CB3287D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1952"/>
        <c:axId val="107263872"/>
      </c:scatterChart>
      <c:valAx>
        <c:axId val="107261952"/>
        <c:scaling>
          <c:orientation val="minMax"/>
          <c:max val="260"/>
          <c:min val="20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3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63872"/>
        <c:crosses val="autoZero"/>
        <c:crossBetween val="midCat"/>
      </c:valAx>
      <c:valAx>
        <c:axId val="1072638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26195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19712456857471"/>
          <c:y val="2.4929738718659642E-2"/>
          <c:w val="0.27184804674794488"/>
          <c:h val="0.192380977817387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501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7-4CFF-B529-ACAF3AD3BD3B}"/>
            </c:ext>
          </c:extLst>
        </c:ser>
        <c:ser>
          <c:idx val="7"/>
          <c:order val="7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7-4CFF-B529-ACAF3AD3BD3B}"/>
            </c:ext>
          </c:extLst>
        </c:ser>
        <c:ser>
          <c:idx val="8"/>
          <c:order val="8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7-4CFF-B529-ACAF3AD3BD3B}"/>
            </c:ext>
          </c:extLst>
        </c:ser>
        <c:ser>
          <c:idx val="9"/>
          <c:order val="9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7-4CFF-B529-ACAF3AD3BD3B}"/>
            </c:ext>
          </c:extLst>
        </c:ser>
        <c:ser>
          <c:idx val="10"/>
          <c:order val="10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97-4CFF-B529-ACAF3AD3BD3B}"/>
            </c:ext>
          </c:extLst>
        </c:ser>
        <c:ser>
          <c:idx val="11"/>
          <c:order val="11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9797-4CFF-B529-ACAF3AD3BD3B}"/>
              </c:ext>
            </c:extLst>
          </c:dPt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97-4CFF-B529-ACAF3AD3BD3B}"/>
            </c:ext>
          </c:extLst>
        </c:ser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97-4CFF-B529-ACAF3AD3BD3B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97-4CFF-B529-ACAF3AD3BD3B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7-4CFF-B529-ACAF3AD3BD3B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97-4CFF-B529-ACAF3AD3BD3B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97-4CFF-B529-ACAF3AD3BD3B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97-4CFF-B529-ACAF3AD3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504"/>
        <c:axId val="107351040"/>
      </c:scatterChart>
      <c:valAx>
        <c:axId val="107349504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351040"/>
        <c:crossesAt val="0"/>
        <c:crossBetween val="midCat"/>
        <c:majorUnit val="200"/>
      </c:valAx>
      <c:valAx>
        <c:axId val="107351040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349504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243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0-F455-4E61-925F-B5A63A4C051A}"/>
              </c:ext>
            </c:extLst>
          </c:dPt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5-4E61-925F-B5A63A4C051A}"/>
            </c:ext>
          </c:extLst>
        </c:ser>
        <c:ser>
          <c:idx val="7"/>
          <c:order val="7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5-4E61-925F-B5A63A4C051A}"/>
            </c:ext>
          </c:extLst>
        </c:ser>
        <c:ser>
          <c:idx val="8"/>
          <c:order val="8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5-4E61-925F-B5A63A4C051A}"/>
            </c:ext>
          </c:extLst>
        </c:ser>
        <c:ser>
          <c:idx val="9"/>
          <c:order val="9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5-4E61-925F-B5A63A4C051A}"/>
            </c:ext>
          </c:extLst>
        </c:ser>
        <c:ser>
          <c:idx val="10"/>
          <c:order val="10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5-4E61-925F-B5A63A4C051A}"/>
            </c:ext>
          </c:extLst>
        </c:ser>
        <c:ser>
          <c:idx val="11"/>
          <c:order val="11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5-4E61-925F-B5A63A4C051A}"/>
            </c:ext>
          </c:extLst>
        </c:ser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55-4E61-925F-B5A63A4C051A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55-4E61-925F-B5A63A4C051A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5-4E61-925F-B5A63A4C051A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55-4E61-925F-B5A63A4C051A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55-4E61-925F-B5A63A4C051A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55-4E61-925F-B5A63A4C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5696"/>
        <c:axId val="107407232"/>
      </c:scatterChart>
      <c:valAx>
        <c:axId val="1074056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407232"/>
        <c:crossesAt val="0"/>
        <c:crossBetween val="midCat"/>
        <c:majorUnit val="200"/>
      </c:valAx>
      <c:valAx>
        <c:axId val="10740723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056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59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74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D-481A-BFB1-9066F2109231}"/>
            </c:ext>
          </c:extLst>
        </c:ser>
        <c:ser>
          <c:idx val="7"/>
          <c:order val="7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D-481A-BFB1-9066F2109231}"/>
            </c:ext>
          </c:extLst>
        </c:ser>
        <c:ser>
          <c:idx val="8"/>
          <c:order val="8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D-481A-BFB1-9066F2109231}"/>
            </c:ext>
          </c:extLst>
        </c:ser>
        <c:ser>
          <c:idx val="9"/>
          <c:order val="9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D-481A-BFB1-9066F2109231}"/>
            </c:ext>
          </c:extLst>
        </c:ser>
        <c:ser>
          <c:idx val="10"/>
          <c:order val="10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D-481A-BFB1-9066F2109231}"/>
            </c:ext>
          </c:extLst>
        </c:ser>
        <c:ser>
          <c:idx val="11"/>
          <c:order val="11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43FD-481A-BFB1-9066F2109231}"/>
              </c:ext>
            </c:extLst>
          </c:dPt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FD-481A-BFB1-9066F2109231}"/>
            </c:ext>
          </c:extLst>
        </c:ser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FD-481A-BFB1-9066F2109231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FD-481A-BFB1-9066F2109231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FD-481A-BFB1-9066F2109231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FD-481A-BFB1-9066F2109231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FD-481A-BFB1-9066F2109231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FD-481A-BFB1-9066F210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440"/>
        <c:axId val="107507712"/>
      </c:scatterChart>
      <c:valAx>
        <c:axId val="10748544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507712"/>
        <c:crossesAt val="0"/>
        <c:crossBetween val="midCat"/>
        <c:majorUnit val="200"/>
      </c:valAx>
      <c:valAx>
        <c:axId val="10750771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8544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NISRE!$BK$25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NISRE!$BK$26:$BK$46</c:f>
              <c:numCache>
                <c:formatCode>General</c:formatCode>
                <c:ptCount val="21"/>
                <c:pt idx="0">
                  <c:v>7.4055225081588461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6.6715304776474618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7.5126785301201089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1-4109-B9D1-D4FCFFD4496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1-4109-B9D1-D4FCFFD4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9824"/>
        <c:axId val="107551744"/>
      </c:scatterChart>
      <c:valAx>
        <c:axId val="107549824"/>
        <c:scaling>
          <c:orientation val="minMax"/>
          <c:max val="12"/>
          <c:min val="4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ΔS stator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51744"/>
        <c:crosses val="autoZero"/>
        <c:crossBetween val="midCat"/>
      </c:valAx>
      <c:valAx>
        <c:axId val="10755174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4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NISRE!$AR$25</c:f>
              <c:strCache>
                <c:ptCount val="1"/>
                <c:pt idx="0">
                  <c:v>Vz2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NISRE!$AR$26:$AR$46</c:f>
              <c:numCache>
                <c:formatCode>General</c:formatCode>
                <c:ptCount val="21"/>
                <c:pt idx="0">
                  <c:v>225.14689682530067</c:v>
                </c:pt>
                <c:pt idx="1">
                  <c:v>221.98796831174104</c:v>
                </c:pt>
                <c:pt idx="2">
                  <c:v>218.82388876462258</c:v>
                </c:pt>
                <c:pt idx="3">
                  <c:v>215.65368975899966</c:v>
                </c:pt>
                <c:pt idx="4">
                  <c:v>212.47636228423639</c:v>
                </c:pt>
                <c:pt idx="5">
                  <c:v>209.29085283197489</c:v>
                </c:pt>
                <c:pt idx="6">
                  <c:v>206.09605906566733</c:v>
                </c:pt>
                <c:pt idx="7">
                  <c:v>202.8908250131129</c:v>
                </c:pt>
                <c:pt idx="8">
                  <c:v>199.67393571365164</c:v>
                </c:pt>
                <c:pt idx="9">
                  <c:v>196.44411123992757</c:v>
                </c:pt>
                <c:pt idx="10">
                  <c:v>193.2</c:v>
                </c:pt>
                <c:pt idx="11">
                  <c:v>189.94017120849765</c:v>
                </c:pt>
                <c:pt idx="12">
                  <c:v>186.66310639472971</c:v>
                </c:pt>
                <c:pt idx="13">
                  <c:v>183.36718979029465</c:v>
                </c:pt>
                <c:pt idx="14">
                  <c:v>180.0506974075403</c:v>
                </c:pt>
                <c:pt idx="15">
                  <c:v>176.71178458171042</c:v>
                </c:pt>
                <c:pt idx="16">
                  <c:v>173.34847170170434</c:v>
                </c:pt>
                <c:pt idx="17">
                  <c:v>169.95862779444641</c:v>
                </c:pt>
                <c:pt idx="18">
                  <c:v>166.53995155233417</c:v>
                </c:pt>
                <c:pt idx="19">
                  <c:v>163.0899492973611</c:v>
                </c:pt>
                <c:pt idx="20">
                  <c:v>159.6059092528767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6E1-B6F1-D1E66688FDC8}"/>
            </c:ext>
          </c:extLst>
        </c:ser>
        <c:ser>
          <c:idx val="3"/>
          <c:order val="1"/>
          <c:tx>
            <c:strRef>
              <c:f>NISRE!$BQ$25</c:f>
              <c:strCache>
                <c:ptCount val="1"/>
                <c:pt idx="0">
                  <c:v>VZ2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NISRE!$BQ$26:$BQ$46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9-46E1-B6F1-D1E66688FDC8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9-46E1-B6F1-D1E66688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6304"/>
        <c:axId val="107588224"/>
      </c:scatterChart>
      <c:valAx>
        <c:axId val="107586304"/>
        <c:scaling>
          <c:orientation val="minMax"/>
          <c:max val="250"/>
          <c:min val="1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2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8224"/>
        <c:crosses val="autoZero"/>
        <c:crossBetween val="midCat"/>
      </c:valAx>
      <c:valAx>
        <c:axId val="1075882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863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456808312425644"/>
          <c:y val="0.48259545902549628"/>
          <c:w val="0.19644326998607403"/>
          <c:h val="0.202274994793319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5123874802601"/>
          <c:y val="0.20267450990956828"/>
          <c:w val="0.78833229116972459"/>
          <c:h val="0.72804289484756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NISRE!$CE$56</c:f>
              <c:strCache>
                <c:ptCount val="1"/>
                <c:pt idx="0">
                  <c:v>Δβ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NISRE!$CE$57:$CE$77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123.50256049883126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DB3-B485-4D681167B0C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4DB3-B485-4D681167B0C2}"/>
            </c:ext>
          </c:extLst>
        </c:ser>
        <c:ser>
          <c:idx val="2"/>
          <c:order val="2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DB3-B485-4D681167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5168"/>
        <c:axId val="107657472"/>
      </c:scatterChart>
      <c:valAx>
        <c:axId val="107655168"/>
        <c:scaling>
          <c:orientation val="minMax"/>
          <c:max val="135"/>
          <c:min val="115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β</a:t>
                </a:r>
                <a:r>
                  <a:rPr lang="en-US"/>
                  <a:t>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57472"/>
        <c:crosses val="autoZero"/>
        <c:crossBetween val="midCat"/>
      </c:valAx>
      <c:valAx>
        <c:axId val="1076574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5516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341921041632422"/>
          <c:h val="0.1213109012783038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NISRE!$CM$56</c:f>
              <c:strCache>
                <c:ptCount val="1"/>
                <c:pt idx="0">
                  <c:v>AH = u2v2u - u3v3u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NISRE!$CM$57:$CM$77</c:f>
              <c:numCache>
                <c:formatCode>General</c:formatCode>
                <c:ptCount val="21"/>
                <c:pt idx="0">
                  <c:v>391320.86633472145</c:v>
                </c:pt>
                <c:pt idx="1">
                  <c:v>391231.45172335533</c:v>
                </c:pt>
                <c:pt idx="2">
                  <c:v>391142.59146524937</c:v>
                </c:pt>
                <c:pt idx="3">
                  <c:v>391054.27792541304</c:v>
                </c:pt>
                <c:pt idx="4">
                  <c:v>390966.50362381036</c:v>
                </c:pt>
                <c:pt idx="5">
                  <c:v>390879.26123124873</c:v>
                </c:pt>
                <c:pt idx="6">
                  <c:v>390792.54356540123</c:v>
                </c:pt>
                <c:pt idx="7">
                  <c:v>390706.34358695918</c:v>
                </c:pt>
                <c:pt idx="8">
                  <c:v>390620.65439590701</c:v>
                </c:pt>
                <c:pt idx="9">
                  <c:v>390535.46922791807</c:v>
                </c:pt>
                <c:pt idx="10">
                  <c:v>390450.78145086387</c:v>
                </c:pt>
                <c:pt idx="11">
                  <c:v>390366.58456143498</c:v>
                </c:pt>
                <c:pt idx="12">
                  <c:v>390282.87218186725</c:v>
                </c:pt>
                <c:pt idx="13">
                  <c:v>390199.63805677078</c:v>
                </c:pt>
                <c:pt idx="14">
                  <c:v>390116.87605005759</c:v>
                </c:pt>
                <c:pt idx="15">
                  <c:v>390034.58014196373</c:v>
                </c:pt>
                <c:pt idx="16">
                  <c:v>389952.7444261635</c:v>
                </c:pt>
                <c:pt idx="17">
                  <c:v>389871.36310697155</c:v>
                </c:pt>
                <c:pt idx="18">
                  <c:v>389790.43049662921</c:v>
                </c:pt>
                <c:pt idx="19">
                  <c:v>389709.94101267401</c:v>
                </c:pt>
                <c:pt idx="20">
                  <c:v>389629.88917538681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4E8C-A474-927522D3F74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2-4E8C-A474-927522D3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07676032"/>
      </c:scatterChart>
      <c:valAx>
        <c:axId val="107669760"/>
        <c:scaling>
          <c:orientation val="minMax"/>
          <c:max val="400000"/>
          <c:min val="3800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s-ES">
                    <a:latin typeface="Calibri"/>
                  </a:rPr>
                  <a:t>H</a:t>
                </a:r>
                <a:r>
                  <a:rPr lang="en-US"/>
                  <a:t>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76032"/>
        <c:crosses val="autoZero"/>
        <c:crossBetween val="midCat"/>
      </c:valAx>
      <c:valAx>
        <c:axId val="107676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6976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4392377129877387"/>
          <c:y val="6.0432965162984728E-2"/>
          <c:w val="0.32919427871102208"/>
          <c:h val="8.1778946793960264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 ISRE</a:t>
            </a:r>
          </a:p>
        </c:rich>
      </c:tx>
      <c:layout>
        <c:manualLayout>
          <c:xMode val="edge"/>
          <c:yMode val="edge"/>
          <c:x val="0.36602692080108473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E-4576-8A09-5378B2CF49AD}"/>
            </c:ext>
          </c:extLst>
        </c:ser>
        <c:ser>
          <c:idx val="1"/>
          <c:order val="1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576-8A09-5378B2CF49AD}"/>
            </c:ext>
          </c:extLst>
        </c:ser>
        <c:ser>
          <c:idx val="2"/>
          <c:order val="2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E-4576-8A09-5378B2CF49AD}"/>
            </c:ext>
          </c:extLst>
        </c:ser>
        <c:ser>
          <c:idx val="3"/>
          <c:order val="3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E-4576-8A09-5378B2CF49AD}"/>
            </c:ext>
          </c:extLst>
        </c:ser>
        <c:ser>
          <c:idx val="4"/>
          <c:order val="4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E-4576-8A09-5378B2CF49AD}"/>
            </c:ext>
          </c:extLst>
        </c:ser>
        <c:ser>
          <c:idx val="5"/>
          <c:order val="5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E-4576-8A09-5378B2C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3520"/>
        <c:axId val="91085056"/>
      </c:scatterChart>
      <c:valAx>
        <c:axId val="9108352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1085056"/>
        <c:crossesAt val="0"/>
        <c:crossBetween val="midCat"/>
        <c:majorUnit val="200"/>
      </c:valAx>
      <c:valAx>
        <c:axId val="9108505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108352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983539436757237"/>
          <c:y val="0.26523455207366325"/>
          <c:w val="0.4917925974431438"/>
          <c:h val="0.2501267348630050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NISRE!$CK$56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NISRE!$CK$57:$CK$77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F-4F87-8141-5CE6F8754B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F-4F87-8141-5CE6F8754B3F}"/>
            </c:ext>
          </c:extLst>
        </c:ser>
        <c:ser>
          <c:idx val="2"/>
          <c:order val="2"/>
          <c:tx>
            <c:strRef>
              <c:f>NISRE!$BA$56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NISRE!$BA$57:$BA$76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F-4F87-8141-5CE6F875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9760"/>
      </c:scatterChart>
      <c:valAx>
        <c:axId val="107743104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ROTOR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49760"/>
        <c:crosses val="autoZero"/>
        <c:crossBetween val="midCat"/>
      </c:valAx>
      <c:valAx>
        <c:axId val="10774976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431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547390328415473"/>
          <c:h val="0.1272019454747522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NISRE!$CF$56</c:f>
              <c:strCache>
                <c:ptCount val="1"/>
                <c:pt idx="0">
                  <c:v>Δα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NISRE!$CF$57:$CF$77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97.601960741679662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5-43DB-B469-04D5BB75944A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5-43DB-B469-04D5BB75944A}"/>
            </c:ext>
          </c:extLst>
        </c:ser>
        <c:ser>
          <c:idx val="2"/>
          <c:order val="2"/>
          <c:tx>
            <c:strRef>
              <c:f>NISRE!$AT$56</c:f>
              <c:strCache>
                <c:ptCount val="1"/>
                <c:pt idx="0">
                  <c:v>Δα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NISRE!$AT$57:$AT$77</c:f>
              <c:numCache>
                <c:formatCode>General</c:formatCode>
                <c:ptCount val="21"/>
                <c:pt idx="0">
                  <c:v>96.448735526232767</c:v>
                </c:pt>
                <c:pt idx="1">
                  <c:v>96.203295033322917</c:v>
                </c:pt>
                <c:pt idx="2">
                  <c:v>95.966324473883176</c:v>
                </c:pt>
                <c:pt idx="3">
                  <c:v>95.737791552896155</c:v>
                </c:pt>
                <c:pt idx="4">
                  <c:v>95.517670606542964</c:v>
                </c:pt>
                <c:pt idx="5">
                  <c:v>95.305942921849507</c:v>
                </c:pt>
                <c:pt idx="6">
                  <c:v>95.102597097371273</c:v>
                </c:pt>
                <c:pt idx="7">
                  <c:v>94.907629450237394</c:v>
                </c:pt>
                <c:pt idx="8">
                  <c:v>94.721044475798152</c:v>
                </c:pt>
                <c:pt idx="9">
                  <c:v>94.542855367222558</c:v>
                </c:pt>
                <c:pt idx="10">
                  <c:v>94.373084603713295</c:v>
                </c:pt>
                <c:pt idx="11">
                  <c:v>94.211764617593801</c:v>
                </c:pt>
                <c:pt idx="12">
                  <c:v>94.058938552450797</c:v>
                </c:pt>
                <c:pt idx="13">
                  <c:v>93.914661126861844</c:v>
                </c:pt>
                <c:pt idx="14">
                  <c:v>93.778999621116213</c:v>
                </c:pt>
                <c:pt idx="15">
                  <c:v>93.652035007886425</c:v>
                </c:pt>
                <c:pt idx="16">
                  <c:v>93.53386325221706</c:v>
                </c:pt>
                <c:pt idx="17">
                  <c:v>93.424596811701889</c:v>
                </c:pt>
                <c:pt idx="18">
                  <c:v>93.324366374654147</c:v>
                </c:pt>
                <c:pt idx="19">
                  <c:v>93.233322882862296</c:v>
                </c:pt>
                <c:pt idx="20">
                  <c:v>93.151639896755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5-43DB-B469-04D5BB75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6256"/>
        <c:axId val="107787008"/>
      </c:scatterChart>
      <c:valAx>
        <c:axId val="107776256"/>
        <c:scaling>
          <c:orientation val="minMax"/>
          <c:max val="110"/>
          <c:min val="8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α</a:t>
                </a:r>
                <a:r>
                  <a:rPr lang="en-US"/>
                  <a:t>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87008"/>
        <c:crosses val="autoZero"/>
        <c:crossBetween val="midCat"/>
      </c:valAx>
      <c:valAx>
        <c:axId val="1077870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76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77507879405304"/>
          <c:h val="0.127858973366819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NISRE!$CB$25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NISRE!$CB$26:$CB$46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1-493D-8FF5-AF26A46E323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1-493D-8FF5-AF26A46E3232}"/>
            </c:ext>
          </c:extLst>
        </c:ser>
        <c:ser>
          <c:idx val="2"/>
          <c:order val="2"/>
          <c:tx>
            <c:strRef>
              <c:f>NISRE!$BA$25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NISRE!$BA$26:$BA$45</c:f>
              <c:numCache>
                <c:formatCode>0.0000</c:formatCode>
                <c:ptCount val="20"/>
                <c:pt idx="0">
                  <c:v>4.0284355462926247E-2</c:v>
                </c:pt>
                <c:pt idx="1">
                  <c:v>4.0239145669872051E-2</c:v>
                </c:pt>
                <c:pt idx="2">
                  <c:v>4.0178492447182509E-2</c:v>
                </c:pt>
                <c:pt idx="3">
                  <c:v>4.010212099937184E-2</c:v>
                </c:pt>
                <c:pt idx="4">
                  <c:v>4.0009740781559541E-2</c:v>
                </c:pt>
                <c:pt idx="5">
                  <c:v>3.9901044113301608E-2</c:v>
                </c:pt>
                <c:pt idx="6">
                  <c:v>3.9775704648336359E-2</c:v>
                </c:pt>
                <c:pt idx="7">
                  <c:v>3.9633375680025312E-2</c:v>
                </c:pt>
                <c:pt idx="8">
                  <c:v>3.9473688258842496E-2</c:v>
                </c:pt>
                <c:pt idx="9">
                  <c:v>3.9296249094233328E-2</c:v>
                </c:pt>
                <c:pt idx="10">
                  <c:v>3.9100638208303708E-2</c:v>
                </c:pt>
                <c:pt idx="11">
                  <c:v>3.8886406302856932E-2</c:v>
                </c:pt>
                <c:pt idx="12">
                  <c:v>3.8653071794150451E-2</c:v>
                </c:pt>
                <c:pt idx="13">
                  <c:v>3.8400117460935003E-2</c:v>
                </c:pt>
                <c:pt idx="14">
                  <c:v>3.8126986640486582E-2</c:v>
                </c:pt>
                <c:pt idx="15">
                  <c:v>3.7833078894045663E-2</c:v>
                </c:pt>
                <c:pt idx="16">
                  <c:v>3.7517745046276023E-2</c:v>
                </c:pt>
                <c:pt idx="17">
                  <c:v>3.7180281482559772E-2</c:v>
                </c:pt>
                <c:pt idx="18">
                  <c:v>3.6819923561467363E-2</c:v>
                </c:pt>
                <c:pt idx="19">
                  <c:v>3.6435837966128731E-2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1-493D-8FF5-AF26A46E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4128"/>
        <c:axId val="108150784"/>
      </c:scatterChart>
      <c:valAx>
        <c:axId val="108144128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STATOR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8150784"/>
        <c:crosses val="autoZero"/>
        <c:crossBetween val="midCat"/>
      </c:valAx>
      <c:valAx>
        <c:axId val="1081507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144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731184080204788"/>
          <c:y val="7.840713650375003E-2"/>
          <c:w val="0.15781495769418241"/>
          <c:h val="0.1283991935528980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NISRE!$CP$56</c:f>
              <c:strCache>
                <c:ptCount val="1"/>
                <c:pt idx="0">
                  <c:v>Rd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NISRE!$CP$57:$CP$77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0.31647639014923079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8BB-B342-B1C4F1058703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9-48BB-B342-B1C4F1058703}"/>
            </c:ext>
          </c:extLst>
        </c:ser>
        <c:ser>
          <c:idx val="2"/>
          <c:order val="2"/>
          <c:tx>
            <c:strRef>
              <c:f>NISRE!$BI$56</c:f>
              <c:strCache>
                <c:ptCount val="1"/>
                <c:pt idx="0">
                  <c:v>Rd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NISRE!$BI$57:$BI$77</c:f>
              <c:numCache>
                <c:formatCode>General</c:formatCode>
                <c:ptCount val="21"/>
                <c:pt idx="0">
                  <c:v>0.25441750761259818</c:v>
                </c:pt>
                <c:pt idx="1">
                  <c:v>0.26181296734157433</c:v>
                </c:pt>
                <c:pt idx="2">
                  <c:v>0.26911214115938059</c:v>
                </c:pt>
                <c:pt idx="3">
                  <c:v>0.27631664446359572</c:v>
                </c:pt>
                <c:pt idx="4">
                  <c:v>0.28342806402124104</c:v>
                </c:pt>
                <c:pt idx="5">
                  <c:v>0.2904479582776136</c:v>
                </c:pt>
                <c:pt idx="6">
                  <c:v>0.29737785768288577</c:v>
                </c:pt>
                <c:pt idx="7">
                  <c:v>0.30421926503417052</c:v>
                </c:pt>
                <c:pt idx="8">
                  <c:v>0.31097365583093883</c:v>
                </c:pt>
                <c:pt idx="9">
                  <c:v>0.31764247864186834</c:v>
                </c:pt>
                <c:pt idx="10">
                  <c:v>0.32422715548135672</c:v>
                </c:pt>
                <c:pt idx="11">
                  <c:v>0.33072908219410196</c:v>
                </c:pt>
                <c:pt idx="12">
                  <c:v>0.33714962884628896</c:v>
                </c:pt>
                <c:pt idx="13">
                  <c:v>0.3434901401220421</c:v>
                </c:pt>
                <c:pt idx="14">
                  <c:v>0.34975193572394742</c:v>
                </c:pt>
                <c:pt idx="15">
                  <c:v>0.35593631077652971</c:v>
                </c:pt>
                <c:pt idx="16">
                  <c:v>0.3620445362317023</c:v>
                </c:pt>
                <c:pt idx="17">
                  <c:v>0.36807785927527525</c:v>
                </c:pt>
                <c:pt idx="18">
                  <c:v>0.37403750373370076</c:v>
                </c:pt>
                <c:pt idx="19">
                  <c:v>0.3799246704803349</c:v>
                </c:pt>
                <c:pt idx="20">
                  <c:v>0.38574053784053008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9-48BB-B342-B1C4F105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8256"/>
        <c:axId val="107814912"/>
      </c:scatterChart>
      <c:valAx>
        <c:axId val="107808256"/>
        <c:scaling>
          <c:orientation val="minMax"/>
          <c:max val="0.4"/>
          <c:min val="0.1500000000000002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14912"/>
        <c:crosses val="autoZero"/>
        <c:crossBetween val="midCat"/>
      </c:valAx>
      <c:valAx>
        <c:axId val="10781491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08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7901209034637047"/>
          <c:h val="0.112862550075977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C-4ED4-9C58-C32378D3F01D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ED4-9C58-C32378D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4"/>
        <c:axId val="107870464"/>
      </c:scatterChart>
      <c:valAx>
        <c:axId val="107868544"/>
        <c:scaling>
          <c:orientation val="minMax"/>
          <c:max val="124"/>
          <c:min val="116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Δβ </a:t>
                </a:r>
                <a:r>
                  <a:rPr lang="en-US"/>
                  <a:t>ISRE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70464"/>
        <c:crosses val="autoZero"/>
        <c:crossBetween val="midCat"/>
      </c:valAx>
      <c:valAx>
        <c:axId val="10787046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6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NISRE!$BL$56</c:f>
              <c:strCache>
                <c:ptCount val="1"/>
                <c:pt idx="0">
                  <c:v>Rd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NISRE!$BL$57:$BL$77</c:f>
              <c:numCache>
                <c:formatCode>General</c:formatCode>
                <c:ptCount val="21"/>
                <c:pt idx="0">
                  <c:v>0.25030817650751064</c:v>
                </c:pt>
                <c:pt idx="1">
                  <c:v>0.2581291453979645</c:v>
                </c:pt>
                <c:pt idx="2">
                  <c:v>0.26585060849186948</c:v>
                </c:pt>
                <c:pt idx="3">
                  <c:v>0.27347417203317304</c:v>
                </c:pt>
                <c:pt idx="4">
                  <c:v>0.28100141482156016</c:v>
                </c:pt>
                <c:pt idx="5">
                  <c:v>0.28843388845329276</c:v>
                </c:pt>
                <c:pt idx="6">
                  <c:v>0.29577311758365837</c:v>
                </c:pt>
                <c:pt idx="7">
                  <c:v>0.30302060020849747</c:v>
                </c:pt>
                <c:pt idx="8">
                  <c:v>0.31017780796249828</c:v>
                </c:pt>
                <c:pt idx="9">
                  <c:v>0.31724618643214392</c:v>
                </c:pt>
                <c:pt idx="10">
                  <c:v>0.32422715548135672</c:v>
                </c:pt>
                <c:pt idx="11">
                  <c:v>0.33112210958807881</c:v>
                </c:pt>
                <c:pt idx="12">
                  <c:v>0.33793241819015901</c:v>
                </c:pt>
                <c:pt idx="13">
                  <c:v>0.34465942603905991</c:v>
                </c:pt>
                <c:pt idx="14">
                  <c:v>0.3513044535600337</c:v>
                </c:pt>
                <c:pt idx="15">
                  <c:v>0.35786879721753101</c:v>
                </c:pt>
                <c:pt idx="16">
                  <c:v>0.3643537298847177</c:v>
                </c:pt>
                <c:pt idx="17">
                  <c:v>0.37076050121607901</c:v>
                </c:pt>
                <c:pt idx="18">
                  <c:v>0.37709033802216413</c:v>
                </c:pt>
                <c:pt idx="19">
                  <c:v>0.38334444464564987</c:v>
                </c:pt>
                <c:pt idx="20">
                  <c:v>0.38952400333793347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AD7-8F3A-5945916DA9DC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B-4AD7-8F3A-5945916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0432"/>
        <c:axId val="108220800"/>
      </c:scatterChart>
      <c:valAx>
        <c:axId val="108210432"/>
        <c:scaling>
          <c:orientation val="minMax"/>
          <c:max val="0.5"/>
          <c:min val="0.1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Degree of reaction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0800"/>
        <c:crosses val="autoZero"/>
        <c:crossBetween val="midCat"/>
      </c:valAx>
      <c:valAx>
        <c:axId val="1082208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NISRE!$BN$56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NISRE!$BN$57:$BN$77</c:f>
              <c:numCache>
                <c:formatCode>General</c:formatCode>
                <c:ptCount val="21"/>
                <c:pt idx="0">
                  <c:v>9.5809999999988179E-3</c:v>
                </c:pt>
                <c:pt idx="1">
                  <c:v>8.1069999999980654E-3</c:v>
                </c:pt>
                <c:pt idx="2">
                  <c:v>6.6329999999984006E-3</c:v>
                </c:pt>
                <c:pt idx="3">
                  <c:v>5.1589999999986516E-3</c:v>
                </c:pt>
                <c:pt idx="4">
                  <c:v>3.6849999999990449E-3</c:v>
                </c:pt>
                <c:pt idx="5">
                  <c:v>2.2109999999994669E-3</c:v>
                </c:pt>
                <c:pt idx="6">
                  <c:v>7.3699999999981766E-4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7.3699999999981766E-4</c:v>
                </c:pt>
                <c:pt idx="15">
                  <c:v>2.2109999999994669E-3</c:v>
                </c:pt>
                <c:pt idx="16">
                  <c:v>3.6849999999990449E-3</c:v>
                </c:pt>
                <c:pt idx="17">
                  <c:v>5.1589999999986516E-3</c:v>
                </c:pt>
                <c:pt idx="18">
                  <c:v>6.6329999999984006E-3</c:v>
                </c:pt>
                <c:pt idx="19">
                  <c:v>8.1069999999980654E-3</c:v>
                </c:pt>
                <c:pt idx="20">
                  <c:v>9.5809999999988179E-3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43C9-8C79-62E2DEA816BC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9-43C9-8C79-62E2DEA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7664"/>
        <c:axId val="108259584"/>
      </c:scatterChart>
      <c:valAx>
        <c:axId val="108257664"/>
        <c:scaling>
          <c:orientation val="minMax"/>
          <c:max val="8.0000000000000043E-2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59584"/>
        <c:crosses val="autoZero"/>
        <c:crossBetween val="midCat"/>
      </c:valAx>
      <c:valAx>
        <c:axId val="1082595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576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06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NISRE!$BM$56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NISRE!$BM$57:$BM$77</c:f>
              <c:numCache>
                <c:formatCode>General</c:formatCode>
                <c:ptCount val="21"/>
                <c:pt idx="0">
                  <c:v>7.3834754904693309E-2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7.4205661130678544E-2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7.4280115420970919E-2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0-4C0B-BB45-C3B03B2A2874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0-4C0B-BB45-C3B03B2A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9024"/>
        <c:axId val="108299392"/>
      </c:scatterChart>
      <c:valAx>
        <c:axId val="108289024"/>
        <c:scaling>
          <c:orientation val="minMax"/>
          <c:max val="9.0000000000000024E-2"/>
          <c:min val="6.000000000000003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9392"/>
        <c:crosses val="autoZero"/>
        <c:crossBetween val="midCat"/>
      </c:valAx>
      <c:valAx>
        <c:axId val="10829939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89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3367432936051357"/>
          <c:y val="8.9350467550075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NISRE!$BO$56</c:f>
              <c:strCache>
                <c:ptCount val="1"/>
                <c:pt idx="0">
                  <c:v>Clearance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NISRE!$BO$57:$BO$77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3.1832167890308237E-3</c:v>
                </c:pt>
                <c:pt idx="14">
                  <c:v>9.5496503670927154E-3</c:v>
                </c:pt>
                <c:pt idx="15">
                  <c:v>1.5916083945154608E-2</c:v>
                </c:pt>
                <c:pt idx="16">
                  <c:v>2.2282517523216014E-2</c:v>
                </c:pt>
                <c:pt idx="17">
                  <c:v>2.8648951101277655E-2</c:v>
                </c:pt>
                <c:pt idx="18">
                  <c:v>3.5015384679340046E-2</c:v>
                </c:pt>
                <c:pt idx="19">
                  <c:v>4.1381818257401934E-2</c:v>
                </c:pt>
                <c:pt idx="20">
                  <c:v>4.774825183549606E-2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319-9D3D-8EDCB95EC01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C-4319-9D3D-8EDCB95E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9216"/>
        <c:axId val="108347776"/>
      </c:scatterChart>
      <c:valAx>
        <c:axId val="108329216"/>
        <c:scaling>
          <c:orientation val="minMax"/>
          <c:max val="0.1500000000000002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Clearance</a:t>
                </a:r>
                <a:r>
                  <a:rPr lang="es-ES" baseline="0"/>
                  <a:t> loses </a:t>
                </a:r>
                <a:r>
                  <a:rPr lang="el-GR" baseline="0">
                    <a:latin typeface="Calibri"/>
                  </a:rPr>
                  <a:t>ω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  <c:valAx>
        <c:axId val="10834777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292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1643550755964714"/>
          <c:y val="0.24045102086476441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NISRE!$BF$25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NISRE!$BF$26:$BF$46</c:f>
              <c:numCache>
                <c:formatCode>General</c:formatCode>
                <c:ptCount val="21"/>
                <c:pt idx="0">
                  <c:v>3.7968749999997302E-3</c:v>
                </c:pt>
                <c:pt idx="1">
                  <c:v>3.2906249999996085E-3</c:v>
                </c:pt>
                <c:pt idx="2">
                  <c:v>2.7843749999996023E-3</c:v>
                </c:pt>
                <c:pt idx="3">
                  <c:v>2.2781249999997261E-3</c:v>
                </c:pt>
                <c:pt idx="4">
                  <c:v>1.7718749999997435E-3</c:v>
                </c:pt>
                <c:pt idx="5">
                  <c:v>1.2656249999998205E-3</c:v>
                </c:pt>
                <c:pt idx="6">
                  <c:v>7.5937499999990867E-4</c:v>
                </c:pt>
                <c:pt idx="7">
                  <c:v>2.5312499999996171E-4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2.5312499999996171E-4</c:v>
                </c:pt>
                <c:pt idx="14">
                  <c:v>7.5937499999990867E-4</c:v>
                </c:pt>
                <c:pt idx="15">
                  <c:v>1.2656249999998205E-3</c:v>
                </c:pt>
                <c:pt idx="16">
                  <c:v>1.7718749999997435E-3</c:v>
                </c:pt>
                <c:pt idx="17">
                  <c:v>2.2781249999997261E-3</c:v>
                </c:pt>
                <c:pt idx="18">
                  <c:v>2.7843749999996023E-3</c:v>
                </c:pt>
                <c:pt idx="19">
                  <c:v>3.2906249999996085E-3</c:v>
                </c:pt>
                <c:pt idx="20">
                  <c:v>3.7968749999997302E-3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4-4CD6-99DF-9C4051D936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4-4CD6-99DF-9C4051D9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9504"/>
        <c:axId val="108391424"/>
      </c:scatterChart>
      <c:valAx>
        <c:axId val="108389504"/>
        <c:scaling>
          <c:orientation val="minMax"/>
          <c:max val="0.0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91424"/>
        <c:crosses val="autoZero"/>
        <c:crossBetween val="midCat"/>
      </c:valAx>
      <c:valAx>
        <c:axId val="1083914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895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A-4C21-A9AF-D3DAD3B22A70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A-4C21-A9AF-D3DAD3B22A70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A-4C21-A9AF-D3DAD3B22A70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A-4C21-A9AF-D3DAD3B22A70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A-4C21-A9AF-D3DAD3B22A70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A-4C21-A9AF-D3DAD3B2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1312"/>
        <c:axId val="90942848"/>
      </c:scatterChart>
      <c:valAx>
        <c:axId val="909413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0942848"/>
        <c:crossesAt val="0"/>
        <c:crossBetween val="midCat"/>
        <c:majorUnit val="200"/>
      </c:valAx>
      <c:valAx>
        <c:axId val="9094284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09413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NISRE!$BE$25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NISRE!$BE$26:$BE$46</c:f>
              <c:numCache>
                <c:formatCode>General</c:formatCode>
                <c:ptCount val="21"/>
                <c:pt idx="0">
                  <c:v>4.7010066283311863E-2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5.1355763839319904E-2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6.1678775416081508E-2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47B-8EC4-63716039D70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47B-8EC4-63716039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8096"/>
        <c:axId val="108550016"/>
      </c:scatterChart>
      <c:valAx>
        <c:axId val="108548096"/>
        <c:scaling>
          <c:orientation val="minMax"/>
          <c:max val="0.12000000000000002"/>
          <c:min val="2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50016"/>
        <c:crosses val="autoZero"/>
        <c:crossBetween val="midCat"/>
      </c:valAx>
      <c:valAx>
        <c:axId val="10855001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54809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4-400E-B98F-D83B119FF80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4-400E-B98F-D83B119FF80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4-400E-B98F-D83B119FF80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4-400E-B98F-D83B119FF80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4-400E-B98F-D83B119F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8112"/>
        <c:axId val="108620032"/>
      </c:scatterChart>
      <c:valAx>
        <c:axId val="108618112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20032"/>
        <c:crosses val="autoZero"/>
        <c:crossBetween val="midCat"/>
        <c:majorUnit val="25"/>
      </c:valAx>
      <c:valAx>
        <c:axId val="108620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1811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99797613694611"/>
          <c:y val="0.65476350710362485"/>
          <c:w val="0.25295419405455188"/>
          <c:h val="0.1662453087102456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5"/>
          <c:order val="5"/>
          <c:tx>
            <c:strRef>
              <c:f>NISRE!$BV$25</c:f>
              <c:strCache>
                <c:ptCount val="1"/>
                <c:pt idx="0">
                  <c:v>β2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NISRE!$BV$26:$BV$46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55.158182393829989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E-4DDC-AE0B-72A05C94755E}"/>
            </c:ext>
          </c:extLst>
        </c:ser>
        <c:ser>
          <c:idx val="6"/>
          <c:order val="6"/>
          <c:tx>
            <c:strRef>
              <c:f>NISRE!$BS$25</c:f>
              <c:strCache>
                <c:ptCount val="1"/>
                <c:pt idx="0">
                  <c:v>α2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NISRE!$BS$26:$BS$46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76.044966122264526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E-4DDC-AE0B-72A05C94755E}"/>
            </c:ext>
          </c:extLst>
        </c:ser>
        <c:ser>
          <c:idx val="7"/>
          <c:order val="7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E-4DDC-AE0B-72A05C94755E}"/>
            </c:ext>
          </c:extLst>
        </c:ser>
        <c:ser>
          <c:idx val="8"/>
          <c:order val="8"/>
          <c:tx>
            <c:strRef>
              <c:f>NISRE!$CD$56</c:f>
              <c:strCache>
                <c:ptCount val="1"/>
                <c:pt idx="0">
                  <c:v>β3 NISRE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NISRE!$CD$57:$CD$77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-68.344378105001269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E-4DDC-AE0B-72A05C94755E}"/>
            </c:ext>
          </c:extLst>
        </c:ser>
        <c:ser>
          <c:idx val="9"/>
          <c:order val="9"/>
          <c:tx>
            <c:strRef>
              <c:f>NISRE!$CC$56</c:f>
              <c:strCache>
                <c:ptCount val="1"/>
                <c:pt idx="0">
                  <c:v>α3 NISRE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NISRE!$CC$57:$CC$77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-21.556994619415136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E-4DDC-AE0B-72A05C94755E}"/>
            </c:ext>
          </c:extLst>
        </c:ser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E-4DDC-AE0B-72A05C94755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E-4DDC-AE0B-72A05C94755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E-4DDC-AE0B-72A05C94755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E-4DDC-AE0B-72A05C94755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E-4DDC-AE0B-72A05C94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2080"/>
        <c:axId val="108464000"/>
      </c:scatterChart>
      <c:valAx>
        <c:axId val="108462080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64000"/>
        <c:crosses val="autoZero"/>
        <c:crossBetween val="midCat"/>
        <c:majorUnit val="25"/>
      </c:valAx>
      <c:valAx>
        <c:axId val="1084640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620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99797613694611"/>
          <c:y val="0.42342178982754736"/>
          <c:w val="0.25295419405455188"/>
          <c:h val="0.39758701552651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 ISRE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EC5-B054-42289CB5AD4D}"/>
            </c:ext>
          </c:extLst>
        </c:ser>
        <c:ser>
          <c:idx val="1"/>
          <c:order val="1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A-4EC5-B054-42289CB5AD4D}"/>
            </c:ext>
          </c:extLst>
        </c:ser>
        <c:ser>
          <c:idx val="2"/>
          <c:order val="2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A-4EC5-B054-42289CB5AD4D}"/>
            </c:ext>
          </c:extLst>
        </c:ser>
        <c:ser>
          <c:idx val="3"/>
          <c:order val="3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A-4EC5-B054-42289CB5AD4D}"/>
            </c:ext>
          </c:extLst>
        </c:ser>
        <c:ser>
          <c:idx val="4"/>
          <c:order val="4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A-4EC5-B054-42289CB5AD4D}"/>
            </c:ext>
          </c:extLst>
        </c:ser>
        <c:ser>
          <c:idx val="5"/>
          <c:order val="5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A-4EC5-B054-42289CB5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496"/>
        <c:axId val="104956672"/>
      </c:scatterChart>
      <c:valAx>
        <c:axId val="1049384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956672"/>
        <c:crossesAt val="0"/>
        <c:crossBetween val="midCat"/>
        <c:majorUnit val="200"/>
      </c:valAx>
      <c:valAx>
        <c:axId val="10495667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9384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503801947891608"/>
          <c:y val="0.3583671653673583"/>
          <c:w val="0.52997493183741773"/>
          <c:h val="0.20053246084888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 ISRE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A57-8780-02D4E5C340DE}"/>
            </c:ext>
          </c:extLst>
        </c:ser>
        <c:ser>
          <c:idx val="1"/>
          <c:order val="1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1-4A57-8780-02D4E5C340DE}"/>
            </c:ext>
          </c:extLst>
        </c:ser>
        <c:ser>
          <c:idx val="2"/>
          <c:order val="2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1-4A57-8780-02D4E5C340DE}"/>
            </c:ext>
          </c:extLst>
        </c:ser>
        <c:ser>
          <c:idx val="3"/>
          <c:order val="3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1-4A57-8780-02D4E5C340DE}"/>
            </c:ext>
          </c:extLst>
        </c:ser>
        <c:ser>
          <c:idx val="4"/>
          <c:order val="4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1-4A57-8780-02D4E5C340DE}"/>
            </c:ext>
          </c:extLst>
        </c:ser>
        <c:ser>
          <c:idx val="5"/>
          <c:order val="5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1-4A57-8780-02D4E5C3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0272"/>
        <c:axId val="104871808"/>
      </c:scatterChart>
      <c:valAx>
        <c:axId val="1048702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871808"/>
        <c:crossesAt val="0"/>
        <c:crossBetween val="midCat"/>
        <c:majorUnit val="200"/>
      </c:valAx>
      <c:valAx>
        <c:axId val="10487180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8702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7023181926990595"/>
          <c:y val="0.36363946025664107"/>
          <c:w val="0.4878102377203129"/>
          <c:h val="0.2174330839202635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ISRE!$X$53</c:f>
              <c:strCache>
                <c:ptCount val="1"/>
                <c:pt idx="0">
                  <c:v>ma ISRE</c:v>
                </c:pt>
              </c:strCache>
            </c:strRef>
          </c:tx>
          <c:xVal>
            <c:numRef>
              <c:f>ISRE!$C$54:$C$74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xVal>
          <c:yVal>
            <c:numRef>
              <c:f>ISRE!$X$54:$X$73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A-412B-B047-09D107D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28"/>
        <c:axId val="105035264"/>
      </c:scatterChart>
      <c:valAx>
        <c:axId val="105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5264"/>
        <c:crosses val="autoZero"/>
        <c:crossBetween val="midCat"/>
      </c:valAx>
      <c:valAx>
        <c:axId val="105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49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1-4711-8031-AD4A740353C0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1-4711-8031-AD4A740353C0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1-4711-8031-AD4A740353C0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1-4711-8031-AD4A740353C0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1-4711-8031-AD4A740353C0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1-4711-8031-AD4A7403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4112"/>
        <c:axId val="105185664"/>
      </c:scatterChart>
      <c:valAx>
        <c:axId val="1064741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185664"/>
        <c:crossesAt val="0"/>
        <c:crossBetween val="midCat"/>
        <c:majorUnit val="200"/>
      </c:valAx>
      <c:valAx>
        <c:axId val="10518566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64741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177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4D5-AD63-CAF296DE8282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44D5-AD63-CAF296DE8282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8-44D5-AD63-CAF296DE8282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44D5-AD63-CAF296DE8282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8-44D5-AD63-CAF296DE8282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8-44D5-AD63-CAF296D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048"/>
        <c:axId val="105219584"/>
      </c:scatterChart>
      <c:valAx>
        <c:axId val="105218048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219584"/>
        <c:crossesAt val="0"/>
        <c:crossBetween val="midCat"/>
        <c:majorUnit val="200"/>
      </c:valAx>
      <c:valAx>
        <c:axId val="10521958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5218048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61D-BDF0-97F47D08C03E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61D-BDF0-97F47D08C03E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461D-BDF0-97F47D08C03E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1-461D-BDF0-97F47D08C03E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11-461D-BDF0-97F47D08C03E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1-461D-BDF0-97F47D08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456"/>
        <c:axId val="107108992"/>
      </c:scatterChart>
      <c:valAx>
        <c:axId val="10710745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108992"/>
        <c:crossesAt val="0"/>
        <c:crossBetween val="midCat"/>
        <c:majorUnit val="200"/>
      </c:valAx>
      <c:valAx>
        <c:axId val="1071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0745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48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104775</xdr:rowOff>
    </xdr:from>
    <xdr:to>
      <xdr:col>13</xdr:col>
      <xdr:colOff>19050</xdr:colOff>
      <xdr:row>8</xdr:row>
      <xdr:rowOff>95250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296525" y="1066800"/>
          <a:ext cx="21907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Our blade is really low,</a:t>
          </a:r>
          <a:r>
            <a:rPr lang="es-ES" sz="1100" baseline="0"/>
            <a:t> we are going to have a low</a:t>
          </a:r>
        </a:p>
        <a:p>
          <a:r>
            <a:rPr lang="es-ES" sz="1100" baseline="0"/>
            <a:t>we will have a clearance loses higher than what was usual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649941</xdr:colOff>
      <xdr:row>32</xdr:row>
      <xdr:rowOff>168088</xdr:rowOff>
    </xdr:from>
    <xdr:to>
      <xdr:col>31</xdr:col>
      <xdr:colOff>367147</xdr:colOff>
      <xdr:row>56</xdr:row>
      <xdr:rowOff>134470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1255059</xdr:colOff>
      <xdr:row>172</xdr:row>
      <xdr:rowOff>78441</xdr:rowOff>
    </xdr:from>
    <xdr:to>
      <xdr:col>6</xdr:col>
      <xdr:colOff>672353</xdr:colOff>
      <xdr:row>178</xdr:row>
      <xdr:rowOff>11207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8617324" y="33113382"/>
          <a:ext cx="1680882" cy="5042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16300</xdr:colOff>
      <xdr:row>79</xdr:row>
      <xdr:rowOff>22411</xdr:rowOff>
    </xdr:from>
    <xdr:to>
      <xdr:col>26</xdr:col>
      <xdr:colOff>930087</xdr:colOff>
      <xdr:row>99</xdr:row>
      <xdr:rowOff>100852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503464</xdr:colOff>
      <xdr:row>101</xdr:row>
      <xdr:rowOff>81643</xdr:rowOff>
    </xdr:from>
    <xdr:to>
      <xdr:col>32</xdr:col>
      <xdr:colOff>353786</xdr:colOff>
      <xdr:row>121</xdr:row>
      <xdr:rowOff>108857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868966</xdr:colOff>
      <xdr:row>101</xdr:row>
      <xdr:rowOff>123264</xdr:rowOff>
    </xdr:from>
    <xdr:to>
      <xdr:col>26</xdr:col>
      <xdr:colOff>907675</xdr:colOff>
      <xdr:row>121</xdr:row>
      <xdr:rowOff>112059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862854</xdr:colOff>
      <xdr:row>123</xdr:row>
      <xdr:rowOff>0</xdr:rowOff>
    </xdr:from>
    <xdr:to>
      <xdr:col>26</xdr:col>
      <xdr:colOff>986118</xdr:colOff>
      <xdr:row>146</xdr:row>
      <xdr:rowOff>67236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688361</xdr:colOff>
      <xdr:row>75</xdr:row>
      <xdr:rowOff>92048</xdr:rowOff>
    </xdr:from>
    <xdr:to>
      <xdr:col>9</xdr:col>
      <xdr:colOff>353785</xdr:colOff>
      <xdr:row>77</xdr:row>
      <xdr:rowOff>149678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23790" y="14719727"/>
          <a:ext cx="5502888" cy="438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35</xdr:col>
      <xdr:colOff>403411</xdr:colOff>
      <xdr:row>59</xdr:row>
      <xdr:rowOff>67236</xdr:rowOff>
    </xdr:from>
    <xdr:ext cx="2422330" cy="95346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9168911" y="10746442"/>
          <a:ext cx="242233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The method</a:t>
          </a:r>
          <a:r>
            <a:rPr lang="es-ES" sz="1100" baseline="0"/>
            <a:t> of  using </a:t>
          </a:r>
        </a:p>
        <a:p>
          <a:r>
            <a:rPr lang="es-ES" sz="1100" baseline="0"/>
            <a:t>T03 or T03r is not giving the same </a:t>
          </a:r>
        </a:p>
        <a:p>
          <a:r>
            <a:rPr lang="es-ES" sz="1100" baseline="0"/>
            <a:t>because the solution is giving different</a:t>
          </a:r>
        </a:p>
        <a:p>
          <a:r>
            <a:rPr lang="es-ES" sz="1100" baseline="0"/>
            <a:t>values of T03 or T03r the reason is that</a:t>
          </a:r>
        </a:p>
        <a:p>
          <a:r>
            <a:rPr lang="es-ES" sz="1100" baseline="0"/>
            <a:t>we are no at the same streamtube</a:t>
          </a:r>
        </a:p>
      </xdr:txBody>
    </xdr:sp>
    <xdr:clientData/>
  </xdr:oneCellAnchor>
  <xdr:twoCellAnchor>
    <xdr:from>
      <xdr:col>23</xdr:col>
      <xdr:colOff>1143001</xdr:colOff>
      <xdr:row>27</xdr:row>
      <xdr:rowOff>68036</xdr:rowOff>
    </xdr:from>
    <xdr:to>
      <xdr:col>28</xdr:col>
      <xdr:colOff>326573</xdr:colOff>
      <xdr:row>41</xdr:row>
      <xdr:rowOff>68035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757756</xdr:colOff>
      <xdr:row>83</xdr:row>
      <xdr:rowOff>35487</xdr:rowOff>
    </xdr:from>
    <xdr:to>
      <xdr:col>64</xdr:col>
      <xdr:colOff>558427</xdr:colOff>
      <xdr:row>104</xdr:row>
      <xdr:rowOff>158751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975979</xdr:colOff>
      <xdr:row>156</xdr:row>
      <xdr:rowOff>8803</xdr:rowOff>
    </xdr:from>
    <xdr:to>
      <xdr:col>64</xdr:col>
      <xdr:colOff>476250</xdr:colOff>
      <xdr:row>176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837216</xdr:colOff>
      <xdr:row>105</xdr:row>
      <xdr:rowOff>141941</xdr:rowOff>
    </xdr:from>
    <xdr:to>
      <xdr:col>64</xdr:col>
      <xdr:colOff>818030</xdr:colOff>
      <xdr:row>126</xdr:row>
      <xdr:rowOff>52294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593912</xdr:colOff>
      <xdr:row>127</xdr:row>
      <xdr:rowOff>136337</xdr:rowOff>
    </xdr:from>
    <xdr:to>
      <xdr:col>64</xdr:col>
      <xdr:colOff>554692</xdr:colOff>
      <xdr:row>152</xdr:row>
      <xdr:rowOff>91512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280147</xdr:colOff>
      <xdr:row>78</xdr:row>
      <xdr:rowOff>78441</xdr:rowOff>
    </xdr:from>
    <xdr:to>
      <xdr:col>46</xdr:col>
      <xdr:colOff>403411</xdr:colOff>
      <xdr:row>80</xdr:row>
      <xdr:rowOff>100853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51747" y="13803966"/>
          <a:ext cx="5600139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94</xdr:col>
      <xdr:colOff>757197</xdr:colOff>
      <xdr:row>79</xdr:row>
      <xdr:rowOff>53629</xdr:rowOff>
    </xdr:from>
    <xdr:ext cx="6861622" cy="43678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05967626" y="15606593"/>
          <a:ext cx="686162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To compute</a:t>
          </a:r>
          <a:r>
            <a:rPr lang="es-ES" sz="1100" baseline="0"/>
            <a:t> the degree of reaction take teh T02, use the work to extract the t03, adn then with teh speed v3 take T3</a:t>
          </a:r>
        </a:p>
        <a:p>
          <a:endParaRPr lang="es-ES" sz="1100" baseline="0"/>
        </a:p>
      </xdr:txBody>
    </xdr:sp>
    <xdr:clientData/>
  </xdr:oneCellAnchor>
  <xdr:twoCellAnchor>
    <xdr:from>
      <xdr:col>83</xdr:col>
      <xdr:colOff>672872</xdr:colOff>
      <xdr:row>115</xdr:row>
      <xdr:rowOff>41461</xdr:rowOff>
    </xdr:from>
    <xdr:to>
      <xdr:col>86</xdr:col>
      <xdr:colOff>893307</xdr:colOff>
      <xdr:row>133</xdr:row>
      <xdr:rowOff>85724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421821</xdr:colOff>
      <xdr:row>91</xdr:row>
      <xdr:rowOff>108696</xdr:rowOff>
    </xdr:from>
    <xdr:to>
      <xdr:col>86</xdr:col>
      <xdr:colOff>971550</xdr:colOff>
      <xdr:row>111</xdr:row>
      <xdr:rowOff>81643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432707</xdr:colOff>
      <xdr:row>89</xdr:row>
      <xdr:rowOff>40182</xdr:rowOff>
    </xdr:from>
    <xdr:to>
      <xdr:col>71</xdr:col>
      <xdr:colOff>1224643</xdr:colOff>
      <xdr:row>114</xdr:row>
      <xdr:rowOff>171450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449034</xdr:colOff>
      <xdr:row>119</xdr:row>
      <xdr:rowOff>179134</xdr:rowOff>
    </xdr:from>
    <xdr:to>
      <xdr:col>72</xdr:col>
      <xdr:colOff>43543</xdr:colOff>
      <xdr:row>142</xdr:row>
      <xdr:rowOff>73479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598715</xdr:colOff>
      <xdr:row>147</xdr:row>
      <xdr:rowOff>125985</xdr:rowOff>
    </xdr:from>
    <xdr:to>
      <xdr:col>72</xdr:col>
      <xdr:colOff>315686</xdr:colOff>
      <xdr:row>172</xdr:row>
      <xdr:rowOff>70756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802821</xdr:colOff>
      <xdr:row>0</xdr:row>
      <xdr:rowOff>40822</xdr:rowOff>
    </xdr:from>
    <xdr:to>
      <xdr:col>77</xdr:col>
      <xdr:colOff>312964</xdr:colOff>
      <xdr:row>18</xdr:row>
      <xdr:rowOff>149679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449037</xdr:colOff>
      <xdr:row>0</xdr:row>
      <xdr:rowOff>27213</xdr:rowOff>
    </xdr:from>
    <xdr:to>
      <xdr:col>82</xdr:col>
      <xdr:colOff>1</xdr:colOff>
      <xdr:row>19</xdr:row>
      <xdr:rowOff>40820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122464</xdr:colOff>
      <xdr:row>137</xdr:row>
      <xdr:rowOff>78240</xdr:rowOff>
    </xdr:from>
    <xdr:to>
      <xdr:col>86</xdr:col>
      <xdr:colOff>653143</xdr:colOff>
      <xdr:row>156</xdr:row>
      <xdr:rowOff>176893</xdr:rowOff>
    </xdr:to>
    <xdr:graphicFrame macro="">
      <xdr:nvGraphicFramePr>
        <xdr:cNvPr id="28" name="27 Gráfic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87</xdr:col>
      <xdr:colOff>689161</xdr:colOff>
      <xdr:row>92</xdr:row>
      <xdr:rowOff>108857</xdr:rowOff>
    </xdr:from>
    <xdr:to>
      <xdr:col>93</xdr:col>
      <xdr:colOff>149677</xdr:colOff>
      <xdr:row>111</xdr:row>
      <xdr:rowOff>160325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602424</xdr:colOff>
      <xdr:row>115</xdr:row>
      <xdr:rowOff>158338</xdr:rowOff>
    </xdr:from>
    <xdr:to>
      <xdr:col>82</xdr:col>
      <xdr:colOff>1428749</xdr:colOff>
      <xdr:row>134</xdr:row>
      <xdr:rowOff>149679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646957</xdr:colOff>
      <xdr:row>94</xdr:row>
      <xdr:rowOff>0</xdr:rowOff>
    </xdr:from>
    <xdr:to>
      <xdr:col>82</xdr:col>
      <xdr:colOff>1660071</xdr:colOff>
      <xdr:row>112</xdr:row>
      <xdr:rowOff>163286</xdr:rowOff>
    </xdr:to>
    <xdr:graphicFrame macro="">
      <xdr:nvGraphicFramePr>
        <xdr:cNvPr id="31" name="30 Gráfic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0</xdr:colOff>
      <xdr:row>0</xdr:row>
      <xdr:rowOff>23505</xdr:rowOff>
    </xdr:from>
    <xdr:to>
      <xdr:col>73</xdr:col>
      <xdr:colOff>660810</xdr:colOff>
      <xdr:row>18</xdr:row>
      <xdr:rowOff>67768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612322</xdr:colOff>
      <xdr:row>116</xdr:row>
      <xdr:rowOff>163286</xdr:rowOff>
    </xdr:from>
    <xdr:to>
      <xdr:col>93</xdr:col>
      <xdr:colOff>223900</xdr:colOff>
      <xdr:row>135</xdr:row>
      <xdr:rowOff>136072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1006928</xdr:colOff>
      <xdr:row>105</xdr:row>
      <xdr:rowOff>54429</xdr:rowOff>
    </xdr:from>
    <xdr:to>
      <xdr:col>58</xdr:col>
      <xdr:colOff>693965</xdr:colOff>
      <xdr:row>125</xdr:row>
      <xdr:rowOff>54428</xdr:rowOff>
    </xdr:to>
    <xdr:graphicFrame macro="">
      <xdr:nvGraphicFramePr>
        <xdr:cNvPr id="38" name="37 Gráfic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898071</xdr:colOff>
      <xdr:row>83</xdr:row>
      <xdr:rowOff>81644</xdr:rowOff>
    </xdr:from>
    <xdr:to>
      <xdr:col>58</xdr:col>
      <xdr:colOff>639536</xdr:colOff>
      <xdr:row>103</xdr:row>
      <xdr:rowOff>81643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139165</xdr:colOff>
      <xdr:row>97</xdr:row>
      <xdr:rowOff>119990</xdr:rowOff>
    </xdr:from>
    <xdr:to>
      <xdr:col>77</xdr:col>
      <xdr:colOff>212395</xdr:colOff>
      <xdr:row>115</xdr:row>
      <xdr:rowOff>144461</xdr:rowOff>
    </xdr:to>
    <xdr:graphicFrame macro="">
      <xdr:nvGraphicFramePr>
        <xdr:cNvPr id="40" name="39 Gráfic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934812</xdr:colOff>
      <xdr:row>121</xdr:row>
      <xdr:rowOff>168728</xdr:rowOff>
    </xdr:from>
    <xdr:to>
      <xdr:col>77</xdr:col>
      <xdr:colOff>978354</xdr:colOff>
      <xdr:row>139</xdr:row>
      <xdr:rowOff>158562</xdr:rowOff>
    </xdr:to>
    <xdr:graphicFrame macro="">
      <xdr:nvGraphicFramePr>
        <xdr:cNvPr id="41" name="40 Gráfic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503465</xdr:colOff>
      <xdr:row>139</xdr:row>
      <xdr:rowOff>106136</xdr:rowOff>
    </xdr:from>
    <xdr:to>
      <xdr:col>82</xdr:col>
      <xdr:colOff>1205593</xdr:colOff>
      <xdr:row>157</xdr:row>
      <xdr:rowOff>95970</xdr:rowOff>
    </xdr:to>
    <xdr:graphicFrame macro="">
      <xdr:nvGraphicFramePr>
        <xdr:cNvPr id="42" name="41 Gráfic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990848</xdr:colOff>
      <xdr:row>0</xdr:row>
      <xdr:rowOff>27215</xdr:rowOff>
    </xdr:from>
    <xdr:to>
      <xdr:col>66</xdr:col>
      <xdr:colOff>216725</xdr:colOff>
      <xdr:row>18</xdr:row>
      <xdr:rowOff>13337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338943</xdr:colOff>
      <xdr:row>0</xdr:row>
      <xdr:rowOff>27214</xdr:rowOff>
    </xdr:from>
    <xdr:to>
      <xdr:col>70</xdr:col>
      <xdr:colOff>0</xdr:colOff>
      <xdr:row>18</xdr:row>
      <xdr:rowOff>7522</xdr:rowOff>
    </xdr:to>
    <xdr:graphicFrame macro="">
      <xdr:nvGraphicFramePr>
        <xdr:cNvPr id="44" name="43 Gráfic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769424</xdr:colOff>
      <xdr:row>129</xdr:row>
      <xdr:rowOff>153884</xdr:rowOff>
    </xdr:from>
    <xdr:to>
      <xdr:col>58</xdr:col>
      <xdr:colOff>654443</xdr:colOff>
      <xdr:row>148</xdr:row>
      <xdr:rowOff>171573</xdr:rowOff>
    </xdr:to>
    <xdr:graphicFrame macro="">
      <xdr:nvGraphicFramePr>
        <xdr:cNvPr id="37" name="36 Gráfic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79</xdr:col>
      <xdr:colOff>316427</xdr:colOff>
      <xdr:row>160</xdr:row>
      <xdr:rowOff>104898</xdr:rowOff>
    </xdr:from>
    <xdr:to>
      <xdr:col>82</xdr:col>
      <xdr:colOff>1390959</xdr:colOff>
      <xdr:row>179</xdr:row>
      <xdr:rowOff>105269</xdr:rowOff>
    </xdr:to>
    <xdr:graphicFrame macro="">
      <xdr:nvGraphicFramePr>
        <xdr:cNvPr id="45" name="44 Gráfic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Interpolac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  <sheetName val="Interpolacion"/>
    </sheetNames>
    <definedNames>
      <definedName name="cerch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70" zoomScaleNormal="70" workbookViewId="0">
      <selection activeCell="E22" sqref="E22"/>
    </sheetView>
  </sheetViews>
  <sheetFormatPr defaultColWidth="11.42578125" defaultRowHeight="15" x14ac:dyDescent="0.25"/>
  <cols>
    <col min="1" max="1" width="19.140625" customWidth="1"/>
    <col min="3" max="3" width="37.7109375" bestFit="1" customWidth="1"/>
    <col min="6" max="6" width="27.85546875" customWidth="1"/>
  </cols>
  <sheetData>
    <row r="1" spans="1:16" ht="26.25" x14ac:dyDescent="0.4">
      <c r="A1" s="1" t="s">
        <v>0</v>
      </c>
      <c r="C1" s="222" t="s">
        <v>774</v>
      </c>
    </row>
    <row r="2" spans="1:16" ht="15.75" thickBot="1" x14ac:dyDescent="0.3"/>
    <row r="3" spans="1:16" ht="15.75" thickBot="1" x14ac:dyDescent="0.3">
      <c r="A3" s="228" t="s">
        <v>1</v>
      </c>
      <c r="B3" s="229"/>
      <c r="C3" s="230"/>
      <c r="F3" s="234" t="s">
        <v>16</v>
      </c>
      <c r="G3" s="234"/>
      <c r="H3" s="234"/>
    </row>
    <row r="4" spans="1:16" x14ac:dyDescent="0.25">
      <c r="A4" s="9" t="s">
        <v>8</v>
      </c>
      <c r="B4" s="3">
        <v>101325</v>
      </c>
      <c r="C4" s="5" t="s">
        <v>12</v>
      </c>
      <c r="F4" s="10" t="s">
        <v>17</v>
      </c>
      <c r="G4" s="11">
        <v>0.82</v>
      </c>
      <c r="H4" s="12"/>
    </row>
    <row r="5" spans="1:16" x14ac:dyDescent="0.25">
      <c r="A5" s="9" t="s">
        <v>7</v>
      </c>
      <c r="B5" s="3">
        <v>288</v>
      </c>
      <c r="C5" s="5" t="s">
        <v>13</v>
      </c>
      <c r="F5" s="9" t="s">
        <v>18</v>
      </c>
      <c r="G5" s="3">
        <v>0.94</v>
      </c>
      <c r="H5" s="5"/>
    </row>
    <row r="6" spans="1:16" x14ac:dyDescent="0.25">
      <c r="A6" s="4" t="s">
        <v>9</v>
      </c>
      <c r="B6" s="3">
        <v>4</v>
      </c>
      <c r="C6" s="5" t="s">
        <v>14</v>
      </c>
      <c r="F6" s="9" t="s">
        <v>19</v>
      </c>
      <c r="G6" s="3">
        <v>0.83599999999999997</v>
      </c>
      <c r="H6" s="5"/>
    </row>
    <row r="7" spans="1:16" x14ac:dyDescent="0.25">
      <c r="A7" s="4" t="s">
        <v>10</v>
      </c>
      <c r="B7" s="3">
        <v>1400</v>
      </c>
      <c r="C7" s="5" t="s">
        <v>13</v>
      </c>
      <c r="F7" s="9" t="s">
        <v>20</v>
      </c>
      <c r="G7" s="3">
        <v>0.89</v>
      </c>
      <c r="H7" s="5"/>
    </row>
    <row r="8" spans="1:16" ht="15.75" thickBot="1" x14ac:dyDescent="0.3">
      <c r="A8" s="6" t="s">
        <v>11</v>
      </c>
      <c r="B8" s="7">
        <v>150000</v>
      </c>
      <c r="C8" s="8" t="s">
        <v>15</v>
      </c>
      <c r="D8">
        <v>201</v>
      </c>
      <c r="E8" t="s">
        <v>21</v>
      </c>
      <c r="F8" s="13" t="s">
        <v>22</v>
      </c>
      <c r="G8" s="14">
        <v>44400000</v>
      </c>
      <c r="H8" s="8" t="s">
        <v>190</v>
      </c>
      <c r="I8" t="s">
        <v>23</v>
      </c>
      <c r="K8" s="14">
        <v>34800000</v>
      </c>
      <c r="L8" t="s">
        <v>24</v>
      </c>
      <c r="M8">
        <v>719.7</v>
      </c>
      <c r="N8" t="s">
        <v>40</v>
      </c>
      <c r="O8">
        <v>0.76</v>
      </c>
      <c r="P8" t="s">
        <v>25</v>
      </c>
    </row>
    <row r="9" spans="1:16" ht="15.75" thickBot="1" x14ac:dyDescent="0.3">
      <c r="A9" s="17"/>
      <c r="B9" s="18"/>
      <c r="C9" s="19"/>
      <c r="F9" s="20" t="s">
        <v>52</v>
      </c>
      <c r="G9" s="21">
        <v>0.91</v>
      </c>
      <c r="H9" s="2"/>
    </row>
    <row r="10" spans="1:16" x14ac:dyDescent="0.25">
      <c r="A10" s="231" t="s">
        <v>2</v>
      </c>
      <c r="B10" s="232"/>
      <c r="C10" s="233"/>
      <c r="F10" s="15" t="s">
        <v>37</v>
      </c>
      <c r="G10" s="16">
        <v>0.98</v>
      </c>
    </row>
    <row r="11" spans="1:16" x14ac:dyDescent="0.25">
      <c r="A11" s="4" t="s">
        <v>3</v>
      </c>
      <c r="B11" s="3">
        <v>1.4</v>
      </c>
      <c r="C11" s="5"/>
      <c r="F11" s="15" t="s">
        <v>189</v>
      </c>
      <c r="G11" s="16">
        <v>0.89</v>
      </c>
    </row>
    <row r="12" spans="1:16" x14ac:dyDescent="0.25">
      <c r="A12" s="4" t="s">
        <v>5</v>
      </c>
      <c r="B12" s="3">
        <v>1000</v>
      </c>
      <c r="C12" s="5" t="s">
        <v>26</v>
      </c>
    </row>
    <row r="13" spans="1:16" x14ac:dyDescent="0.25">
      <c r="A13" s="4" t="s">
        <v>4</v>
      </c>
      <c r="B13" s="3">
        <v>1.3</v>
      </c>
      <c r="C13" s="5"/>
    </row>
    <row r="14" spans="1:16" ht="15.75" thickBot="1" x14ac:dyDescent="0.3">
      <c r="A14" s="6" t="s">
        <v>6</v>
      </c>
      <c r="B14" s="7">
        <v>1240</v>
      </c>
      <c r="C14" s="8" t="s">
        <v>26</v>
      </c>
    </row>
    <row r="15" spans="1:16" x14ac:dyDescent="0.25">
      <c r="A15" s="31" t="s">
        <v>100</v>
      </c>
      <c r="B15" s="16">
        <v>287</v>
      </c>
      <c r="C15" t="s">
        <v>26</v>
      </c>
    </row>
  </sheetData>
  <mergeCells count="3">
    <mergeCell ref="A3:C3"/>
    <mergeCell ref="A10:C10"/>
    <mergeCell ref="F3:H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zoomScale="85" zoomScaleNormal="85" workbookViewId="0">
      <selection activeCell="D40" sqref="D40"/>
    </sheetView>
  </sheetViews>
  <sheetFormatPr defaultColWidth="11.42578125" defaultRowHeight="15" x14ac:dyDescent="0.25"/>
  <cols>
    <col min="1" max="1" width="16.85546875" bestFit="1" customWidth="1"/>
    <col min="2" max="2" width="15.7109375" customWidth="1"/>
    <col min="6" max="6" width="25.28515625" bestFit="1" customWidth="1"/>
    <col min="7" max="7" width="23.140625" customWidth="1"/>
    <col min="8" max="8" width="29.42578125" customWidth="1"/>
  </cols>
  <sheetData>
    <row r="1" spans="1:12" ht="15.75" thickBot="1" x14ac:dyDescent="0.3">
      <c r="A1" s="245" t="str">
        <f>'Given parameter &amp; assumptions'!A3:C3</f>
        <v>Given parameters</v>
      </c>
      <c r="B1" s="246"/>
      <c r="C1" s="247"/>
      <c r="F1" s="242" t="str">
        <f>'Given parameter &amp; assumptions'!F3:G3</f>
        <v>Assumptions</v>
      </c>
      <c r="G1" s="243"/>
      <c r="H1" s="244"/>
    </row>
    <row r="2" spans="1:12" x14ac:dyDescent="0.25">
      <c r="A2" s="25" t="str">
        <f>'Given parameter &amp; assumptions'!A4:C4</f>
        <v>P01</v>
      </c>
      <c r="B2" s="25">
        <f>'Given parameter &amp; assumptions'!B4:D4</f>
        <v>101325</v>
      </c>
      <c r="C2" s="25" t="str">
        <f>'Given parameter &amp; assumptions'!C4:E4</f>
        <v>Pa</v>
      </c>
      <c r="D2">
        <f>'Given parameter &amp; assumptions'!D4:E4</f>
        <v>0</v>
      </c>
      <c r="E2">
        <f>'Given parameter &amp; assumptions'!E4:F4</f>
        <v>0</v>
      </c>
      <c r="F2" s="3" t="str">
        <f>'Given parameter &amp; assumptions'!F4:G4</f>
        <v>Compressor efficiency</v>
      </c>
      <c r="G2" s="3">
        <f>'Given parameter &amp; assumptions'!F4:H4</f>
        <v>0.82</v>
      </c>
      <c r="H2" s="3"/>
      <c r="I2" t="s">
        <v>64</v>
      </c>
    </row>
    <row r="3" spans="1:12" x14ac:dyDescent="0.25">
      <c r="A3" s="3" t="str">
        <f>'Given parameter &amp; assumptions'!A5:C5</f>
        <v>T01</v>
      </c>
      <c r="B3" s="3">
        <f>'Given parameter &amp; assumptions'!B5:D5</f>
        <v>288</v>
      </c>
      <c r="C3" s="3" t="str">
        <f>'Given parameter &amp; assumptions'!C5:E5</f>
        <v>K</v>
      </c>
      <c r="D3">
        <f>'Given parameter &amp; assumptions'!D5:E5</f>
        <v>0</v>
      </c>
      <c r="E3">
        <f>'Given parameter &amp; assumptions'!E5:F5</f>
        <v>0</v>
      </c>
      <c r="F3" s="3" t="str">
        <f>'Given parameter &amp; assumptions'!F5:G5</f>
        <v>Shaft efficiency</v>
      </c>
      <c r="G3" s="3">
        <f>'Given parameter &amp; assumptions'!F5:H5</f>
        <v>0.94</v>
      </c>
      <c r="H3" s="3"/>
      <c r="L3" t="s">
        <v>65</v>
      </c>
    </row>
    <row r="4" spans="1:12" x14ac:dyDescent="0.25">
      <c r="A4" s="3" t="str">
        <f>'Given parameter &amp; assumptions'!A6:C6</f>
        <v>πc</v>
      </c>
      <c r="B4" s="3">
        <f>'Given parameter &amp; assumptions'!B6:D6</f>
        <v>4</v>
      </c>
      <c r="C4" s="3" t="str">
        <f>'Given parameter &amp; assumptions'!C6:E6</f>
        <v>[-]</v>
      </c>
      <c r="D4">
        <f>'Given parameter &amp; assumptions'!D6:E6</f>
        <v>0</v>
      </c>
      <c r="E4">
        <f>'Given parameter &amp; assumptions'!E6:F6</f>
        <v>0</v>
      </c>
      <c r="F4" s="3" t="str">
        <f>'Given parameter &amp; assumptions'!F6:G6</f>
        <v>Turbine efficiency</v>
      </c>
      <c r="G4" s="3">
        <f>'Given parameter &amp; assumptions'!F6:H6</f>
        <v>0.83599999999999997</v>
      </c>
      <c r="H4" s="3"/>
      <c r="L4" t="s">
        <v>66</v>
      </c>
    </row>
    <row r="5" spans="1:12" x14ac:dyDescent="0.25">
      <c r="A5" s="3" t="str">
        <f>'Given parameter &amp; assumptions'!A7:C7</f>
        <v>T03</v>
      </c>
      <c r="B5" s="3">
        <f>'Given parameter &amp; assumptions'!B7:D7</f>
        <v>1400</v>
      </c>
      <c r="C5" s="3" t="str">
        <f>'Given parameter &amp; assumptions'!C7:E7</f>
        <v>K</v>
      </c>
      <c r="D5">
        <f>'Given parameter &amp; assumptions'!D7:E7</f>
        <v>0</v>
      </c>
      <c r="E5">
        <f>'Given parameter &amp; assumptions'!E7:F7</f>
        <v>0</v>
      </c>
      <c r="F5" s="3" t="str">
        <f>'Given parameter &amp; assumptions'!F7:G7</f>
        <v>Transmission efficiency</v>
      </c>
      <c r="G5" s="3">
        <f>'Given parameter &amp; assumptions'!F7:H7</f>
        <v>0.89</v>
      </c>
      <c r="H5" s="3"/>
    </row>
    <row r="6" spans="1:12" x14ac:dyDescent="0.25">
      <c r="A6" s="3" t="str">
        <f>'Given parameter &amp; assumptions'!A8:C8</f>
        <v>Net power</v>
      </c>
      <c r="B6" s="3">
        <f>'Given parameter &amp; assumptions'!B8:D8</f>
        <v>150000</v>
      </c>
      <c r="C6" s="3" t="str">
        <f>'Given parameter &amp; assumptions'!C8:E8</f>
        <v>W = [J/s] = [kg m^2/s^3]</v>
      </c>
      <c r="D6">
        <f>'Given parameter &amp; assumptions'!D8:E8</f>
        <v>201</v>
      </c>
      <c r="E6" t="str">
        <f>'Given parameter &amp; assumptions'!E8:F8</f>
        <v>HP</v>
      </c>
      <c r="F6" s="3" t="str">
        <f>'Given parameter &amp; assumptions'!F8:G8</f>
        <v>Fuel Conventional gasoline</v>
      </c>
      <c r="G6" s="3">
        <f>'Given parameter &amp; assumptions'!F8:H8</f>
        <v>44400000</v>
      </c>
      <c r="H6" s="3" t="str">
        <f>'Given parameter &amp; assumptions'!G8:I8</f>
        <v>J/kg</v>
      </c>
    </row>
    <row r="7" spans="1:12" x14ac:dyDescent="0.25">
      <c r="F7" s="3" t="str">
        <f>'Given parameter &amp; assumptions'!F9:G9</f>
        <v>Efficiency 2nd turbine</v>
      </c>
      <c r="G7" s="3">
        <f>'Given parameter &amp; assumptions'!G9:H9</f>
        <v>0.91</v>
      </c>
      <c r="H7" s="3"/>
    </row>
    <row r="8" spans="1:12" x14ac:dyDescent="0.25">
      <c r="F8" s="3" t="str">
        <f>'Given parameter &amp; assumptions'!F10:G10</f>
        <v>Combustor P efficiency</v>
      </c>
      <c r="G8" s="3">
        <f>'Given parameter &amp; assumptions'!F10:H10</f>
        <v>0.98</v>
      </c>
      <c r="H8" s="3"/>
    </row>
    <row r="9" spans="1:12" x14ac:dyDescent="0.25">
      <c r="F9" s="3" t="str">
        <f>'Given parameter &amp; assumptions'!F11:G11</f>
        <v>Combustor burner efficiency</v>
      </c>
      <c r="G9" s="3">
        <f>'Given parameter &amp; assumptions'!F11:H11</f>
        <v>0.89</v>
      </c>
      <c r="H9" s="3"/>
    </row>
    <row r="10" spans="1:12" ht="15.75" thickBot="1" x14ac:dyDescent="0.3">
      <c r="F10" s="2"/>
      <c r="G10" s="2"/>
      <c r="H10" s="2"/>
    </row>
    <row r="11" spans="1:12" ht="15.75" thickBot="1" x14ac:dyDescent="0.3">
      <c r="A11" s="238" t="str">
        <f>'Given parameter &amp; assumptions'!A10:C10</f>
        <v>Fluid properties</v>
      </c>
      <c r="B11" s="239"/>
      <c r="C11" s="239"/>
      <c r="D11" s="239"/>
      <c r="E11" s="239"/>
      <c r="F11" s="239"/>
      <c r="G11" s="239"/>
      <c r="H11" s="239"/>
      <c r="I11" s="239"/>
      <c r="J11" s="240"/>
    </row>
    <row r="12" spans="1:12" x14ac:dyDescent="0.25">
      <c r="A12" s="25" t="str">
        <f>'Given parameter &amp; assumptions'!A11:C11</f>
        <v>ϒ Compressor</v>
      </c>
      <c r="B12" s="25">
        <f>'Given parameter &amp; assumptions'!B11:D11</f>
        <v>1.4</v>
      </c>
      <c r="C12" s="25">
        <f>'Given parameter &amp; assumptions'!C11:E11</f>
        <v>0</v>
      </c>
      <c r="D12" s="25" t="s">
        <v>30</v>
      </c>
      <c r="E12" s="25">
        <f>B12-1</f>
        <v>0.39999999999999991</v>
      </c>
      <c r="F12" s="25" t="s">
        <v>31</v>
      </c>
      <c r="G12" s="25">
        <f>B12/(B12-1)</f>
        <v>3.5000000000000004</v>
      </c>
      <c r="H12" s="25" t="s">
        <v>32</v>
      </c>
      <c r="I12" s="25">
        <f>E12/B12</f>
        <v>0.28571428571428564</v>
      </c>
    </row>
    <row r="13" spans="1:12" x14ac:dyDescent="0.25">
      <c r="A13" s="3" t="str">
        <f>'Given parameter &amp; assumptions'!A12:C12</f>
        <v>Cp Compressir</v>
      </c>
      <c r="B13" s="3">
        <f>'Given parameter &amp; assumptions'!B12:D12</f>
        <v>1000</v>
      </c>
      <c r="C13" s="3" t="str">
        <f>'Given parameter &amp; assumptions'!C12:E12</f>
        <v>J/(kg K)</v>
      </c>
      <c r="D13" s="3"/>
      <c r="E13" s="3"/>
      <c r="F13" s="3"/>
      <c r="G13" s="3"/>
      <c r="H13" s="3"/>
      <c r="I13" s="3"/>
    </row>
    <row r="14" spans="1:12" x14ac:dyDescent="0.25">
      <c r="A14" s="3" t="s">
        <v>102</v>
      </c>
      <c r="B14" s="3">
        <f>B13/B12</f>
        <v>714.28571428571433</v>
      </c>
      <c r="C14" s="3"/>
      <c r="D14" s="3"/>
      <c r="E14" s="3"/>
      <c r="F14" s="3"/>
      <c r="G14" s="3"/>
      <c r="H14" s="3"/>
      <c r="I14" s="3"/>
    </row>
    <row r="15" spans="1:12" x14ac:dyDescent="0.25">
      <c r="A15" s="3" t="s">
        <v>104</v>
      </c>
      <c r="B15" s="3">
        <f>B13-B14</f>
        <v>285.71428571428567</v>
      </c>
      <c r="C15" s="3"/>
      <c r="D15" s="3"/>
      <c r="E15" s="3"/>
      <c r="F15" s="3"/>
      <c r="G15" s="3"/>
      <c r="H15" s="3"/>
      <c r="I15" s="3"/>
    </row>
    <row r="16" spans="1:12" x14ac:dyDescent="0.25">
      <c r="A16" s="3" t="str">
        <f>'Given parameter &amp; assumptions'!A13:C13</f>
        <v>ϒ Turbine</v>
      </c>
      <c r="B16" s="3">
        <f>'Given parameter &amp; assumptions'!B13:D13</f>
        <v>1.3</v>
      </c>
      <c r="C16" s="3">
        <f>'Given parameter &amp; assumptions'!C13:E13</f>
        <v>0</v>
      </c>
      <c r="D16" s="3" t="s">
        <v>30</v>
      </c>
      <c r="E16" s="3">
        <f>B16-1</f>
        <v>0.30000000000000004</v>
      </c>
      <c r="F16" s="3" t="s">
        <v>31</v>
      </c>
      <c r="G16" s="3">
        <f>B16/(B16-1)</f>
        <v>4.333333333333333</v>
      </c>
      <c r="H16" s="3" t="s">
        <v>32</v>
      </c>
      <c r="I16" s="3">
        <f>E16/B16</f>
        <v>0.23076923076923078</v>
      </c>
    </row>
    <row r="17" spans="1:10" x14ac:dyDescent="0.25">
      <c r="A17" s="3" t="str">
        <f>'Given parameter &amp; assumptions'!A14:C14</f>
        <v>Cp Turbine</v>
      </c>
      <c r="B17" s="3">
        <f>'Given parameter &amp; assumptions'!B14:D14</f>
        <v>1240</v>
      </c>
      <c r="C17" s="3" t="str">
        <f>'Given parameter &amp; assumptions'!C14:E14</f>
        <v>J/(kg K)</v>
      </c>
      <c r="D17" s="3"/>
      <c r="E17" s="3"/>
      <c r="F17" s="3"/>
      <c r="G17" s="3"/>
      <c r="H17" s="3"/>
      <c r="I17" s="3"/>
      <c r="J17" s="3"/>
    </row>
    <row r="18" spans="1:10" x14ac:dyDescent="0.25">
      <c r="A18" s="2" t="s">
        <v>103</v>
      </c>
      <c r="B18" s="2">
        <f>B17/B16</f>
        <v>953.84615384615381</v>
      </c>
      <c r="C18" s="3" t="str">
        <f>'Given parameter &amp; assumptions'!C15:E15</f>
        <v>J/(kg K)</v>
      </c>
      <c r="D18" s="2"/>
      <c r="E18" s="2"/>
      <c r="F18" s="2"/>
      <c r="G18" s="2"/>
      <c r="H18" s="2"/>
      <c r="I18" s="2"/>
      <c r="J18" s="2"/>
    </row>
    <row r="19" spans="1:10" x14ac:dyDescent="0.25">
      <c r="A19" s="32" t="s">
        <v>105</v>
      </c>
      <c r="B19" s="2">
        <f>B17-B18</f>
        <v>286.15384615384619</v>
      </c>
      <c r="C19" s="3" t="s">
        <v>313</v>
      </c>
      <c r="D19" s="2"/>
      <c r="E19" s="2"/>
      <c r="F19" s="2"/>
      <c r="G19" s="2"/>
      <c r="H19" s="2"/>
      <c r="I19" s="2"/>
      <c r="J19" s="2"/>
    </row>
    <row r="20" spans="1:10" ht="15.75" thickBot="1" x14ac:dyDescent="0.3"/>
    <row r="21" spans="1:10" ht="15.75" thickBot="1" x14ac:dyDescent="0.3">
      <c r="A21" s="248" t="s">
        <v>28</v>
      </c>
      <c r="B21" s="249"/>
      <c r="C21" s="250"/>
      <c r="H21" s="241" t="s">
        <v>59</v>
      </c>
      <c r="I21" s="241"/>
      <c r="J21" s="241"/>
    </row>
    <row r="22" spans="1:10" x14ac:dyDescent="0.25">
      <c r="A22" s="25" t="s">
        <v>8</v>
      </c>
      <c r="B22" s="25">
        <f>B2</f>
        <v>101325</v>
      </c>
      <c r="C22" s="25" t="s">
        <v>12</v>
      </c>
      <c r="H22" s="3" t="s">
        <v>42</v>
      </c>
      <c r="I22" s="22">
        <f>B28</f>
        <v>170690.67716029406</v>
      </c>
      <c r="J22" s="22" t="str">
        <f>C28</f>
        <v>J/Kg</v>
      </c>
    </row>
    <row r="23" spans="1:10" ht="15.75" thickBot="1" x14ac:dyDescent="0.3">
      <c r="A23" s="26" t="s">
        <v>7</v>
      </c>
      <c r="B23" s="26">
        <f>B3</f>
        <v>288</v>
      </c>
      <c r="C23" s="26" t="s">
        <v>13</v>
      </c>
      <c r="H23" s="3" t="s">
        <v>62</v>
      </c>
      <c r="I23" s="22">
        <f>B33</f>
        <v>2.3615196461508579E-2</v>
      </c>
      <c r="J23" s="3" t="str">
        <f>C33</f>
        <v>kg/s</v>
      </c>
    </row>
    <row r="24" spans="1:10" ht="15.75" thickBot="1" x14ac:dyDescent="0.3">
      <c r="A24" s="248" t="s">
        <v>27</v>
      </c>
      <c r="B24" s="249"/>
      <c r="C24" s="250"/>
      <c r="H24" s="3" t="str">
        <f>A4</f>
        <v>πc</v>
      </c>
      <c r="I24" s="3">
        <f>B4</f>
        <v>4</v>
      </c>
      <c r="J24" s="3" t="str">
        <f>C4</f>
        <v>[-]</v>
      </c>
    </row>
    <row r="25" spans="1:10" x14ac:dyDescent="0.25">
      <c r="A25" s="25" t="s">
        <v>33</v>
      </c>
      <c r="B25" s="24">
        <f>B22*B4</f>
        <v>405300</v>
      </c>
      <c r="C25" s="25" t="s">
        <v>12</v>
      </c>
      <c r="H25" s="38" t="s">
        <v>81</v>
      </c>
      <c r="I25" s="3">
        <f>H50</f>
        <v>3.92</v>
      </c>
      <c r="J25" s="3" t="s">
        <v>14</v>
      </c>
    </row>
    <row r="26" spans="1:10" x14ac:dyDescent="0.25">
      <c r="A26" s="3" t="s">
        <v>34</v>
      </c>
      <c r="B26" s="22">
        <f>B23*(B25/B22)^I12</f>
        <v>427.9663552714411</v>
      </c>
      <c r="C26" s="3" t="s">
        <v>13</v>
      </c>
      <c r="H26" s="3" t="str">
        <f>G40</f>
        <v>P0exit</v>
      </c>
      <c r="I26" s="3">
        <f>H40</f>
        <v>101325</v>
      </c>
      <c r="J26" s="3" t="str">
        <f>I40</f>
        <v>Pa</v>
      </c>
    </row>
    <row r="27" spans="1:10" x14ac:dyDescent="0.25">
      <c r="A27" s="3" t="s">
        <v>35</v>
      </c>
      <c r="B27" s="22">
        <f>(B26-B23)/G2+B23</f>
        <v>458.69067716029406</v>
      </c>
      <c r="C27" s="3" t="s">
        <v>13</v>
      </c>
      <c r="H27" s="3" t="str">
        <f t="shared" ref="H27:J28" si="0">G45</f>
        <v xml:space="preserve">T05 </v>
      </c>
      <c r="I27" s="3">
        <f>H45</f>
        <v>1083.5297492705752</v>
      </c>
      <c r="J27" s="3" t="str">
        <f t="shared" si="0"/>
        <v>K</v>
      </c>
    </row>
    <row r="28" spans="1:10" ht="15.75" thickBot="1" x14ac:dyDescent="0.3">
      <c r="A28" s="26" t="s">
        <v>42</v>
      </c>
      <c r="B28" s="27">
        <f>B13*(B27-B23)</f>
        <v>170690.67716029406</v>
      </c>
      <c r="C28" s="26" t="s">
        <v>56</v>
      </c>
      <c r="H28" s="3" t="str">
        <f t="shared" si="0"/>
        <v>AHT available</v>
      </c>
      <c r="I28" s="3">
        <f t="shared" si="0"/>
        <v>392423.11090448679</v>
      </c>
      <c r="J28" s="3" t="str">
        <f t="shared" si="0"/>
        <v>J/Kg</v>
      </c>
    </row>
    <row r="29" spans="1:10" ht="15.75" thickBot="1" x14ac:dyDescent="0.3">
      <c r="A29" s="248" t="s">
        <v>36</v>
      </c>
      <c r="B29" s="249"/>
      <c r="C29" s="250"/>
      <c r="H29" s="3" t="s">
        <v>191</v>
      </c>
      <c r="I29" s="46">
        <f>K49+K50</f>
        <v>0.7774823082743787</v>
      </c>
      <c r="J29" s="3" t="s">
        <v>194</v>
      </c>
    </row>
    <row r="30" spans="1:10" x14ac:dyDescent="0.25">
      <c r="A30" s="25" t="s">
        <v>10</v>
      </c>
      <c r="B30" s="24">
        <f>B5</f>
        <v>1400</v>
      </c>
      <c r="C30" s="25" t="s">
        <v>13</v>
      </c>
      <c r="H30" s="3" t="s">
        <v>193</v>
      </c>
      <c r="I30" s="3">
        <f>K50</f>
        <v>2.5426364947292147E-2</v>
      </c>
      <c r="J30" s="3" t="s">
        <v>194</v>
      </c>
    </row>
    <row r="31" spans="1:10" x14ac:dyDescent="0.25">
      <c r="A31" s="3" t="s">
        <v>29</v>
      </c>
      <c r="B31" s="22">
        <f>G8*B25</f>
        <v>397194</v>
      </c>
      <c r="C31" s="3" t="s">
        <v>12</v>
      </c>
      <c r="H31" s="3" t="s">
        <v>192</v>
      </c>
      <c r="I31" s="3">
        <f>K49</f>
        <v>0.75205594332708658</v>
      </c>
      <c r="J31" s="3" t="s">
        <v>194</v>
      </c>
    </row>
    <row r="32" spans="1:10" x14ac:dyDescent="0.25">
      <c r="A32" s="3" t="s">
        <v>38</v>
      </c>
      <c r="B32" s="22">
        <f>B30-B27</f>
        <v>941.30932283970594</v>
      </c>
      <c r="C32" s="3" t="s">
        <v>13</v>
      </c>
      <c r="H32" s="3" t="str">
        <f t="shared" ref="H32:J33" si="1">G47</f>
        <v>AHT avaliable - AHC</v>
      </c>
      <c r="I32" s="3">
        <f t="shared" si="1"/>
        <v>216775.76974937151</v>
      </c>
      <c r="J32" s="3" t="str">
        <f t="shared" si="1"/>
        <v>J/Kg</v>
      </c>
    </row>
    <row r="33" spans="1:15" x14ac:dyDescent="0.25">
      <c r="A33" s="3" t="s">
        <v>39</v>
      </c>
      <c r="B33" s="22">
        <f>B34*B47</f>
        <v>2.3615196461508579E-2</v>
      </c>
      <c r="C33" s="3" t="s">
        <v>57</v>
      </c>
      <c r="H33" s="3" t="str">
        <f t="shared" si="1"/>
        <v>(AHT available-AHC)*eff</v>
      </c>
      <c r="I33" s="3">
        <f t="shared" si="1"/>
        <v>192930.43507694066</v>
      </c>
      <c r="J33" s="3" t="str">
        <f t="shared" si="1"/>
        <v>J/Kg</v>
      </c>
    </row>
    <row r="34" spans="1:15" x14ac:dyDescent="0.25">
      <c r="A34" s="3" t="s">
        <v>43</v>
      </c>
      <c r="B34" s="22">
        <f>(B17*B30-B13*B27)/(G9*G6-B17*B30)</f>
        <v>3.3809140361029805E-2</v>
      </c>
      <c r="C34" s="3"/>
      <c r="M34" s="16" t="s">
        <v>201</v>
      </c>
      <c r="N34">
        <f>K45</f>
        <v>1083.5297492705752</v>
      </c>
      <c r="O34" s="16" t="s">
        <v>13</v>
      </c>
    </row>
    <row r="35" spans="1:15" ht="15.75" thickBot="1" x14ac:dyDescent="0.3">
      <c r="A35" s="235" t="s">
        <v>41</v>
      </c>
      <c r="B35" s="236"/>
      <c r="C35" s="237"/>
      <c r="M35" s="16" t="s">
        <v>296</v>
      </c>
      <c r="N35">
        <f>H43</f>
        <v>1021.4470685054727</v>
      </c>
    </row>
    <row r="36" spans="1:15" x14ac:dyDescent="0.25">
      <c r="A36" s="25" t="s">
        <v>44</v>
      </c>
      <c r="B36" s="24">
        <f>B28/G3</f>
        <v>181585.82676627027</v>
      </c>
      <c r="C36" s="25" t="s">
        <v>56</v>
      </c>
      <c r="D36" t="s">
        <v>63</v>
      </c>
      <c r="M36" s="3" t="s">
        <v>60</v>
      </c>
      <c r="N36" s="22">
        <f>B36</f>
        <v>181585.82676627027</v>
      </c>
      <c r="O36" s="22" t="str">
        <f>C36</f>
        <v>J/Kg</v>
      </c>
    </row>
    <row r="37" spans="1:15" x14ac:dyDescent="0.25">
      <c r="A37" s="3" t="s">
        <v>45</v>
      </c>
      <c r="B37" s="22">
        <f>B30-B36/B17/(1+B34)</f>
        <v>1258.3489184232942</v>
      </c>
      <c r="C37" s="3" t="s">
        <v>13</v>
      </c>
      <c r="M37" s="3" t="s">
        <v>61</v>
      </c>
      <c r="N37" s="22">
        <f>B45</f>
        <v>241292.49710273466</v>
      </c>
      <c r="O37" s="22" t="str">
        <f>C45</f>
        <v>J/Kg</v>
      </c>
    </row>
    <row r="38" spans="1:15" x14ac:dyDescent="0.25">
      <c r="A38" s="3" t="s">
        <v>46</v>
      </c>
      <c r="B38" s="22">
        <f>B30-(B30-B37)/G4</f>
        <v>1230.5609072048974</v>
      </c>
      <c r="C38" s="3" t="s">
        <v>13</v>
      </c>
    </row>
    <row r="39" spans="1:15" x14ac:dyDescent="0.25">
      <c r="A39" s="3" t="s">
        <v>47</v>
      </c>
      <c r="B39" s="22">
        <f>B31*((B38/B30)^G16)</f>
        <v>227105.69223921699</v>
      </c>
      <c r="C39" s="3" t="s">
        <v>12</v>
      </c>
      <c r="G39" s="44" t="s">
        <v>67</v>
      </c>
      <c r="H39" s="45"/>
      <c r="I39" s="45"/>
    </row>
    <row r="40" spans="1:15" ht="15.75" thickBot="1" x14ac:dyDescent="0.3">
      <c r="A40" s="235" t="s">
        <v>48</v>
      </c>
      <c r="B40" s="236"/>
      <c r="C40" s="237"/>
      <c r="D40" t="s">
        <v>58</v>
      </c>
      <c r="G40" s="25" t="s">
        <v>196</v>
      </c>
      <c r="H40" s="25">
        <f>B2</f>
        <v>101325</v>
      </c>
      <c r="I40" t="s">
        <v>12</v>
      </c>
      <c r="J40" t="s">
        <v>195</v>
      </c>
    </row>
    <row r="41" spans="1:15" x14ac:dyDescent="0.25">
      <c r="A41" s="25" t="s">
        <v>196</v>
      </c>
      <c r="B41" s="24">
        <f>B2</f>
        <v>101325</v>
      </c>
      <c r="C41" s="25" t="s">
        <v>12</v>
      </c>
      <c r="G41" t="s">
        <v>197</v>
      </c>
      <c r="H41">
        <v>0</v>
      </c>
      <c r="I41" t="s">
        <v>198</v>
      </c>
    </row>
    <row r="42" spans="1:15" x14ac:dyDescent="0.25">
      <c r="A42" s="25" t="s">
        <v>50</v>
      </c>
      <c r="B42">
        <f>B41*(1+(B16-1)/2*H41^2)^(G16)</f>
        <v>101325</v>
      </c>
      <c r="C42" s="25"/>
      <c r="G42" t="s">
        <v>199</v>
      </c>
      <c r="H42">
        <f>H40*(1+(B16-1)/2*H41^2)^(G16)</f>
        <v>101325</v>
      </c>
      <c r="I42" t="s">
        <v>200</v>
      </c>
    </row>
    <row r="43" spans="1:15" x14ac:dyDescent="0.25">
      <c r="A43" s="3" t="s">
        <v>49</v>
      </c>
      <c r="B43" s="3">
        <f>B37*(B42/B39)^I16</f>
        <v>1044.5129585662094</v>
      </c>
      <c r="C43" s="3" t="s">
        <v>13</v>
      </c>
      <c r="G43" s="3" t="s">
        <v>49</v>
      </c>
      <c r="H43" s="3">
        <f>B30*(H42/B31)^I16</f>
        <v>1021.4470685054727</v>
      </c>
      <c r="I43" t="s">
        <v>13</v>
      </c>
      <c r="J43" s="3" t="s">
        <v>49</v>
      </c>
      <c r="K43" s="3">
        <f>B30*(H40/B31)^I16</f>
        <v>1021.4470685054727</v>
      </c>
    </row>
    <row r="44" spans="1:15" x14ac:dyDescent="0.25">
      <c r="A44" s="3" t="s">
        <v>51</v>
      </c>
      <c r="B44" s="3">
        <f>B37-G7*(B37-B43)</f>
        <v>1063.7581949533469</v>
      </c>
      <c r="C44" s="3" t="s">
        <v>13</v>
      </c>
      <c r="G44" s="3" t="s">
        <v>295</v>
      </c>
      <c r="H44" s="3">
        <f>B5*(B2/B31)^I16</f>
        <v>1021.4470685054727</v>
      </c>
      <c r="J44" s="3"/>
      <c r="K44" s="3"/>
    </row>
    <row r="45" spans="1:15" x14ac:dyDescent="0.25">
      <c r="A45" s="3" t="s">
        <v>53</v>
      </c>
      <c r="B45" s="22">
        <f>B17*(B37-B44)</f>
        <v>241292.49710273466</v>
      </c>
      <c r="C45" s="3" t="s">
        <v>56</v>
      </c>
      <c r="G45" s="3" t="s">
        <v>70</v>
      </c>
      <c r="H45" s="3">
        <f>B30-G4*(B30-H43)</f>
        <v>1083.5297492705752</v>
      </c>
      <c r="I45" t="s">
        <v>13</v>
      </c>
      <c r="J45" s="3" t="s">
        <v>70</v>
      </c>
      <c r="K45" s="3">
        <f>B30-G4*(B30-K43)</f>
        <v>1083.5297492705752</v>
      </c>
    </row>
    <row r="46" spans="1:15" x14ac:dyDescent="0.25">
      <c r="A46" s="3" t="s">
        <v>54</v>
      </c>
      <c r="B46" s="3">
        <f>B45*G5</f>
        <v>214750.32242143384</v>
      </c>
      <c r="C46" s="3" t="s">
        <v>56</v>
      </c>
      <c r="G46" s="3" t="s">
        <v>53</v>
      </c>
      <c r="H46" s="3">
        <f>B17*(B30-H45)</f>
        <v>392423.11090448679</v>
      </c>
      <c r="I46" s="3" t="s">
        <v>56</v>
      </c>
    </row>
    <row r="47" spans="1:15" x14ac:dyDescent="0.25">
      <c r="A47" s="3" t="s">
        <v>55</v>
      </c>
      <c r="B47" s="23">
        <f>B6/B46</f>
        <v>0.69848556364741821</v>
      </c>
      <c r="C47" s="3" t="s">
        <v>57</v>
      </c>
      <c r="G47" s="3" t="s">
        <v>68</v>
      </c>
      <c r="H47" s="22">
        <f>H46-B28/G3/(1+B34)</f>
        <v>216775.76974937151</v>
      </c>
      <c r="I47" s="3" t="s">
        <v>56</v>
      </c>
    </row>
    <row r="48" spans="1:15" x14ac:dyDescent="0.25">
      <c r="G48" s="3" t="s">
        <v>69</v>
      </c>
      <c r="H48" s="3">
        <f>H47*G5</f>
        <v>192930.43507694066</v>
      </c>
      <c r="I48" s="3" t="s">
        <v>56</v>
      </c>
    </row>
    <row r="49" spans="7:11" x14ac:dyDescent="0.25">
      <c r="G49" s="3" t="s">
        <v>71</v>
      </c>
      <c r="H49" s="29">
        <f>B6/H48</f>
        <v>0.77748230827437881</v>
      </c>
      <c r="I49" s="28" t="s">
        <v>57</v>
      </c>
      <c r="J49" t="s">
        <v>192</v>
      </c>
      <c r="K49">
        <f>H49/(1+B34)</f>
        <v>0.75205594332708658</v>
      </c>
    </row>
    <row r="50" spans="7:11" x14ac:dyDescent="0.25">
      <c r="G50" s="30" t="s">
        <v>80</v>
      </c>
      <c r="H50">
        <f>B31/H40</f>
        <v>3.92</v>
      </c>
      <c r="I50" s="28" t="s">
        <v>14</v>
      </c>
      <c r="J50" t="s">
        <v>193</v>
      </c>
      <c r="K50">
        <f>K49*B34</f>
        <v>2.5426364947292147E-2</v>
      </c>
    </row>
  </sheetData>
  <mergeCells count="9">
    <mergeCell ref="A35:C35"/>
    <mergeCell ref="A40:C40"/>
    <mergeCell ref="A11:J11"/>
    <mergeCell ref="H21:J21"/>
    <mergeCell ref="F1:H1"/>
    <mergeCell ref="A1:C1"/>
    <mergeCell ref="A21:C21"/>
    <mergeCell ref="A24:C24"/>
    <mergeCell ref="A29:C2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17"/>
  <sheetViews>
    <sheetView tabSelected="1" topLeftCell="A190" zoomScale="90" zoomScaleNormal="90" workbookViewId="0">
      <selection activeCell="D214" sqref="D214"/>
    </sheetView>
  </sheetViews>
  <sheetFormatPr defaultColWidth="11.42578125" defaultRowHeight="15" x14ac:dyDescent="0.25"/>
  <cols>
    <col min="1" max="1" width="35.5703125" customWidth="1"/>
    <col min="2" max="2" width="19.140625" style="35" customWidth="1"/>
    <col min="3" max="3" width="21.85546875" customWidth="1"/>
    <col min="4" max="4" width="43.140625" style="73" customWidth="1"/>
    <col min="5" max="5" width="23.7109375" customWidth="1"/>
    <col min="6" max="6" width="18.28515625" customWidth="1"/>
    <col min="7" max="7" width="11.85546875" bestFit="1" customWidth="1"/>
    <col min="8" max="8" width="30.140625" customWidth="1"/>
    <col min="9" max="9" width="22.140625" bestFit="1" customWidth="1"/>
    <col min="10" max="10" width="33.85546875" customWidth="1"/>
    <col min="11" max="11" width="15.42578125" customWidth="1"/>
    <col min="13" max="13" width="10.28515625" bestFit="1" customWidth="1"/>
    <col min="14" max="14" width="16.5703125" bestFit="1" customWidth="1"/>
    <col min="15" max="15" width="16" bestFit="1" customWidth="1"/>
    <col min="16" max="16" width="10" bestFit="1" customWidth="1"/>
    <col min="17" max="17" width="10.5703125" customWidth="1"/>
    <col min="18" max="18" width="16.5703125" customWidth="1"/>
    <col min="19" max="19" width="14" customWidth="1"/>
    <col min="22" max="22" width="11.42578125" style="73"/>
    <col min="23" max="23" width="35" customWidth="1"/>
    <col min="24" max="24" width="35.7109375" customWidth="1"/>
    <col min="27" max="27" width="11.7109375" bestFit="1" customWidth="1"/>
    <col min="29" max="29" width="19" bestFit="1" customWidth="1"/>
    <col min="30" max="30" width="11.7109375" bestFit="1" customWidth="1"/>
    <col min="31" max="31" width="16.140625" customWidth="1"/>
    <col min="32" max="32" width="16" customWidth="1"/>
  </cols>
  <sheetData>
    <row r="1" spans="1:43" ht="15.75" thickBot="1" x14ac:dyDescent="0.3">
      <c r="A1" s="245" t="str">
        <f>'Given parameter &amp; assumptions'!A3:C3</f>
        <v>Given parameters</v>
      </c>
      <c r="B1" s="246"/>
      <c r="C1" s="247"/>
      <c r="D1" s="78"/>
      <c r="E1" s="267" t="s">
        <v>77</v>
      </c>
      <c r="F1" s="267"/>
      <c r="G1" s="267"/>
      <c r="I1" s="267" t="s">
        <v>78</v>
      </c>
      <c r="J1" s="267"/>
      <c r="K1" s="267"/>
      <c r="M1" s="268" t="s">
        <v>2</v>
      </c>
      <c r="N1" s="268"/>
      <c r="O1" s="268"/>
      <c r="P1" s="268"/>
      <c r="Q1" s="268"/>
      <c r="R1" s="268"/>
      <c r="S1" s="268"/>
      <c r="T1" s="268"/>
      <c r="U1" s="268"/>
      <c r="V1" s="79"/>
      <c r="W1" s="79"/>
    </row>
    <row r="2" spans="1:43" x14ac:dyDescent="0.25">
      <c r="A2" s="25" t="str">
        <f>'Given parameter &amp; assumptions'!A4:C4</f>
        <v>P01</v>
      </c>
      <c r="B2" s="33">
        <f>'Given parameter &amp; assumptions'!B4:D4</f>
        <v>101325</v>
      </c>
      <c r="C2" s="25" t="str">
        <f>'Given parameter &amp; assumptions'!C4:E4</f>
        <v>Pa</v>
      </c>
      <c r="D2" s="32"/>
      <c r="E2" s="3" t="str">
        <f>'Cycle analysis'!A30</f>
        <v>T03</v>
      </c>
      <c r="F2" s="3">
        <f>'Cycle analysis'!B30</f>
        <v>1400</v>
      </c>
      <c r="G2" s="3" t="str">
        <f>'Cycle analysis'!C30</f>
        <v>K</v>
      </c>
      <c r="I2" s="3" t="str">
        <f>'Cycle analysis'!H22</f>
        <v>AHC</v>
      </c>
      <c r="J2" s="3">
        <f>'Cycle analysis'!I22</f>
        <v>170690.67716029406</v>
      </c>
      <c r="K2" s="3" t="str">
        <f>'Cycle analysis'!J22</f>
        <v>J/Kg</v>
      </c>
      <c r="M2" t="str">
        <f>'Cycle analysis'!A16</f>
        <v>ϒ Turbine</v>
      </c>
      <c r="N2">
        <f>'Cycle analysis'!B16</f>
        <v>1.3</v>
      </c>
      <c r="O2">
        <f>'Cycle analysis'!C16</f>
        <v>0</v>
      </c>
      <c r="P2" t="str">
        <f>'Cycle analysis'!D16</f>
        <v>(g-1)</v>
      </c>
      <c r="Q2">
        <f>'Cycle analysis'!E16</f>
        <v>0.30000000000000004</v>
      </c>
      <c r="R2" t="str">
        <f>'Cycle analysis'!F16</f>
        <v>g/(g-1)</v>
      </c>
      <c r="S2">
        <f>'Cycle analysis'!G16</f>
        <v>4.333333333333333</v>
      </c>
      <c r="T2" t="str">
        <f>'Cycle analysis'!H16</f>
        <v>(g-1)/g</v>
      </c>
      <c r="U2">
        <f>'Cycle analysis'!I16</f>
        <v>0.23076923076923078</v>
      </c>
    </row>
    <row r="3" spans="1:43" x14ac:dyDescent="0.25">
      <c r="A3" s="3" t="str">
        <f>'Given parameter &amp; assumptions'!A5:C5</f>
        <v>T01</v>
      </c>
      <c r="B3" s="34">
        <f>'Given parameter &amp; assumptions'!B5:D5</f>
        <v>288</v>
      </c>
      <c r="C3" s="3" t="str">
        <f>'Given parameter &amp; assumptions'!C5:E5</f>
        <v>K</v>
      </c>
      <c r="D3" s="32"/>
      <c r="E3" s="3" t="str">
        <f>'Cycle analysis'!A31</f>
        <v>P03</v>
      </c>
      <c r="F3" s="3">
        <f>'Cycle analysis'!B31</f>
        <v>397194</v>
      </c>
      <c r="G3" s="3" t="str">
        <f>'Cycle analysis'!C31</f>
        <v>Pa</v>
      </c>
      <c r="I3" s="3" t="str">
        <f>'Cycle analysis'!H23</f>
        <v>mf</v>
      </c>
      <c r="J3" s="3">
        <f>'Cycle analysis'!I23</f>
        <v>2.3615196461508579E-2</v>
      </c>
      <c r="K3" s="3" t="str">
        <f>'Cycle analysis'!J23</f>
        <v>kg/s</v>
      </c>
      <c r="M3" t="str">
        <f>'Cycle analysis'!A17</f>
        <v>Cp Turbine</v>
      </c>
      <c r="N3">
        <f>'Cycle analysis'!B17</f>
        <v>1240</v>
      </c>
      <c r="O3" t="str">
        <f>'Cycle analysis'!C17</f>
        <v>J/(kg K)</v>
      </c>
    </row>
    <row r="4" spans="1:43" x14ac:dyDescent="0.25">
      <c r="A4" s="3" t="str">
        <f>'Given parameter &amp; assumptions'!A6:C6</f>
        <v>πc</v>
      </c>
      <c r="B4" s="34">
        <f>'Given parameter &amp; assumptions'!B6:D6</f>
        <v>4</v>
      </c>
      <c r="C4" s="3" t="str">
        <f>'Given parameter &amp; assumptions'!C6:E6</f>
        <v>[-]</v>
      </c>
      <c r="D4" s="32"/>
      <c r="E4" s="3" t="str">
        <f>'Cycle analysis'!A32</f>
        <v>AT</v>
      </c>
      <c r="F4" s="3">
        <f>'Cycle analysis'!B32</f>
        <v>941.30932283970594</v>
      </c>
      <c r="G4" s="3" t="str">
        <f>'Cycle analysis'!C32</f>
        <v>K</v>
      </c>
      <c r="I4" s="3" t="str">
        <f>'Cycle analysis'!H24</f>
        <v>πc</v>
      </c>
      <c r="J4" s="3">
        <f>'Cycle analysis'!I24</f>
        <v>4</v>
      </c>
      <c r="K4" s="3" t="str">
        <f>'Cycle analysis'!J24</f>
        <v>[-]</v>
      </c>
      <c r="M4" t="str">
        <f>'Cycle analysis'!A18</f>
        <v>Cv compressor</v>
      </c>
      <c r="N4">
        <f>'Cycle analysis'!B18</f>
        <v>953.84615384615381</v>
      </c>
      <c r="O4" t="str">
        <f>'Cycle analysis'!C18</f>
        <v>J/(kg K)</v>
      </c>
      <c r="AA4" t="s">
        <v>158</v>
      </c>
    </row>
    <row r="5" spans="1:43" x14ac:dyDescent="0.25">
      <c r="A5" s="3" t="str">
        <f>'Given parameter &amp; assumptions'!A7:C7</f>
        <v>T03</v>
      </c>
      <c r="B5" s="34">
        <f>'Given parameter &amp; assumptions'!B7:D7</f>
        <v>1400</v>
      </c>
      <c r="C5" s="3" t="str">
        <f>'Given parameter &amp; assumptions'!C7:E7</f>
        <v>K</v>
      </c>
      <c r="D5" s="32"/>
      <c r="E5" s="3" t="str">
        <f>'Cycle analysis'!A33</f>
        <v>m_fuel</v>
      </c>
      <c r="F5" s="3">
        <f>'Cycle analysis'!B33</f>
        <v>2.3615196461508579E-2</v>
      </c>
      <c r="G5" s="3" t="str">
        <f>'Cycle analysis'!C33</f>
        <v>kg/s</v>
      </c>
      <c r="I5" s="3" t="str">
        <f>'Cycle analysis'!H25</f>
        <v>Expansion ratio</v>
      </c>
      <c r="J5" s="3">
        <f>'Cycle analysis'!I25</f>
        <v>3.92</v>
      </c>
      <c r="K5" s="3" t="str">
        <f>'Cycle analysis'!J25</f>
        <v>[-]</v>
      </c>
      <c r="M5" t="str">
        <f>'Cycle analysis'!A19</f>
        <v>R turbine</v>
      </c>
      <c r="N5">
        <f>'Cycle analysis'!B19</f>
        <v>286.15384615384619</v>
      </c>
      <c r="O5" t="str">
        <f>'Cycle analysis'!C19</f>
        <v>J/(kgK)</v>
      </c>
      <c r="AG5" s="35"/>
      <c r="AH5" s="35"/>
    </row>
    <row r="6" spans="1:43" x14ac:dyDescent="0.25">
      <c r="A6" s="3" t="str">
        <f>'Given parameter &amp; assumptions'!A8:C8</f>
        <v>Net power</v>
      </c>
      <c r="B6" s="34">
        <f>'Given parameter &amp; assumptions'!B8:D8</f>
        <v>150000</v>
      </c>
      <c r="C6" s="3" t="str">
        <f>'Given parameter &amp; assumptions'!C8:E8</f>
        <v>W = [J/s] = [kg m^2/s^3]</v>
      </c>
      <c r="D6" s="32"/>
      <c r="E6" s="3" t="str">
        <f>'Cycle analysis'!A34</f>
        <v>f, dosado</v>
      </c>
      <c r="F6" s="3">
        <f>'Cycle analysis'!B34</f>
        <v>3.3809140361029805E-2</v>
      </c>
      <c r="G6" s="3"/>
      <c r="I6" s="3" t="str">
        <f>'Cycle analysis'!H26</f>
        <v>P0exit</v>
      </c>
      <c r="J6" s="3">
        <f>'Cycle analysis'!I26</f>
        <v>101325</v>
      </c>
      <c r="K6" s="3" t="str">
        <f>'Cycle analysis'!J26</f>
        <v>Pa</v>
      </c>
      <c r="AA6" s="40" t="s">
        <v>97</v>
      </c>
      <c r="AB6" s="40"/>
      <c r="AC6" s="40" t="s">
        <v>72</v>
      </c>
      <c r="AD6" s="37" t="s">
        <v>122</v>
      </c>
      <c r="AE6" s="37"/>
      <c r="AF6" s="37" t="s">
        <v>118</v>
      </c>
      <c r="AG6" s="42" t="s">
        <v>140</v>
      </c>
      <c r="AH6" s="42"/>
      <c r="AI6" s="43" t="s">
        <v>141</v>
      </c>
      <c r="AJ6" s="43"/>
      <c r="AK6" s="43" t="s">
        <v>188</v>
      </c>
      <c r="AL6" s="37" t="s">
        <v>128</v>
      </c>
      <c r="AM6" s="37"/>
      <c r="AN6" s="37" t="s">
        <v>73</v>
      </c>
      <c r="AO6" s="41" t="s">
        <v>139</v>
      </c>
      <c r="AP6" s="41"/>
    </row>
    <row r="7" spans="1:43" x14ac:dyDescent="0.25">
      <c r="A7" s="2"/>
      <c r="B7" s="36"/>
      <c r="C7" s="2"/>
      <c r="D7" s="32"/>
      <c r="I7" s="3" t="str">
        <f>'Cycle analysis'!H27</f>
        <v xml:space="preserve">T05 </v>
      </c>
      <c r="J7" s="3">
        <f>'Cycle analysis'!I27</f>
        <v>1083.5297492705752</v>
      </c>
      <c r="K7" s="3" t="str">
        <f>'Cycle analysis'!J27</f>
        <v>K</v>
      </c>
      <c r="AA7" s="3" t="s">
        <v>159</v>
      </c>
      <c r="AB7" s="3" t="s">
        <v>160</v>
      </c>
      <c r="AC7" s="34">
        <f>B12</f>
        <v>75.3</v>
      </c>
      <c r="AD7" s="3" t="s">
        <v>159</v>
      </c>
      <c r="AE7" s="3" t="s">
        <v>160</v>
      </c>
      <c r="AF7" s="34">
        <f>B52</f>
        <v>54.754865234663527</v>
      </c>
      <c r="AG7" s="3" t="s">
        <v>159</v>
      </c>
      <c r="AH7" s="3" t="s">
        <v>160</v>
      </c>
      <c r="AI7" s="3" t="s">
        <v>159</v>
      </c>
      <c r="AJ7" s="3" t="s">
        <v>160</v>
      </c>
      <c r="AK7" s="34">
        <f>B89</f>
        <v>-15.685811710589164</v>
      </c>
      <c r="AL7" s="3" t="s">
        <v>159</v>
      </c>
      <c r="AM7" s="3" t="s">
        <v>160</v>
      </c>
      <c r="AN7" s="34">
        <f>B15</f>
        <v>-65</v>
      </c>
      <c r="AO7" s="3" t="s">
        <v>159</v>
      </c>
      <c r="AP7" s="3" t="s">
        <v>160</v>
      </c>
      <c r="AQ7" s="35"/>
    </row>
    <row r="8" spans="1:43" x14ac:dyDescent="0.25">
      <c r="A8" s="255" t="s">
        <v>16</v>
      </c>
      <c r="B8" s="255"/>
      <c r="C8" s="255"/>
      <c r="D8" s="78"/>
      <c r="F8" t="s">
        <v>370</v>
      </c>
      <c r="I8" s="3" t="str">
        <f>'Cycle analysis'!H28</f>
        <v>AHT available</v>
      </c>
      <c r="J8" s="3">
        <f>'Cycle analysis'!I28</f>
        <v>392423.11090448679</v>
      </c>
      <c r="K8" s="3" t="str">
        <f>'Cycle analysis'!J28</f>
        <v>J/Kg</v>
      </c>
      <c r="AA8" s="3">
        <v>0</v>
      </c>
      <c r="AB8" s="34">
        <f>B46+AQ8</f>
        <v>254.08869342764129</v>
      </c>
      <c r="AC8" s="3"/>
      <c r="AD8" s="3">
        <v>0</v>
      </c>
      <c r="AE8" s="34">
        <f>B51+AQ8</f>
        <v>254.08869342764129</v>
      </c>
      <c r="AF8" s="3"/>
      <c r="AG8" s="34">
        <f>AA9-B49</f>
        <v>279.63802070852466</v>
      </c>
      <c r="AH8" s="34">
        <f>AQ8</f>
        <v>56.495682668479276</v>
      </c>
      <c r="AI8" s="3">
        <v>0</v>
      </c>
      <c r="AJ8" s="34">
        <f>B88</f>
        <v>254.08869342764129</v>
      </c>
      <c r="AK8" s="3"/>
      <c r="AL8" s="3">
        <v>0</v>
      </c>
      <c r="AM8" s="34">
        <f>B79</f>
        <v>254.08869342764129</v>
      </c>
      <c r="AN8" s="3"/>
      <c r="AO8" s="34">
        <f>AL9</f>
        <v>-544.89496147880834</v>
      </c>
      <c r="AP8" s="3">
        <v>0</v>
      </c>
      <c r="AQ8" s="35">
        <f>B79-B51</f>
        <v>56.495682668479276</v>
      </c>
    </row>
    <row r="9" spans="1:43" x14ac:dyDescent="0.25">
      <c r="A9" s="53" t="s">
        <v>74</v>
      </c>
      <c r="B9" s="54">
        <v>0.42</v>
      </c>
      <c r="C9" s="3" t="s">
        <v>14</v>
      </c>
      <c r="D9" s="32"/>
      <c r="I9" s="3" t="str">
        <f>'Cycle analysis'!H29</f>
        <v>Mair +Mf</v>
      </c>
      <c r="J9" s="3">
        <f>'Cycle analysis'!I29</f>
        <v>0.7774823082743787</v>
      </c>
      <c r="K9" s="3" t="str">
        <f>'Cycle analysis'!J29</f>
        <v>Kg/s</v>
      </c>
      <c r="AA9" s="63">
        <f>B47</f>
        <v>753.17975874193894</v>
      </c>
      <c r="AB9" s="63">
        <f>AQ8</f>
        <v>56.495682668479276</v>
      </c>
      <c r="AC9" s="26"/>
      <c r="AD9" s="63">
        <f>B50</f>
        <v>279.63802070852466</v>
      </c>
      <c r="AE9" s="63">
        <f>AQ8</f>
        <v>56.495682668479276</v>
      </c>
      <c r="AF9" s="26"/>
      <c r="AG9" s="63">
        <f>AA9</f>
        <v>753.17975874193894</v>
      </c>
      <c r="AH9" s="63">
        <f>AQ8</f>
        <v>56.495682668479276</v>
      </c>
      <c r="AI9" s="63">
        <f>B84</f>
        <v>-71.353223445394065</v>
      </c>
      <c r="AJ9" s="26">
        <v>0</v>
      </c>
      <c r="AK9" s="26"/>
      <c r="AL9" s="63">
        <f>B80</f>
        <v>-544.89496147880834</v>
      </c>
      <c r="AM9" s="26">
        <v>0</v>
      </c>
      <c r="AN9" s="26"/>
      <c r="AO9" s="63">
        <f>AO8+B83</f>
        <v>-71.353223445394065</v>
      </c>
      <c r="AP9" s="26">
        <v>0</v>
      </c>
    </row>
    <row r="10" spans="1:43" x14ac:dyDescent="0.25">
      <c r="A10" s="3" t="s">
        <v>75</v>
      </c>
      <c r="B10" s="34">
        <v>0.32</v>
      </c>
      <c r="C10" s="3" t="s">
        <v>14</v>
      </c>
      <c r="D10" s="32"/>
      <c r="E10">
        <v>0.25</v>
      </c>
      <c r="I10" s="3" t="str">
        <f>'Cycle analysis'!H30</f>
        <v>Mfuel</v>
      </c>
      <c r="J10" s="3">
        <f>'Cycle analysis'!I30</f>
        <v>2.5426364947292147E-2</v>
      </c>
      <c r="K10" s="3" t="str">
        <f>'Cycle analysis'!J30</f>
        <v>Kg/s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3" x14ac:dyDescent="0.25">
      <c r="A11" s="3" t="s">
        <v>79</v>
      </c>
      <c r="B11" s="34">
        <v>0.88800000000000001</v>
      </c>
      <c r="C11" s="3" t="s">
        <v>14</v>
      </c>
      <c r="D11" s="32"/>
      <c r="I11" s="3" t="str">
        <f>'Cycle analysis'!H31</f>
        <v>Mair</v>
      </c>
      <c r="J11" s="3">
        <f>'Cycle analysis'!I31</f>
        <v>0.75205594332708658</v>
      </c>
      <c r="K11" s="3" t="str">
        <f>'Cycle analysis'!J31</f>
        <v>Kg/s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3" x14ac:dyDescent="0.25">
      <c r="A12" s="3" t="s">
        <v>72</v>
      </c>
      <c r="B12" s="34">
        <v>75.3</v>
      </c>
      <c r="C12" s="3" t="s">
        <v>76</v>
      </c>
      <c r="D12" s="32"/>
      <c r="I12" s="3" t="str">
        <f>'Cycle analysis'!H32</f>
        <v>AHT avaliable - AHC</v>
      </c>
      <c r="J12" s="3">
        <f>'Cycle analysis'!I32</f>
        <v>216775.76974937151</v>
      </c>
      <c r="K12" s="3" t="str">
        <f>'Cycle analysis'!J32</f>
        <v>J/Kg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3" x14ac:dyDescent="0.25">
      <c r="A13" s="3" t="s">
        <v>112</v>
      </c>
      <c r="B13" s="34">
        <v>1.75</v>
      </c>
      <c r="C13" s="3" t="s">
        <v>14</v>
      </c>
      <c r="D13" s="32"/>
      <c r="I13" s="3" t="str">
        <f>'Cycle analysis'!H33</f>
        <v>(AHT available-AHC)*eff</v>
      </c>
      <c r="J13" s="3">
        <f>'Cycle analysis'!I33</f>
        <v>192930.43507694066</v>
      </c>
      <c r="K13" s="3" t="str">
        <f>'Cycle analysis'!J33</f>
        <v>J/Kg</v>
      </c>
      <c r="R13" t="s">
        <v>512</v>
      </c>
      <c r="S13" s="35">
        <f>(S16-S18)/S18</f>
        <v>5.0514163303605258E-3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3" x14ac:dyDescent="0.25">
      <c r="A14" s="3" t="s">
        <v>82</v>
      </c>
      <c r="B14" s="34">
        <v>0.80800000000000005</v>
      </c>
      <c r="C14" s="3" t="s">
        <v>14</v>
      </c>
      <c r="D14" s="32" t="s">
        <v>509</v>
      </c>
      <c r="S14" s="35">
        <f>S16-S18</f>
        <v>1972.3294536229223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3" ht="15.75" thickBot="1" x14ac:dyDescent="0.3">
      <c r="A15" s="3" t="s">
        <v>73</v>
      </c>
      <c r="B15" s="34">
        <v>-65</v>
      </c>
      <c r="C15" s="3" t="s">
        <v>76</v>
      </c>
      <c r="D15" s="32">
        <f>G83</f>
        <v>-65.956361547077037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3" x14ac:dyDescent="0.25">
      <c r="A16" s="38" t="s">
        <v>87</v>
      </c>
      <c r="B16" s="39">
        <v>0.9</v>
      </c>
      <c r="C16" s="38" t="s">
        <v>14</v>
      </c>
      <c r="D16" s="32" t="s">
        <v>328</v>
      </c>
      <c r="R16" t="s">
        <v>252</v>
      </c>
      <c r="S16">
        <f>J8</f>
        <v>392423.11090448679</v>
      </c>
      <c r="T16" s="12" t="s">
        <v>190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5.75" thickBot="1" x14ac:dyDescent="0.3">
      <c r="A17" s="2"/>
      <c r="B17" s="36"/>
      <c r="C17" s="2"/>
      <c r="D17" s="32"/>
      <c r="F17" s="251" t="s">
        <v>237</v>
      </c>
      <c r="G17" s="251"/>
      <c r="H17" s="251"/>
      <c r="J17" s="252" t="s">
        <v>239</v>
      </c>
      <c r="K17" s="252"/>
      <c r="L17" s="252"/>
      <c r="N17" s="253" t="s">
        <v>253</v>
      </c>
      <c r="O17" s="253"/>
      <c r="P17" s="253"/>
      <c r="R17" s="265" t="s">
        <v>242</v>
      </c>
      <c r="S17" s="265"/>
      <c r="T17" s="265"/>
      <c r="V17" s="266" t="s">
        <v>243</v>
      </c>
      <c r="W17" s="266"/>
      <c r="X17" s="266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x14ac:dyDescent="0.25">
      <c r="A18" s="256" t="s">
        <v>83</v>
      </c>
      <c r="B18" s="256"/>
      <c r="C18" s="256"/>
      <c r="D18" s="78"/>
      <c r="F18" s="10" t="s">
        <v>7</v>
      </c>
      <c r="G18" s="11">
        <f>F2</f>
        <v>1400</v>
      </c>
      <c r="H18" s="12" t="s">
        <v>93</v>
      </c>
      <c r="J18" s="10" t="s">
        <v>35</v>
      </c>
      <c r="K18" s="64">
        <f>B40</f>
        <v>1400</v>
      </c>
      <c r="L18" s="12" t="s">
        <v>93</v>
      </c>
      <c r="N18" s="10" t="s">
        <v>245</v>
      </c>
      <c r="O18" s="64">
        <f>B9</f>
        <v>0.42</v>
      </c>
      <c r="P18" s="12" t="s">
        <v>14</v>
      </c>
      <c r="R18" s="10" t="s">
        <v>251</v>
      </c>
      <c r="S18" s="64">
        <f>B90</f>
        <v>390450.78145086387</v>
      </c>
      <c r="T18" s="12" t="s">
        <v>190</v>
      </c>
      <c r="V18" s="80" t="s">
        <v>72</v>
      </c>
      <c r="W18" s="11" t="s">
        <v>291</v>
      </c>
      <c r="X18" s="1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x14ac:dyDescent="0.25">
      <c r="A19" s="3" t="s">
        <v>84</v>
      </c>
      <c r="B19" s="34">
        <f>J6/((1+Q2/2*B9^2)^S2)</f>
        <v>90483.171697279278</v>
      </c>
      <c r="C19" s="68" t="s">
        <v>92</v>
      </c>
      <c r="D19" s="32" t="s">
        <v>312</v>
      </c>
      <c r="F19" s="9" t="s">
        <v>8</v>
      </c>
      <c r="G19" s="3">
        <f>F3</f>
        <v>397194</v>
      </c>
      <c r="H19" s="5" t="str">
        <f>G3</f>
        <v>Pa</v>
      </c>
      <c r="J19" s="9" t="s">
        <v>33</v>
      </c>
      <c r="K19" s="34">
        <f>B41</f>
        <v>353263.77245638217</v>
      </c>
      <c r="L19" s="5" t="s">
        <v>92</v>
      </c>
      <c r="N19" s="9" t="s">
        <v>264</v>
      </c>
      <c r="O19" s="34">
        <f>B19</f>
        <v>90483.171697279278</v>
      </c>
      <c r="P19" s="5" t="s">
        <v>92</v>
      </c>
      <c r="R19" s="9" t="s">
        <v>250</v>
      </c>
      <c r="S19" s="34">
        <f>B96</f>
        <v>390450.78145086375</v>
      </c>
      <c r="T19" s="5" t="s">
        <v>190</v>
      </c>
      <c r="V19" s="81" t="s">
        <v>73</v>
      </c>
      <c r="W19" s="3" t="s">
        <v>290</v>
      </c>
      <c r="X19" s="5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x14ac:dyDescent="0.25">
      <c r="A20" s="3" t="s">
        <v>164</v>
      </c>
      <c r="B20" s="34">
        <f>J7*(B19/J6)^(U2)</f>
        <v>1055.5986100486869</v>
      </c>
      <c r="C20" s="68"/>
      <c r="D20" s="32" t="s">
        <v>314</v>
      </c>
      <c r="F20" s="9" t="s">
        <v>220</v>
      </c>
      <c r="G20" s="3">
        <f>B115</f>
        <v>93.458610362213591</v>
      </c>
      <c r="H20" s="5" t="s">
        <v>114</v>
      </c>
      <c r="J20" s="9" t="s">
        <v>97</v>
      </c>
      <c r="K20" s="34">
        <f>B34</f>
        <v>778.66728894916071</v>
      </c>
      <c r="L20" s="5" t="s">
        <v>114</v>
      </c>
      <c r="N20" s="9" t="s">
        <v>10</v>
      </c>
      <c r="O20" s="34">
        <f>B94</f>
        <v>1085.120337539626</v>
      </c>
      <c r="P20" s="5" t="s">
        <v>93</v>
      </c>
      <c r="R20" s="9" t="s">
        <v>247</v>
      </c>
      <c r="S20" s="34">
        <f>B10</f>
        <v>0.32</v>
      </c>
      <c r="T20" s="5"/>
      <c r="V20" s="81" t="s">
        <v>106</v>
      </c>
      <c r="W20" s="3" t="s">
        <v>289</v>
      </c>
      <c r="X20" s="5"/>
    </row>
    <row r="21" spans="1:42" x14ac:dyDescent="0.25">
      <c r="A21" s="73"/>
      <c r="B21" s="74"/>
      <c r="C21" s="73"/>
      <c r="F21" s="9" t="s">
        <v>210</v>
      </c>
      <c r="G21" s="3">
        <f>B116</f>
        <v>1396.4780194149855</v>
      </c>
      <c r="H21" s="5" t="s">
        <v>93</v>
      </c>
      <c r="J21" s="9" t="s">
        <v>91</v>
      </c>
      <c r="K21" s="34">
        <f>B33</f>
        <v>1155.5150214195824</v>
      </c>
      <c r="L21" s="5" t="s">
        <v>93</v>
      </c>
      <c r="N21" s="9" t="s">
        <v>29</v>
      </c>
      <c r="O21" s="34">
        <f>B95</f>
        <v>101372.1471611845</v>
      </c>
      <c r="P21" s="5" t="s">
        <v>92</v>
      </c>
      <c r="R21" s="9" t="s">
        <v>248</v>
      </c>
      <c r="S21" s="3">
        <f>F135</f>
        <v>0.3287490022899312</v>
      </c>
      <c r="T21" s="5"/>
      <c r="V21" s="81" t="s">
        <v>118</v>
      </c>
      <c r="W21" s="3" t="s">
        <v>288</v>
      </c>
      <c r="X21" s="5"/>
    </row>
    <row r="22" spans="1:42" x14ac:dyDescent="0.25">
      <c r="A22" s="257" t="s">
        <v>89</v>
      </c>
      <c r="B22" s="257"/>
      <c r="C22" s="257"/>
      <c r="D22" s="78"/>
      <c r="F22" s="9" t="s">
        <v>212</v>
      </c>
      <c r="G22" s="3">
        <f>B117</f>
        <v>392882.16115195543</v>
      </c>
      <c r="H22" s="5" t="s">
        <v>92</v>
      </c>
      <c r="J22" s="9" t="s">
        <v>244</v>
      </c>
      <c r="K22" s="34">
        <f>B25</f>
        <v>153781.89040757008</v>
      </c>
      <c r="L22" s="5" t="s">
        <v>92</v>
      </c>
      <c r="N22" s="9" t="s">
        <v>141</v>
      </c>
      <c r="O22" s="34">
        <f>B91</f>
        <v>263.91731020115793</v>
      </c>
      <c r="P22" s="5" t="s">
        <v>114</v>
      </c>
      <c r="R22" s="9" t="s">
        <v>249</v>
      </c>
      <c r="S22" s="34">
        <f>B136</f>
        <v>119.75486523466353</v>
      </c>
      <c r="T22" s="5" t="s">
        <v>121</v>
      </c>
      <c r="V22" s="81" t="s">
        <v>133</v>
      </c>
      <c r="W22" s="3" t="s">
        <v>287</v>
      </c>
      <c r="X22" s="5"/>
    </row>
    <row r="23" spans="1:42" x14ac:dyDescent="0.25">
      <c r="A23" s="3" t="s">
        <v>85</v>
      </c>
      <c r="B23" s="34">
        <f>B10*(F3-B19)+B19</f>
        <v>188630.63675414992</v>
      </c>
      <c r="C23" s="68" t="s">
        <v>92</v>
      </c>
      <c r="D23" s="32"/>
      <c r="F23" s="9" t="s">
        <v>238</v>
      </c>
      <c r="G23" s="3">
        <f>B120</f>
        <v>0.98316999999999988</v>
      </c>
      <c r="H23" s="5" t="s">
        <v>277</v>
      </c>
      <c r="J23" s="9" t="s">
        <v>99</v>
      </c>
      <c r="K23" s="34">
        <f>B37</f>
        <v>0.46508251481598428</v>
      </c>
      <c r="L23" s="5" t="s">
        <v>115</v>
      </c>
      <c r="N23" s="9" t="s">
        <v>163</v>
      </c>
      <c r="O23" s="34">
        <f>B66</f>
        <v>1057.0347139009912</v>
      </c>
      <c r="P23" s="5" t="s">
        <v>93</v>
      </c>
      <c r="R23" s="9" t="s">
        <v>170</v>
      </c>
      <c r="S23" s="34">
        <f>B138</f>
        <v>1.2090305450947048</v>
      </c>
      <c r="T23" s="5"/>
      <c r="V23" s="81" t="s">
        <v>131</v>
      </c>
      <c r="W23" s="3" t="s">
        <v>292</v>
      </c>
      <c r="X23" s="5"/>
    </row>
    <row r="24" spans="1:42" x14ac:dyDescent="0.25">
      <c r="A24" s="3" t="s">
        <v>86</v>
      </c>
      <c r="B24" s="34">
        <f>F3*((B10-1)*(1-(B19/F3)^U2)+1)^(S2)</f>
        <v>153781.89040757008</v>
      </c>
      <c r="C24" s="3" t="s">
        <v>92</v>
      </c>
      <c r="D24" s="32"/>
      <c r="F24" s="9" t="s">
        <v>207</v>
      </c>
      <c r="G24" s="3">
        <f>B121</f>
        <v>8.4614068541261512E-3</v>
      </c>
      <c r="H24" s="5" t="s">
        <v>144</v>
      </c>
      <c r="J24" s="9" t="s">
        <v>94</v>
      </c>
      <c r="K24" s="34">
        <f>B28</f>
        <v>1124.6790781752054</v>
      </c>
      <c r="L24" s="5" t="s">
        <v>93</v>
      </c>
      <c r="N24" s="9" t="s">
        <v>84</v>
      </c>
      <c r="O24" s="34">
        <f>B74</f>
        <v>90483.171697279337</v>
      </c>
      <c r="P24" s="5" t="s">
        <v>92</v>
      </c>
      <c r="R24" s="9" t="s">
        <v>286</v>
      </c>
      <c r="S24" s="3">
        <f>B126/B103</f>
        <v>1.2090305450947043</v>
      </c>
      <c r="T24" s="5"/>
      <c r="V24" s="81" t="s">
        <v>168</v>
      </c>
      <c r="W24" s="3" t="s">
        <v>775</v>
      </c>
      <c r="X24" s="5" t="s">
        <v>293</v>
      </c>
    </row>
    <row r="25" spans="1:42" x14ac:dyDescent="0.25">
      <c r="A25" s="3" t="s">
        <v>88</v>
      </c>
      <c r="B25" s="34">
        <f>B24</f>
        <v>153781.89040757008</v>
      </c>
      <c r="C25" s="3" t="s">
        <v>92</v>
      </c>
      <c r="D25" s="32"/>
      <c r="F25" s="75" t="s">
        <v>240</v>
      </c>
      <c r="G25" s="26">
        <f>B119</f>
        <v>0.12966739831454782</v>
      </c>
      <c r="H25" s="76" t="s">
        <v>14</v>
      </c>
      <c r="J25" s="88" t="s">
        <v>106</v>
      </c>
      <c r="K25" s="89">
        <f>B39</f>
        <v>1.1876614582508591</v>
      </c>
      <c r="L25" s="90" t="s">
        <v>14</v>
      </c>
      <c r="N25" s="9" t="s">
        <v>129</v>
      </c>
      <c r="O25" s="34">
        <f>B70</f>
        <v>0.29914309162892455</v>
      </c>
      <c r="P25" s="5" t="s">
        <v>115</v>
      </c>
      <c r="R25" s="9" t="s">
        <v>258</v>
      </c>
      <c r="S25" s="3">
        <f>B46/B115</f>
        <v>2.1142301388107434</v>
      </c>
      <c r="T25" s="5"/>
      <c r="V25" s="81" t="s">
        <v>74</v>
      </c>
      <c r="W25" s="3" t="s">
        <v>294</v>
      </c>
      <c r="X25" s="5"/>
    </row>
    <row r="26" spans="1:42" ht="15.75" thickBot="1" x14ac:dyDescent="0.3">
      <c r="E26" s="35"/>
      <c r="F26" s="81" t="s">
        <v>416</v>
      </c>
      <c r="G26" s="34">
        <f>B167</f>
        <v>0</v>
      </c>
      <c r="H26" s="143" t="s">
        <v>121</v>
      </c>
      <c r="J26" s="9" t="s">
        <v>221</v>
      </c>
      <c r="K26" s="34">
        <f>B12</f>
        <v>75.3</v>
      </c>
      <c r="L26" s="5" t="s">
        <v>121</v>
      </c>
      <c r="N26" s="9" t="s">
        <v>127</v>
      </c>
      <c r="O26" s="34">
        <f>B64</f>
        <v>1022.3999406809887</v>
      </c>
      <c r="P26" s="5" t="s">
        <v>93</v>
      </c>
      <c r="R26" s="9" t="s">
        <v>285</v>
      </c>
      <c r="S26" s="3">
        <f>B88/B46</f>
        <v>1.2859194384023003</v>
      </c>
      <c r="T26" s="5"/>
      <c r="V26" s="82" t="s">
        <v>170</v>
      </c>
      <c r="W26" s="7" t="s">
        <v>369</v>
      </c>
      <c r="X26" s="8"/>
    </row>
    <row r="27" spans="1:42" x14ac:dyDescent="0.25">
      <c r="A27" s="257" t="s">
        <v>90</v>
      </c>
      <c r="B27" s="257"/>
      <c r="C27" s="257"/>
      <c r="D27" s="78"/>
      <c r="F27" s="9" t="str">
        <f t="shared" ref="F27:H30" si="0">E99</f>
        <v>m1</v>
      </c>
      <c r="G27" s="3">
        <f t="shared" si="0"/>
        <v>0.7774823082743787</v>
      </c>
      <c r="H27" s="5" t="str">
        <f t="shared" si="0"/>
        <v>[kg/s]</v>
      </c>
      <c r="J27" s="9" t="s">
        <v>110</v>
      </c>
      <c r="K27" s="34">
        <f>B46</f>
        <v>197.59301075916201</v>
      </c>
      <c r="L27" s="5" t="s">
        <v>114</v>
      </c>
      <c r="N27" s="9" t="s">
        <v>263</v>
      </c>
      <c r="O27" s="34">
        <f>B153</f>
        <v>995.11629143412597</v>
      </c>
      <c r="P27" s="5" t="s">
        <v>93</v>
      </c>
      <c r="R27" s="9" t="s">
        <v>267</v>
      </c>
      <c r="S27" s="34">
        <f>B155</f>
        <v>0.8356721412774113</v>
      </c>
      <c r="T27" s="5"/>
    </row>
    <row r="28" spans="1:42" x14ac:dyDescent="0.25">
      <c r="A28" s="3" t="s">
        <v>94</v>
      </c>
      <c r="B28" s="34">
        <f>F2*(B25/F3)^U2</f>
        <v>1124.6790781752054</v>
      </c>
      <c r="C28" s="3" t="s">
        <v>93</v>
      </c>
      <c r="D28" s="32"/>
      <c r="F28" s="81" t="str">
        <f t="shared" si="0"/>
        <v>Rt1</v>
      </c>
      <c r="G28" s="38">
        <f t="shared" si="0"/>
        <v>0.11906100719891113</v>
      </c>
      <c r="H28" s="143" t="str">
        <f t="shared" si="0"/>
        <v>m</v>
      </c>
      <c r="J28" s="9" t="s">
        <v>111</v>
      </c>
      <c r="K28" s="34">
        <f>B47</f>
        <v>753.17975874193894</v>
      </c>
      <c r="L28" s="5" t="s">
        <v>114</v>
      </c>
      <c r="N28" s="67" t="s">
        <v>246</v>
      </c>
      <c r="O28" s="66">
        <f>B93</f>
        <v>0.42087369356009224</v>
      </c>
      <c r="P28" s="5" t="s">
        <v>14</v>
      </c>
      <c r="R28" s="9" t="s">
        <v>268</v>
      </c>
      <c r="S28" s="34">
        <f>B156</f>
        <v>0.77770395745410292</v>
      </c>
      <c r="T28" s="5"/>
    </row>
    <row r="29" spans="1:42" ht="15.75" thickBot="1" x14ac:dyDescent="0.3">
      <c r="A29" s="3" t="s">
        <v>35</v>
      </c>
      <c r="B29" s="34">
        <f>F2</f>
        <v>1400</v>
      </c>
      <c r="C29" s="3" t="s">
        <v>297</v>
      </c>
      <c r="D29" t="s">
        <v>298</v>
      </c>
      <c r="F29" s="9" t="str">
        <f t="shared" si="0"/>
        <v>Rh1</v>
      </c>
      <c r="G29" s="3">
        <f t="shared" si="0"/>
        <v>0.10715490647902003</v>
      </c>
      <c r="H29" s="5" t="str">
        <f t="shared" si="0"/>
        <v>m</v>
      </c>
      <c r="J29" s="9" t="s">
        <v>122</v>
      </c>
      <c r="K29" s="34">
        <f>B53</f>
        <v>342.40388509281195</v>
      </c>
      <c r="L29" s="5" t="s">
        <v>114</v>
      </c>
      <c r="N29" s="9" t="s">
        <v>265</v>
      </c>
      <c r="O29" s="34">
        <f>B74</f>
        <v>90483.171697279337</v>
      </c>
      <c r="P29" s="5" t="s">
        <v>92</v>
      </c>
      <c r="R29" s="81" t="s">
        <v>359</v>
      </c>
      <c r="S29" s="3">
        <f>O33/K29</f>
        <v>1.7558944124908706</v>
      </c>
      <c r="T29" s="5"/>
    </row>
    <row r="30" spans="1:42" ht="15.75" thickBot="1" x14ac:dyDescent="0.3">
      <c r="A30" s="3" t="s">
        <v>95</v>
      </c>
      <c r="B30" s="34">
        <f>SQRT(2*N3*(B29-B28))</f>
        <v>826.31464111771049</v>
      </c>
      <c r="C30" s="3" t="s">
        <v>114</v>
      </c>
      <c r="D30" s="32"/>
      <c r="F30" s="9" t="str">
        <f t="shared" si="0"/>
        <v>h1 blade</v>
      </c>
      <c r="G30" s="3">
        <f t="shared" si="0"/>
        <v>1.1906100719891108E-2</v>
      </c>
      <c r="H30" s="5" t="str">
        <f t="shared" si="0"/>
        <v>m</v>
      </c>
      <c r="J30" s="9" t="s">
        <v>123</v>
      </c>
      <c r="K30" s="34">
        <f>B55</f>
        <v>1202.7893845351678</v>
      </c>
      <c r="L30" s="5" t="s">
        <v>93</v>
      </c>
      <c r="N30" s="9" t="s">
        <v>223</v>
      </c>
      <c r="O30" s="34">
        <f>B89</f>
        <v>-15.685811710589164</v>
      </c>
      <c r="P30" s="5" t="s">
        <v>121</v>
      </c>
      <c r="R30" s="81" t="s">
        <v>410</v>
      </c>
      <c r="S30" s="34">
        <f>B13</f>
        <v>1.75</v>
      </c>
      <c r="T30" s="5"/>
      <c r="AA30" s="55" t="s">
        <v>225</v>
      </c>
      <c r="AB30" s="56" t="s">
        <v>226</v>
      </c>
      <c r="AC30" s="57" t="s">
        <v>233</v>
      </c>
      <c r="AD30" s="57" t="s">
        <v>227</v>
      </c>
      <c r="AE30" s="57" t="s">
        <v>229</v>
      </c>
      <c r="AF30" s="57" t="s">
        <v>228</v>
      </c>
      <c r="AG30" s="57" t="s">
        <v>234</v>
      </c>
      <c r="AH30" s="58" t="s">
        <v>235</v>
      </c>
      <c r="AI30" s="58" t="s">
        <v>230</v>
      </c>
      <c r="AJ30" s="58" t="s">
        <v>231</v>
      </c>
      <c r="AK30" s="58" t="s">
        <v>232</v>
      </c>
      <c r="AL30" s="59" t="s">
        <v>236</v>
      </c>
    </row>
    <row r="31" spans="1:42" ht="15.75" thickBot="1" x14ac:dyDescent="0.3">
      <c r="E31" s="72"/>
      <c r="F31" s="13" t="s">
        <v>592</v>
      </c>
      <c r="G31" s="7">
        <f>J9</f>
        <v>0.7774823082743787</v>
      </c>
      <c r="H31" s="8"/>
      <c r="J31" s="9" t="s">
        <v>125</v>
      </c>
      <c r="K31" s="34">
        <f>B56</f>
        <v>182964.07424652783</v>
      </c>
      <c r="L31" s="5" t="s">
        <v>92</v>
      </c>
      <c r="N31" s="9" t="s">
        <v>142</v>
      </c>
      <c r="O31" s="34">
        <f>B88</f>
        <v>254.08869342764129</v>
      </c>
      <c r="P31" s="5" t="s">
        <v>114</v>
      </c>
      <c r="R31" s="82" t="s">
        <v>749</v>
      </c>
      <c r="S31" s="7">
        <f>O31/K37</f>
        <v>0.536570851141557</v>
      </c>
      <c r="T31" s="8"/>
      <c r="AA31" s="60">
        <v>0</v>
      </c>
      <c r="AB31" s="60">
        <f>B115</f>
        <v>93.458610362213591</v>
      </c>
      <c r="AC31" s="61">
        <f>B12</f>
        <v>75.3</v>
      </c>
      <c r="AD31" s="61">
        <f>B34</f>
        <v>778.66728894916071</v>
      </c>
      <c r="AE31" s="61">
        <f>B49</f>
        <v>473.54173803341428</v>
      </c>
      <c r="AF31" s="61">
        <f>B53</f>
        <v>342.40388509281195</v>
      </c>
      <c r="AG31" s="61">
        <f>B52</f>
        <v>54.754865234663527</v>
      </c>
      <c r="AH31" s="61">
        <f>B89</f>
        <v>-15.685811710589164</v>
      </c>
      <c r="AI31" s="61">
        <f>B91</f>
        <v>263.91731020115793</v>
      </c>
      <c r="AJ31" s="61">
        <f>B83</f>
        <v>473.54173803341428</v>
      </c>
      <c r="AK31" s="61">
        <f>B67</f>
        <v>601.22506864963464</v>
      </c>
      <c r="AL31" s="61">
        <f>B15</f>
        <v>-65</v>
      </c>
    </row>
    <row r="32" spans="1:42" x14ac:dyDescent="0.25">
      <c r="A32" s="254" t="s">
        <v>96</v>
      </c>
      <c r="B32" s="254"/>
      <c r="C32" s="254"/>
      <c r="D32" s="78"/>
      <c r="E32" s="71"/>
      <c r="J32" s="9" t="s">
        <v>222</v>
      </c>
      <c r="K32" s="34">
        <f>B52</f>
        <v>54.754865234663527</v>
      </c>
      <c r="L32" s="5" t="s">
        <v>121</v>
      </c>
      <c r="N32" s="9" t="s">
        <v>138</v>
      </c>
      <c r="O32" s="34">
        <f>B84</f>
        <v>-71.353223445394065</v>
      </c>
      <c r="P32" s="5" t="s">
        <v>114</v>
      </c>
    </row>
    <row r="33" spans="1:20" ht="15.75" thickBot="1" x14ac:dyDescent="0.3">
      <c r="A33" s="3" t="s">
        <v>91</v>
      </c>
      <c r="B33" s="34">
        <f>B29-(B29-B28)*B11</f>
        <v>1155.5150214195824</v>
      </c>
      <c r="C33" s="3" t="s">
        <v>93</v>
      </c>
      <c r="D33" s="32"/>
      <c r="E33" s="71"/>
      <c r="J33" s="9" t="s">
        <v>119</v>
      </c>
      <c r="K33" s="34">
        <f>B51</f>
        <v>197.59301075916201</v>
      </c>
      <c r="L33" s="5" t="s">
        <v>114</v>
      </c>
      <c r="N33" s="9" t="s">
        <v>128</v>
      </c>
      <c r="O33" s="34">
        <f>B67</f>
        <v>601.22506864963464</v>
      </c>
      <c r="P33" s="5" t="s">
        <v>114</v>
      </c>
    </row>
    <row r="34" spans="1:20" ht="15.75" thickBot="1" x14ac:dyDescent="0.3">
      <c r="A34" s="3" t="s">
        <v>97</v>
      </c>
      <c r="B34" s="34">
        <f>SQRT(2*N3*(B29-B33))</f>
        <v>778.66728894916071</v>
      </c>
      <c r="C34" s="3" t="s">
        <v>114</v>
      </c>
      <c r="D34" s="107" t="s">
        <v>406</v>
      </c>
      <c r="E34" s="71"/>
      <c r="J34" s="9" t="s">
        <v>241</v>
      </c>
      <c r="K34" s="34">
        <f>B50</f>
        <v>279.63802070852466</v>
      </c>
      <c r="L34" s="5" t="s">
        <v>114</v>
      </c>
      <c r="N34" s="9" t="s">
        <v>124</v>
      </c>
      <c r="O34" s="34">
        <f>B59</f>
        <v>1202.7893845351678</v>
      </c>
      <c r="P34" s="5" t="s">
        <v>93</v>
      </c>
      <c r="R34" s="269" t="s">
        <v>698</v>
      </c>
      <c r="S34" s="270"/>
      <c r="T34" s="271"/>
    </row>
    <row r="35" spans="1:20" x14ac:dyDescent="0.25">
      <c r="A35" s="3" t="s">
        <v>98</v>
      </c>
      <c r="B35" s="48">
        <f>(B30^2-B34^2)/B30^2</f>
        <v>0.11199999999999996</v>
      </c>
      <c r="C35" s="3"/>
      <c r="D35" s="107">
        <f>(B30^2-B34^2)/B34^2</f>
        <v>0.12612612612612609</v>
      </c>
      <c r="E35" t="s">
        <v>498</v>
      </c>
      <c r="J35" s="9" t="s">
        <v>133</v>
      </c>
      <c r="K35" s="34">
        <f>B54</f>
        <v>0.52225116330350885</v>
      </c>
      <c r="L35" s="5" t="s">
        <v>14</v>
      </c>
      <c r="N35" s="9" t="s">
        <v>132</v>
      </c>
      <c r="O35" s="34">
        <f>B73</f>
        <v>158368.67128707786</v>
      </c>
      <c r="P35" s="5" t="s">
        <v>92</v>
      </c>
      <c r="R35" s="10" t="s">
        <v>699</v>
      </c>
      <c r="S35" s="217">
        <f>K51</f>
        <v>1.700766470497439E-2</v>
      </c>
      <c r="T35" s="12" t="s">
        <v>279</v>
      </c>
    </row>
    <row r="36" spans="1:20" x14ac:dyDescent="0.25">
      <c r="A36" s="3" t="s">
        <v>338</v>
      </c>
      <c r="B36" s="48">
        <f>B34^2/B30^2</f>
        <v>0.88800000000000001</v>
      </c>
      <c r="C36" s="3"/>
      <c r="D36" s="32">
        <f>D35*(1+B39^2*N2/2)</f>
        <v>0.24176496962767985</v>
      </c>
      <c r="E36" s="71"/>
      <c r="J36" s="9" t="s">
        <v>608</v>
      </c>
      <c r="K36" s="34">
        <f>B30</f>
        <v>826.31464111771049</v>
      </c>
      <c r="L36" s="5"/>
      <c r="N36" s="9"/>
      <c r="O36" s="34"/>
      <c r="P36" s="5"/>
      <c r="R36" s="9" t="s">
        <v>700</v>
      </c>
      <c r="S36" s="46">
        <f>K44</f>
        <v>1.1905365293482073E-2</v>
      </c>
      <c r="T36" s="5" t="s">
        <v>279</v>
      </c>
    </row>
    <row r="37" spans="1:20" x14ac:dyDescent="0.25">
      <c r="A37" s="3" t="s">
        <v>99</v>
      </c>
      <c r="B37" s="34">
        <f>B25/(B33*N5)</f>
        <v>0.46508251481598428</v>
      </c>
      <c r="C37" s="3" t="s">
        <v>115</v>
      </c>
      <c r="D37" s="32"/>
      <c r="E37" s="71"/>
      <c r="J37" s="9" t="s">
        <v>140</v>
      </c>
      <c r="K37" s="34">
        <f>B49</f>
        <v>473.54173803341428</v>
      </c>
      <c r="L37" s="5" t="s">
        <v>114</v>
      </c>
      <c r="N37" s="9" t="s">
        <v>224</v>
      </c>
      <c r="O37" s="34">
        <f>B15</f>
        <v>-65</v>
      </c>
      <c r="P37" s="5" t="s">
        <v>121</v>
      </c>
      <c r="R37" s="9" t="s">
        <v>701</v>
      </c>
      <c r="S37" s="46">
        <f>K50*K51</f>
        <v>1.1686917842638396E-2</v>
      </c>
      <c r="T37" s="5" t="s">
        <v>279</v>
      </c>
    </row>
    <row r="38" spans="1:20" x14ac:dyDescent="0.25">
      <c r="A38" s="3" t="s">
        <v>101</v>
      </c>
      <c r="B38" s="34">
        <f>SQRT(B33*N5*N2)</f>
        <v>655.63067955067868</v>
      </c>
      <c r="C38" s="3" t="s">
        <v>114</v>
      </c>
      <c r="D38" s="32"/>
      <c r="J38" s="9" t="s">
        <v>108</v>
      </c>
      <c r="K38" s="34">
        <f>B75</f>
        <v>0.26595115620062493</v>
      </c>
      <c r="L38" s="5" t="s">
        <v>14</v>
      </c>
      <c r="N38" s="9" t="s">
        <v>136</v>
      </c>
      <c r="O38" s="34">
        <f>B79</f>
        <v>254.08869342764129</v>
      </c>
      <c r="P38" s="5" t="s">
        <v>114</v>
      </c>
      <c r="R38" s="4" t="s">
        <v>704</v>
      </c>
      <c r="S38" s="46">
        <f>G26</f>
        <v>0</v>
      </c>
      <c r="T38" s="5" t="s">
        <v>121</v>
      </c>
    </row>
    <row r="39" spans="1:20" x14ac:dyDescent="0.25">
      <c r="A39" s="53" t="s">
        <v>106</v>
      </c>
      <c r="B39" s="54">
        <f>B34/B38</f>
        <v>1.1876614582508591</v>
      </c>
      <c r="C39" s="53"/>
      <c r="D39" s="32"/>
      <c r="J39" s="9" t="s">
        <v>208</v>
      </c>
      <c r="K39" s="49">
        <f>B103</f>
        <v>8.4603615832992661E-3</v>
      </c>
      <c r="L39" s="5" t="s">
        <v>280</v>
      </c>
      <c r="N39" s="9" t="s">
        <v>137</v>
      </c>
      <c r="O39" s="34">
        <f>B80</f>
        <v>-544.89496147880834</v>
      </c>
      <c r="P39" s="5" t="s">
        <v>114</v>
      </c>
      <c r="R39" s="4" t="s">
        <v>455</v>
      </c>
      <c r="S39" s="22">
        <f>K26</f>
        <v>75.3</v>
      </c>
      <c r="T39" s="5" t="s">
        <v>121</v>
      </c>
    </row>
    <row r="40" spans="1:20" x14ac:dyDescent="0.25">
      <c r="A40" s="3" t="s">
        <v>107</v>
      </c>
      <c r="B40" s="34">
        <f>B33+B34^2/(2*N3)</f>
        <v>1400</v>
      </c>
      <c r="C40" s="3" t="s">
        <v>93</v>
      </c>
      <c r="D40" s="32" t="s">
        <v>315</v>
      </c>
      <c r="J40" s="9" t="s">
        <v>254</v>
      </c>
      <c r="K40" s="34">
        <f>B101</f>
        <v>0.10714828764133873</v>
      </c>
      <c r="L40" s="5" t="s">
        <v>279</v>
      </c>
      <c r="N40" s="9" t="s">
        <v>131</v>
      </c>
      <c r="O40" s="34">
        <f>B72</f>
        <v>0.95878445832380088</v>
      </c>
      <c r="P40" s="5" t="s">
        <v>14</v>
      </c>
      <c r="R40" s="4" t="s">
        <v>709</v>
      </c>
      <c r="S40" s="22">
        <f>ROUND(K56,0)</f>
        <v>61</v>
      </c>
      <c r="T40" s="5"/>
    </row>
    <row r="41" spans="1:20" x14ac:dyDescent="0.25">
      <c r="A41" s="3" t="s">
        <v>33</v>
      </c>
      <c r="B41" s="34">
        <f>B25*(B40/B33)^S2</f>
        <v>353263.77245638217</v>
      </c>
      <c r="C41" s="3" t="s">
        <v>92</v>
      </c>
      <c r="D41" s="32" t="s">
        <v>316</v>
      </c>
      <c r="E41">
        <f>B41/F3</f>
        <v>0.88939856205376255</v>
      </c>
      <c r="J41" s="9" t="s">
        <v>256</v>
      </c>
      <c r="K41" s="34">
        <f>B100</f>
        <v>0.1190536529348208</v>
      </c>
      <c r="L41" s="5" t="s">
        <v>279</v>
      </c>
      <c r="N41" s="9" t="s">
        <v>139</v>
      </c>
      <c r="O41" s="34">
        <f>B83</f>
        <v>473.54173803341428</v>
      </c>
      <c r="P41" s="5" t="s">
        <v>114</v>
      </c>
      <c r="R41" s="9" t="s">
        <v>705</v>
      </c>
      <c r="S41" s="46">
        <f>O56</f>
        <v>1.0281393064521579E-2</v>
      </c>
      <c r="T41" s="5" t="s">
        <v>279</v>
      </c>
    </row>
    <row r="42" spans="1:20" x14ac:dyDescent="0.25">
      <c r="A42" s="3" t="s">
        <v>108</v>
      </c>
      <c r="B42" s="34">
        <f>(F3-B41)/(F3-B25)</f>
        <v>0.18047675449333542</v>
      </c>
      <c r="C42" s="3"/>
      <c r="D42" s="32"/>
      <c r="J42" s="9" t="s">
        <v>276</v>
      </c>
      <c r="K42" s="34">
        <f>B105</f>
        <v>0.11310097028807976</v>
      </c>
      <c r="L42" s="5" t="s">
        <v>279</v>
      </c>
      <c r="N42" s="9" t="s">
        <v>108</v>
      </c>
      <c r="O42" s="34">
        <f>B75</f>
        <v>0.26595115620062493</v>
      </c>
      <c r="P42" s="5" t="s">
        <v>14</v>
      </c>
      <c r="R42" s="9" t="s">
        <v>706</v>
      </c>
      <c r="S42" s="46">
        <f>O49</f>
        <v>1.439395029033021E-2</v>
      </c>
      <c r="T42" s="5" t="s">
        <v>279</v>
      </c>
    </row>
    <row r="43" spans="1:20" x14ac:dyDescent="0.25">
      <c r="A43" s="16" t="s">
        <v>365</v>
      </c>
      <c r="B43" s="36">
        <f>(F3-B41)/(B41-B25)</f>
        <v>0.22022164164697602</v>
      </c>
      <c r="C43" s="2"/>
      <c r="D43" s="32"/>
      <c r="J43" s="9"/>
      <c r="K43" s="34"/>
      <c r="L43" s="5"/>
      <c r="N43" s="9"/>
      <c r="O43" s="34"/>
      <c r="P43" s="5"/>
      <c r="R43" s="9" t="s">
        <v>707</v>
      </c>
      <c r="S43" s="46">
        <f>O55*O56</f>
        <v>6.5493137692234568E-3</v>
      </c>
      <c r="T43" s="5" t="s">
        <v>279</v>
      </c>
    </row>
    <row r="44" spans="1:20" x14ac:dyDescent="0.25">
      <c r="J44" s="9" t="s">
        <v>257</v>
      </c>
      <c r="K44" s="48">
        <f>B102</f>
        <v>1.1905365293482073E-2</v>
      </c>
      <c r="L44" s="5" t="s">
        <v>279</v>
      </c>
      <c r="N44" s="9" t="s">
        <v>154</v>
      </c>
      <c r="O44" s="48">
        <f>B126</f>
        <v>1.0228835576754608E-2</v>
      </c>
      <c r="P44" s="5" t="s">
        <v>280</v>
      </c>
      <c r="R44" s="4" t="s">
        <v>457</v>
      </c>
      <c r="S44" s="46">
        <f>K32</f>
        <v>54.754865234663527</v>
      </c>
      <c r="T44" s="5" t="s">
        <v>121</v>
      </c>
    </row>
    <row r="45" spans="1:20" x14ac:dyDescent="0.25">
      <c r="A45" s="254" t="s">
        <v>109</v>
      </c>
      <c r="B45" s="254"/>
      <c r="C45" s="254"/>
      <c r="D45" s="78"/>
      <c r="J45" s="9" t="s">
        <v>147</v>
      </c>
      <c r="K45" s="34">
        <f>B106</f>
        <v>4186.8936829388367</v>
      </c>
      <c r="L45" s="5" t="s">
        <v>282</v>
      </c>
      <c r="N45" s="9" t="s">
        <v>255</v>
      </c>
      <c r="O45" s="34">
        <f>B125</f>
        <v>0.10590399514291465</v>
      </c>
      <c r="P45" s="5" t="s">
        <v>279</v>
      </c>
      <c r="R45" s="4" t="s">
        <v>708</v>
      </c>
      <c r="S45" s="22">
        <f>O37</f>
        <v>-65</v>
      </c>
      <c r="T45" s="5" t="s">
        <v>121</v>
      </c>
    </row>
    <row r="46" spans="1:20" ht="15.75" thickBot="1" x14ac:dyDescent="0.3">
      <c r="A46" s="3" t="s">
        <v>110</v>
      </c>
      <c r="B46" s="34">
        <f>B34*COS(RADIANS(B12))</f>
        <v>197.59301075916201</v>
      </c>
      <c r="C46" s="3" t="s">
        <v>114</v>
      </c>
      <c r="D46" s="32"/>
      <c r="J46" s="9" t="s">
        <v>260</v>
      </c>
      <c r="K46" s="34">
        <f>B151</f>
        <v>1736000</v>
      </c>
      <c r="L46" s="5" t="s">
        <v>281</v>
      </c>
      <c r="N46" s="9" t="s">
        <v>156</v>
      </c>
      <c r="O46" s="34">
        <f>B128</f>
        <v>0.12029794543324487</v>
      </c>
      <c r="P46" s="5" t="s">
        <v>279</v>
      </c>
      <c r="R46" s="6" t="s">
        <v>710</v>
      </c>
      <c r="S46" s="218">
        <f>ROUND(O62,0)</f>
        <v>109</v>
      </c>
      <c r="T46" s="8"/>
    </row>
    <row r="47" spans="1:20" x14ac:dyDescent="0.25">
      <c r="A47" s="3" t="s">
        <v>111</v>
      </c>
      <c r="B47" s="34">
        <f>B34*SIN(RADIANS(B12))</f>
        <v>753.17975874193894</v>
      </c>
      <c r="C47" s="3" t="s">
        <v>114</v>
      </c>
      <c r="D47" s="32"/>
      <c r="J47" s="9" t="s">
        <v>269</v>
      </c>
      <c r="K47" s="34">
        <f>B158</f>
        <v>0.12612612612612609</v>
      </c>
      <c r="L47" s="5" t="s">
        <v>14</v>
      </c>
      <c r="N47" s="9" t="s">
        <v>275</v>
      </c>
      <c r="O47" s="34">
        <f>B105</f>
        <v>0.11310097028807976</v>
      </c>
      <c r="P47" s="5" t="s">
        <v>279</v>
      </c>
    </row>
    <row r="48" spans="1:20" x14ac:dyDescent="0.25">
      <c r="A48" s="258" t="s">
        <v>305</v>
      </c>
      <c r="B48" s="259"/>
      <c r="C48" s="260"/>
      <c r="D48" s="78"/>
      <c r="J48" s="9"/>
      <c r="K48" s="34"/>
      <c r="L48" s="5"/>
      <c r="N48" s="9"/>
      <c r="O48" s="34"/>
      <c r="P48" s="5"/>
      <c r="Q48" t="s">
        <v>517</v>
      </c>
      <c r="R48" t="s">
        <v>516</v>
      </c>
    </row>
    <row r="49" spans="1:18" x14ac:dyDescent="0.25">
      <c r="A49" s="3" t="s">
        <v>140</v>
      </c>
      <c r="B49" s="34">
        <f>SQRT(J8/B13)</f>
        <v>473.54173803341428</v>
      </c>
      <c r="C49" s="3" t="s">
        <v>114</v>
      </c>
      <c r="D49" s="32" t="s">
        <v>306</v>
      </c>
      <c r="E49" t="s">
        <v>116</v>
      </c>
      <c r="F49" t="s">
        <v>117</v>
      </c>
      <c r="J49" s="9" t="s">
        <v>272</v>
      </c>
      <c r="K49" s="34">
        <f>B161</f>
        <v>0.24176496962767985</v>
      </c>
      <c r="L49" s="5" t="s">
        <v>14</v>
      </c>
      <c r="N49" s="9" t="s">
        <v>155</v>
      </c>
      <c r="O49" s="48">
        <f>B127</f>
        <v>1.439395029033021E-2</v>
      </c>
      <c r="P49" s="5" t="s">
        <v>279</v>
      </c>
      <c r="Q49" s="32">
        <v>0.05</v>
      </c>
      <c r="R49">
        <f>O49*0.05</f>
        <v>7.1969751451651061E-4</v>
      </c>
    </row>
    <row r="50" spans="1:18" x14ac:dyDescent="0.25">
      <c r="A50" s="3" t="s">
        <v>113</v>
      </c>
      <c r="B50" s="34">
        <f>B47-B49</f>
        <v>279.63802070852466</v>
      </c>
      <c r="C50" s="3" t="s">
        <v>114</v>
      </c>
      <c r="D50" s="32" t="s">
        <v>307</v>
      </c>
      <c r="E50">
        <f>SQRT(B49^2/(2*J11))</f>
        <v>386.11634999606417</v>
      </c>
      <c r="F50">
        <f>B49/SQRT(F2)</f>
        <v>12.655935300417822</v>
      </c>
      <c r="J50" s="9" t="str">
        <f>A175</f>
        <v>optimim pitch/chord sorderberg</v>
      </c>
      <c r="K50" s="34">
        <f>B177</f>
        <v>0.68715594088706455</v>
      </c>
      <c r="L50" s="5"/>
      <c r="N50" s="9" t="s">
        <v>147</v>
      </c>
      <c r="O50" s="34">
        <f>B106</f>
        <v>4186.8936829388367</v>
      </c>
      <c r="P50" s="5" t="s">
        <v>282</v>
      </c>
    </row>
    <row r="51" spans="1:18" x14ac:dyDescent="0.25">
      <c r="A51" s="3" t="s">
        <v>119</v>
      </c>
      <c r="B51" s="34">
        <f>B46</f>
        <v>197.59301075916201</v>
      </c>
      <c r="C51" s="3" t="s">
        <v>114</v>
      </c>
      <c r="D51" s="32" t="s">
        <v>308</v>
      </c>
      <c r="J51" s="9" t="s">
        <v>518</v>
      </c>
      <c r="K51" s="34">
        <f>B170</f>
        <v>1.700766470497439E-2</v>
      </c>
      <c r="L51" s="5"/>
      <c r="N51" s="9" t="s">
        <v>261</v>
      </c>
      <c r="O51" s="34">
        <f>B152</f>
        <v>1345549.2185491363</v>
      </c>
      <c r="P51" s="5" t="s">
        <v>281</v>
      </c>
    </row>
    <row r="52" spans="1:18" x14ac:dyDescent="0.25">
      <c r="A52" s="53" t="s">
        <v>118</v>
      </c>
      <c r="B52" s="54">
        <f>DEGREES(ATAN(B50/B51))</f>
        <v>54.754865234663527</v>
      </c>
      <c r="C52" s="53" t="s">
        <v>121</v>
      </c>
      <c r="D52" s="32" t="s">
        <v>309</v>
      </c>
      <c r="J52" s="9" t="s">
        <v>346</v>
      </c>
      <c r="K52" s="3">
        <f>C171</f>
        <v>0.7</v>
      </c>
      <c r="L52" s="5"/>
      <c r="N52" s="9" t="s">
        <v>266</v>
      </c>
      <c r="O52" s="34">
        <f>B154</f>
        <v>1233944.2013783162</v>
      </c>
      <c r="P52" s="5" t="s">
        <v>281</v>
      </c>
    </row>
    <row r="53" spans="1:18" x14ac:dyDescent="0.25">
      <c r="A53" s="3" t="s">
        <v>122</v>
      </c>
      <c r="B53" s="34">
        <f>SQRT(B51^2+B50^2)</f>
        <v>342.40388509281195</v>
      </c>
      <c r="C53" s="3" t="s">
        <v>114</v>
      </c>
      <c r="D53" s="32" t="s">
        <v>310</v>
      </c>
      <c r="J53" s="9" t="s">
        <v>520</v>
      </c>
      <c r="K53" s="34" t="e">
        <f ca="1">B183</f>
        <v>#NAME?</v>
      </c>
      <c r="L53" s="5"/>
      <c r="N53" s="9" t="s">
        <v>270</v>
      </c>
      <c r="O53" s="34">
        <f>B159</f>
        <v>0.23762376237623822</v>
      </c>
      <c r="P53" s="5" t="s">
        <v>14</v>
      </c>
    </row>
    <row r="54" spans="1:18" x14ac:dyDescent="0.25">
      <c r="A54" s="53" t="s">
        <v>133</v>
      </c>
      <c r="B54" s="54">
        <f>B53/B38</f>
        <v>0.52225116330350885</v>
      </c>
      <c r="C54" s="53" t="s">
        <v>219</v>
      </c>
      <c r="D54" s="32"/>
      <c r="J54" s="9" t="s">
        <v>521</v>
      </c>
      <c r="K54" s="34">
        <f>B181</f>
        <v>4.748449142037663E-3</v>
      </c>
      <c r="L54" s="5"/>
      <c r="N54" s="9" t="s">
        <v>273</v>
      </c>
      <c r="O54" s="34">
        <f>B162</f>
        <v>0.37960965490458437</v>
      </c>
      <c r="P54" s="5" t="s">
        <v>14</v>
      </c>
    </row>
    <row r="55" spans="1:18" x14ac:dyDescent="0.25">
      <c r="A55" s="3" t="s">
        <v>123</v>
      </c>
      <c r="B55" s="34">
        <f>B33+B53^2/(2*N3)</f>
        <v>1202.7893845351678</v>
      </c>
      <c r="C55" s="3" t="s">
        <v>93</v>
      </c>
      <c r="D55" s="32" t="s">
        <v>311</v>
      </c>
      <c r="J55" s="9" t="s">
        <v>522</v>
      </c>
      <c r="K55" s="3" t="e">
        <f ca="1">K53/K54*K51</f>
        <v>#NAME?</v>
      </c>
      <c r="L55" s="5"/>
      <c r="N55" s="9" t="str">
        <f>D175</f>
        <v>optimim pitch/chord sorderberg</v>
      </c>
      <c r="O55" s="34">
        <f>E177</f>
        <v>0.63700645701635905</v>
      </c>
      <c r="P55" s="5"/>
    </row>
    <row r="56" spans="1:18" ht="15.75" thickBot="1" x14ac:dyDescent="0.3">
      <c r="A56" s="3" t="s">
        <v>125</v>
      </c>
      <c r="B56" s="34">
        <f>B25*(B55/B33)^S2</f>
        <v>182964.07424652783</v>
      </c>
      <c r="C56" s="3" t="s">
        <v>92</v>
      </c>
      <c r="D56" s="32"/>
      <c r="J56" s="13" t="s">
        <v>643</v>
      </c>
      <c r="K56" s="7">
        <f>2*PI()*K42/(K50*K51)</f>
        <v>60.805968203964667</v>
      </c>
      <c r="L56" s="8"/>
      <c r="N56" s="9" t="s">
        <v>518</v>
      </c>
      <c r="O56" s="34">
        <f>E170</f>
        <v>1.0281393064521579E-2</v>
      </c>
      <c r="P56" s="5"/>
    </row>
    <row r="57" spans="1:18" x14ac:dyDescent="0.25">
      <c r="N57" s="9" t="s">
        <v>346</v>
      </c>
      <c r="O57" s="3">
        <f>F171</f>
        <v>1.4</v>
      </c>
      <c r="P57" s="5"/>
    </row>
    <row r="58" spans="1:18" x14ac:dyDescent="0.25">
      <c r="A58" s="261" t="s">
        <v>317</v>
      </c>
      <c r="B58" s="261"/>
      <c r="C58" s="261"/>
      <c r="N58" s="9" t="s">
        <v>520</v>
      </c>
      <c r="O58" s="34" t="e">
        <f ca="1">E183</f>
        <v>#NAME?</v>
      </c>
      <c r="P58" s="5"/>
    </row>
    <row r="59" spans="1:18" x14ac:dyDescent="0.25">
      <c r="A59" s="3" t="s">
        <v>124</v>
      </c>
      <c r="B59" s="34">
        <f>B55</f>
        <v>1202.7893845351678</v>
      </c>
      <c r="C59" s="3" t="s">
        <v>93</v>
      </c>
      <c r="D59" s="73" t="s">
        <v>318</v>
      </c>
      <c r="N59" s="9" t="s">
        <v>521</v>
      </c>
      <c r="O59" s="34">
        <f>E181</f>
        <v>4.6429174727589699E-3</v>
      </c>
      <c r="P59" s="5"/>
    </row>
    <row r="60" spans="1:18" x14ac:dyDescent="0.25">
      <c r="N60" s="9" t="s">
        <v>523</v>
      </c>
      <c r="O60" s="3" t="e">
        <f ca="1">O58/O59*O56</f>
        <v>#NAME?</v>
      </c>
      <c r="P60" s="5"/>
    </row>
    <row r="61" spans="1:18" x14ac:dyDescent="0.25">
      <c r="A61" s="262" t="s">
        <v>319</v>
      </c>
      <c r="B61" s="262"/>
      <c r="C61" s="262"/>
      <c r="N61" s="9" t="s">
        <v>613</v>
      </c>
      <c r="O61" s="34">
        <f>B72</f>
        <v>0.95878445832380088</v>
      </c>
      <c r="P61" s="5"/>
    </row>
    <row r="62" spans="1:18" ht="15.75" thickBot="1" x14ac:dyDescent="0.3">
      <c r="A62" s="263" t="s">
        <v>299</v>
      </c>
      <c r="B62" s="263"/>
      <c r="C62" s="264"/>
      <c r="E62" t="s">
        <v>144</v>
      </c>
      <c r="F62">
        <f>B103*B46*B37</f>
        <v>0.77748230827437859</v>
      </c>
      <c r="N62" s="13" t="s">
        <v>643</v>
      </c>
      <c r="O62" s="7">
        <f>2*PI()*O47/(O55*O56)</f>
        <v>108.50516249217307</v>
      </c>
      <c r="P62" s="8"/>
    </row>
    <row r="63" spans="1:18" ht="18.75" x14ac:dyDescent="0.3">
      <c r="A63" s="83" t="s">
        <v>320</v>
      </c>
      <c r="B63" s="84">
        <f>B19</f>
        <v>90483.171697279278</v>
      </c>
      <c r="C63" s="83" t="s">
        <v>92</v>
      </c>
      <c r="D63" s="73" t="s">
        <v>496</v>
      </c>
      <c r="E63" t="s">
        <v>591</v>
      </c>
      <c r="F63">
        <f>B70*B79*B126</f>
        <v>0.7774823082743787</v>
      </c>
      <c r="M63" s="272" t="s">
        <v>302</v>
      </c>
      <c r="N63" s="272"/>
      <c r="O63" s="272"/>
    </row>
    <row r="64" spans="1:18" x14ac:dyDescent="0.25">
      <c r="A64" s="3" t="s">
        <v>127</v>
      </c>
      <c r="B64" s="34">
        <f>B59*(B63/B56)^U2</f>
        <v>1022.3999406809887</v>
      </c>
      <c r="C64" s="3" t="s">
        <v>93</v>
      </c>
      <c r="D64" s="73">
        <f>B40*(B19/B41)^U2</f>
        <v>1022.3999406809887</v>
      </c>
      <c r="M64" s="273" t="s">
        <v>779</v>
      </c>
      <c r="N64" s="273"/>
      <c r="O64" s="273"/>
    </row>
    <row r="65" spans="1:15" x14ac:dyDescent="0.25">
      <c r="A65" s="3" t="s">
        <v>271</v>
      </c>
      <c r="B65" s="34">
        <f>SQRT(2*N3*(B59-B64))</f>
        <v>668.85411022013159</v>
      </c>
      <c r="C65" s="3" t="s">
        <v>114</v>
      </c>
      <c r="M65" t="s">
        <v>138</v>
      </c>
      <c r="N65">
        <f>B47-J8/B49</f>
        <v>-75.518282816536043</v>
      </c>
    </row>
    <row r="66" spans="1:15" x14ac:dyDescent="0.25">
      <c r="A66" s="3" t="s">
        <v>126</v>
      </c>
      <c r="B66" s="34">
        <f>B59-B14*(B59-B64)</f>
        <v>1057.0347139009912</v>
      </c>
      <c r="C66" s="3" t="s">
        <v>114</v>
      </c>
      <c r="M66" t="s">
        <v>10</v>
      </c>
      <c r="N66">
        <f>B40-J8/N3</f>
        <v>1083.5297492705752</v>
      </c>
    </row>
    <row r="67" spans="1:15" x14ac:dyDescent="0.25">
      <c r="A67" s="3" t="s">
        <v>128</v>
      </c>
      <c r="B67" s="34">
        <f>SQRT(2*N3*(B59-B66))</f>
        <v>601.22506864963464</v>
      </c>
      <c r="C67" s="3" t="s">
        <v>114</v>
      </c>
      <c r="D67" s="107" t="s">
        <v>497</v>
      </c>
      <c r="M67" t="s">
        <v>139</v>
      </c>
      <c r="N67" s="35">
        <f>B83</f>
        <v>473.54173803341428</v>
      </c>
      <c r="O67" s="35">
        <f>B49</f>
        <v>473.54173803341428</v>
      </c>
    </row>
    <row r="68" spans="1:15" x14ac:dyDescent="0.25">
      <c r="A68" s="3" t="s">
        <v>273</v>
      </c>
      <c r="B68" s="34">
        <f>(B65^2-B67^2)/B65^2</f>
        <v>0.19200000000000039</v>
      </c>
      <c r="C68" s="3"/>
      <c r="D68" s="107">
        <f>(B65^2-B67^2)/B67^2</f>
        <v>0.23762376237623822</v>
      </c>
      <c r="E68" t="s">
        <v>498</v>
      </c>
      <c r="N68" s="35"/>
      <c r="O68" s="35"/>
    </row>
    <row r="69" spans="1:15" x14ac:dyDescent="0.25">
      <c r="A69" s="3" t="s">
        <v>337</v>
      </c>
      <c r="B69" s="34">
        <f>B67^2/B65^2</f>
        <v>0.80799999999999961</v>
      </c>
      <c r="C69" s="3"/>
      <c r="D69" s="32">
        <f>D68*(1+B72^2*N2/2)</f>
        <v>0.37960965490458437</v>
      </c>
      <c r="N69" s="35"/>
      <c r="O69" s="35"/>
    </row>
    <row r="70" spans="1:15" x14ac:dyDescent="0.25">
      <c r="A70" s="3" t="s">
        <v>129</v>
      </c>
      <c r="B70" s="34">
        <f>B63/(N5*B66)</f>
        <v>0.29914309162892455</v>
      </c>
      <c r="C70" s="3"/>
      <c r="M70" t="s">
        <v>137</v>
      </c>
      <c r="N70" s="35">
        <f>N65-N67</f>
        <v>-549.06002084995032</v>
      </c>
    </row>
    <row r="71" spans="1:15" x14ac:dyDescent="0.25">
      <c r="A71" s="3" t="s">
        <v>130</v>
      </c>
      <c r="B71" s="34">
        <f>SQRT(B66*N5*N2)</f>
        <v>627.0701025971249</v>
      </c>
      <c r="C71" s="3" t="s">
        <v>114</v>
      </c>
      <c r="D71" s="78"/>
      <c r="M71" s="273" t="s">
        <v>303</v>
      </c>
      <c r="N71" s="273"/>
      <c r="O71" s="273"/>
    </row>
    <row r="72" spans="1:15" x14ac:dyDescent="0.25">
      <c r="A72" s="53" t="s">
        <v>131</v>
      </c>
      <c r="B72" s="54">
        <f>B67/B71</f>
        <v>0.95878445832380088</v>
      </c>
      <c r="C72" s="53"/>
      <c r="D72" s="32"/>
      <c r="M72" t="s">
        <v>128</v>
      </c>
      <c r="N72">
        <f>N70/SIN(RADIANS(B15))</f>
        <v>605.82070319092054</v>
      </c>
    </row>
    <row r="73" spans="1:15" x14ac:dyDescent="0.25">
      <c r="A73" s="3" t="s">
        <v>132</v>
      </c>
      <c r="B73" s="34">
        <f>B19*(B59/B66)^S2</f>
        <v>158368.67128707786</v>
      </c>
      <c r="C73" s="3" t="s">
        <v>92</v>
      </c>
      <c r="D73" s="32"/>
      <c r="M73" t="s">
        <v>136</v>
      </c>
      <c r="N73">
        <f>COS(RADIANS(B15))*N72</f>
        <v>256.03089250907504</v>
      </c>
    </row>
    <row r="74" spans="1:15" x14ac:dyDescent="0.25">
      <c r="A74" s="3" t="s">
        <v>84</v>
      </c>
      <c r="B74" s="34">
        <f>B73*(B66/B59)^S2</f>
        <v>90483.171697279337</v>
      </c>
      <c r="C74" s="3"/>
      <c r="D74" s="32" t="s">
        <v>499</v>
      </c>
      <c r="M74" t="s">
        <v>142</v>
      </c>
      <c r="N74">
        <f>N73</f>
        <v>256.03089250907504</v>
      </c>
    </row>
    <row r="75" spans="1:15" x14ac:dyDescent="0.25">
      <c r="A75" s="3" t="s">
        <v>134</v>
      </c>
      <c r="B75" s="34">
        <f>(B56-B73)/(B56-B19)</f>
        <v>0.26595115620062493</v>
      </c>
      <c r="C75" s="3"/>
      <c r="D75" s="32"/>
      <c r="M75" t="s">
        <v>141</v>
      </c>
      <c r="N75">
        <f>SQRT(N74^2+N65^2)</f>
        <v>266.93600161565291</v>
      </c>
    </row>
    <row r="76" spans="1:15" x14ac:dyDescent="0.25">
      <c r="A76" s="16" t="s">
        <v>366</v>
      </c>
      <c r="B76" s="36">
        <f>(B56-B73)/(B73-B19)</f>
        <v>0.36230716586117634</v>
      </c>
      <c r="C76" s="2"/>
      <c r="D76" s="32"/>
    </row>
    <row r="77" spans="1:15" x14ac:dyDescent="0.25">
      <c r="D77" s="32"/>
      <c r="M77" t="s">
        <v>163</v>
      </c>
      <c r="N77">
        <f>B59-N72^2/(2*N3)</f>
        <v>1054.7979634001913</v>
      </c>
    </row>
    <row r="78" spans="1:15" x14ac:dyDescent="0.25">
      <c r="A78" s="254" t="s">
        <v>135</v>
      </c>
      <c r="B78" s="254"/>
      <c r="C78" s="254"/>
      <c r="D78" s="32"/>
      <c r="F78" t="s">
        <v>321</v>
      </c>
      <c r="M78" t="s">
        <v>10</v>
      </c>
      <c r="N78">
        <f>N77+N75^2/(2*N3)</f>
        <v>1083.5297492705752</v>
      </c>
    </row>
    <row r="79" spans="1:15" x14ac:dyDescent="0.25">
      <c r="A79" s="3" t="s">
        <v>136</v>
      </c>
      <c r="B79" s="34">
        <f>COS(RADIANS(B15))*B67</f>
        <v>254.08869342764129</v>
      </c>
      <c r="C79" s="3" t="s">
        <v>114</v>
      </c>
      <c r="D79" s="32"/>
      <c r="E79" t="s">
        <v>404</v>
      </c>
      <c r="F79" t="s">
        <v>139</v>
      </c>
      <c r="G79" s="35">
        <f>B83</f>
        <v>473.54173803341428</v>
      </c>
      <c r="H79" t="s">
        <v>120</v>
      </c>
      <c r="I79" t="s">
        <v>139</v>
      </c>
      <c r="J79" s="35">
        <f>G79</f>
        <v>473.54173803341428</v>
      </c>
      <c r="L79" t="s">
        <v>139</v>
      </c>
      <c r="M79" s="35">
        <f>H49</f>
        <v>0</v>
      </c>
      <c r="N79" t="s">
        <v>120</v>
      </c>
    </row>
    <row r="80" spans="1:15" x14ac:dyDescent="0.25">
      <c r="A80" s="3" t="s">
        <v>137</v>
      </c>
      <c r="B80" s="34">
        <f>SIN(RADIANS(B15))*B67</f>
        <v>-544.89496147880834</v>
      </c>
      <c r="C80" s="3" t="s">
        <v>114</v>
      </c>
      <c r="D80" s="32"/>
      <c r="E80">
        <f>B130*B106</f>
        <v>473.54173803341422</v>
      </c>
      <c r="F80" t="s">
        <v>138</v>
      </c>
      <c r="G80">
        <f>(-J8+B47*B49)/G79</f>
        <v>-75.518282816535987</v>
      </c>
      <c r="H80" t="s">
        <v>325</v>
      </c>
      <c r="I80" t="s">
        <v>138</v>
      </c>
      <c r="J80">
        <f>G80</f>
        <v>-75.518282816535987</v>
      </c>
      <c r="M80" t="s">
        <v>84</v>
      </c>
      <c r="N80" s="35">
        <f>B19</f>
        <v>90483.171697279278</v>
      </c>
      <c r="O80" t="s">
        <v>165</v>
      </c>
    </row>
    <row r="81" spans="1:14" x14ac:dyDescent="0.25">
      <c r="D81" s="32"/>
      <c r="E81">
        <f>(-J8+B47*B49)/E80</f>
        <v>-75.518282816536001</v>
      </c>
      <c r="F81" t="s">
        <v>137</v>
      </c>
      <c r="G81" s="35">
        <f>G80-G79</f>
        <v>-549.06002084995021</v>
      </c>
      <c r="I81" t="s">
        <v>136</v>
      </c>
      <c r="J81">
        <f>B67*COS(RADIANS(B15))</f>
        <v>254.08869342764129</v>
      </c>
      <c r="M81" t="s">
        <v>132</v>
      </c>
      <c r="N81">
        <f>N80*(B59/N77)^S2</f>
        <v>159829.0797939006</v>
      </c>
    </row>
    <row r="82" spans="1:14" x14ac:dyDescent="0.25">
      <c r="A82" s="254" t="s">
        <v>332</v>
      </c>
      <c r="B82" s="254"/>
      <c r="C82" s="254"/>
      <c r="D82" s="32"/>
      <c r="E82" s="35">
        <f>E81-E80</f>
        <v>-549.06002084995021</v>
      </c>
      <c r="F82" t="s">
        <v>323</v>
      </c>
      <c r="I82" t="s">
        <v>142</v>
      </c>
      <c r="J82">
        <f>J81</f>
        <v>254.08869342764129</v>
      </c>
      <c r="M82" t="s">
        <v>166</v>
      </c>
      <c r="N82">
        <f>(B56-N81)/(B56-B19)</f>
        <v>0.2501596958389028</v>
      </c>
    </row>
    <row r="83" spans="1:14" x14ac:dyDescent="0.25">
      <c r="A83" s="3" t="s">
        <v>139</v>
      </c>
      <c r="B83" s="34">
        <f>B49</f>
        <v>473.54173803341428</v>
      </c>
      <c r="C83" s="3" t="s">
        <v>114</v>
      </c>
      <c r="D83" s="77" t="s">
        <v>500</v>
      </c>
      <c r="E83">
        <f>DEGREES(ASIN(E82/B67))</f>
        <v>-65.956361547077037</v>
      </c>
      <c r="F83" t="s">
        <v>73</v>
      </c>
      <c r="G83" s="139">
        <f>DEGREES(ASIN(G81/B67))</f>
        <v>-65.956361547077037</v>
      </c>
      <c r="H83" s="85" t="s">
        <v>324</v>
      </c>
      <c r="I83" t="s">
        <v>141</v>
      </c>
      <c r="J83">
        <f>SQRT(J82^2+J80^2)</f>
        <v>265.07371647774545</v>
      </c>
      <c r="M83" t="s">
        <v>130</v>
      </c>
      <c r="N83">
        <f>SQRT(N77*N2*N5)</f>
        <v>626.40629178263464</v>
      </c>
    </row>
    <row r="84" spans="1:14" x14ac:dyDescent="0.25">
      <c r="A84" s="3" t="s">
        <v>138</v>
      </c>
      <c r="B84" s="34">
        <f>B80+B83</f>
        <v>-71.353223445394065</v>
      </c>
      <c r="C84" s="3" t="s">
        <v>114</v>
      </c>
      <c r="D84" s="32" t="s">
        <v>158</v>
      </c>
      <c r="I84" t="s">
        <v>326</v>
      </c>
      <c r="J84">
        <f>J83^2/(2*N3)+B66</f>
        <v>1085.3670022749122</v>
      </c>
      <c r="M84" t="s">
        <v>74</v>
      </c>
      <c r="N84">
        <f>N75/N83</f>
        <v>0.42613876188248873</v>
      </c>
    </row>
    <row r="85" spans="1:14" x14ac:dyDescent="0.25">
      <c r="A85" s="68" t="s">
        <v>301</v>
      </c>
      <c r="B85" s="69">
        <f>-J8/B49+B47</f>
        <v>-75.518282816536043</v>
      </c>
      <c r="C85" s="70" t="s">
        <v>114</v>
      </c>
      <c r="D85" s="32" t="s">
        <v>322</v>
      </c>
      <c r="I85" t="s">
        <v>327</v>
      </c>
      <c r="J85">
        <f>F2-J8/N3</f>
        <v>1083.5297492705752</v>
      </c>
      <c r="M85" s="16" t="s">
        <v>131</v>
      </c>
      <c r="N85">
        <f>N72/N83</f>
        <v>0.96713700219528231</v>
      </c>
    </row>
    <row r="86" spans="1:14" x14ac:dyDescent="0.25">
      <c r="D86" s="78"/>
    </row>
    <row r="87" spans="1:14" x14ac:dyDescent="0.25">
      <c r="A87" s="279" t="s">
        <v>300</v>
      </c>
      <c r="B87" s="263"/>
      <c r="C87" s="264"/>
      <c r="D87" s="32"/>
    </row>
    <row r="88" spans="1:14" x14ac:dyDescent="0.25">
      <c r="A88" s="3" t="s">
        <v>142</v>
      </c>
      <c r="B88" s="34">
        <f>B79</f>
        <v>254.08869342764129</v>
      </c>
      <c r="C88" s="3" t="s">
        <v>114</v>
      </c>
      <c r="D88" s="32"/>
    </row>
    <row r="89" spans="1:14" x14ac:dyDescent="0.25">
      <c r="A89" s="3" t="s">
        <v>188</v>
      </c>
      <c r="B89" s="34">
        <f>DEGREES(ATAN(B84/B88))</f>
        <v>-15.685811710589164</v>
      </c>
      <c r="C89" s="3" t="s">
        <v>121</v>
      </c>
      <c r="D89" s="3" t="s">
        <v>143</v>
      </c>
    </row>
    <row r="90" spans="1:14" x14ac:dyDescent="0.25">
      <c r="A90" s="3" t="s">
        <v>162</v>
      </c>
      <c r="B90" s="34">
        <f>B83*(B47-B84)</f>
        <v>390450.78145086387</v>
      </c>
      <c r="C90" s="3"/>
      <c r="D90"/>
    </row>
    <row r="91" spans="1:14" x14ac:dyDescent="0.25">
      <c r="A91" s="3" t="s">
        <v>141</v>
      </c>
      <c r="B91" s="34">
        <f>SQRT(B84^2+B88^2)</f>
        <v>263.91731020115793</v>
      </c>
      <c r="C91" s="68" t="s">
        <v>114</v>
      </c>
      <c r="D91" s="32"/>
    </row>
    <row r="92" spans="1:14" x14ac:dyDescent="0.25">
      <c r="A92" s="279" t="s">
        <v>329</v>
      </c>
      <c r="B92" s="263"/>
      <c r="C92" s="263"/>
      <c r="D92" s="32"/>
      <c r="E92" s="2"/>
    </row>
    <row r="93" spans="1:14" x14ac:dyDescent="0.25">
      <c r="A93" s="3" t="s">
        <v>171</v>
      </c>
      <c r="B93" s="34">
        <f>B91/B71</f>
        <v>0.42087369356009224</v>
      </c>
      <c r="C93" s="3"/>
      <c r="D93" s="32"/>
    </row>
    <row r="94" spans="1:14" x14ac:dyDescent="0.25">
      <c r="A94" s="3" t="s">
        <v>10</v>
      </c>
      <c r="B94" s="34">
        <f>B66+B91^2/(2*N3)</f>
        <v>1085.120337539626</v>
      </c>
      <c r="C94" s="3"/>
      <c r="D94" s="32"/>
    </row>
    <row r="95" spans="1:14" x14ac:dyDescent="0.25">
      <c r="A95" s="3" t="s">
        <v>29</v>
      </c>
      <c r="B95" s="34">
        <f>B19*(B94/B66)^S2</f>
        <v>101372.1471611845</v>
      </c>
      <c r="C95" s="3" t="s">
        <v>92</v>
      </c>
      <c r="D95" s="32"/>
    </row>
    <row r="96" spans="1:14" x14ac:dyDescent="0.25">
      <c r="A96" s="3" t="s">
        <v>161</v>
      </c>
      <c r="B96" s="34">
        <f>N3*(F2-B94)</f>
        <v>390450.78145086375</v>
      </c>
      <c r="C96" s="3"/>
      <c r="D96" s="32" t="s">
        <v>330</v>
      </c>
      <c r="E96">
        <f>J8</f>
        <v>392423.11090448679</v>
      </c>
    </row>
    <row r="97" spans="1:10" x14ac:dyDescent="0.25">
      <c r="D97" s="32"/>
    </row>
    <row r="98" spans="1:10" x14ac:dyDescent="0.25">
      <c r="A98" s="263" t="s">
        <v>180</v>
      </c>
      <c r="B98" s="263"/>
      <c r="C98" s="263"/>
      <c r="D98" s="32"/>
      <c r="E98" s="263" t="s">
        <v>469</v>
      </c>
      <c r="F98" s="263"/>
      <c r="G98" s="263"/>
    </row>
    <row r="99" spans="1:10" x14ac:dyDescent="0.25">
      <c r="A99" s="3" t="s">
        <v>144</v>
      </c>
      <c r="B99" s="34">
        <f>J9</f>
        <v>0.7774823082743787</v>
      </c>
      <c r="C99" s="3" t="s">
        <v>182</v>
      </c>
      <c r="D99" s="78"/>
      <c r="E99" s="3" t="s">
        <v>203</v>
      </c>
      <c r="F99" s="34">
        <f>J9</f>
        <v>0.7774823082743787</v>
      </c>
      <c r="G99" s="3" t="s">
        <v>182</v>
      </c>
    </row>
    <row r="100" spans="1:10" x14ac:dyDescent="0.25">
      <c r="A100" s="3" t="s">
        <v>145</v>
      </c>
      <c r="B100" s="34">
        <f>SQRT(B99/(PI()*B37*B46*(1-B16^2)))</f>
        <v>0.1190536529348208</v>
      </c>
      <c r="C100" s="3" t="s">
        <v>183</v>
      </c>
      <c r="D100" s="227"/>
      <c r="E100" s="3" t="s">
        <v>417</v>
      </c>
      <c r="F100" s="34">
        <f>SQRT(F99/(PI()*B113*B115*(1-B16^2)))</f>
        <v>0.11906100719891113</v>
      </c>
      <c r="G100" s="3" t="s">
        <v>183</v>
      </c>
    </row>
    <row r="101" spans="1:10" x14ac:dyDescent="0.25">
      <c r="A101" s="3" t="s">
        <v>153</v>
      </c>
      <c r="B101" s="34">
        <f>B100*B16</f>
        <v>0.10714828764133873</v>
      </c>
      <c r="C101" s="3" t="s">
        <v>183</v>
      </c>
      <c r="D101" s="32"/>
      <c r="E101" s="3" t="s">
        <v>418</v>
      </c>
      <c r="F101" s="34">
        <f>F100*B16</f>
        <v>0.10715490647902003</v>
      </c>
      <c r="G101" s="3" t="s">
        <v>183</v>
      </c>
    </row>
    <row r="102" spans="1:10" x14ac:dyDescent="0.25">
      <c r="A102" s="3" t="s">
        <v>157</v>
      </c>
      <c r="B102" s="48">
        <f>B100-B101</f>
        <v>1.1905365293482073E-2</v>
      </c>
      <c r="C102" s="3" t="s">
        <v>183</v>
      </c>
      <c r="D102" s="32"/>
      <c r="E102" s="3" t="s">
        <v>420</v>
      </c>
      <c r="F102" s="48">
        <f>F100-F101</f>
        <v>1.1906100719891108E-2</v>
      </c>
      <c r="G102" s="3" t="s">
        <v>183</v>
      </c>
    </row>
    <row r="103" spans="1:10" ht="17.25" x14ac:dyDescent="0.25">
      <c r="A103" s="3" t="s">
        <v>208</v>
      </c>
      <c r="B103" s="49">
        <f>PI()*(B100^2-B101^2)</f>
        <v>8.4603615832992661E-3</v>
      </c>
      <c r="C103" s="3" t="s">
        <v>209</v>
      </c>
      <c r="D103" s="32"/>
      <c r="E103" s="3" t="s">
        <v>208</v>
      </c>
      <c r="F103" s="49">
        <f>PI()*(F100^2-F101^2)</f>
        <v>8.4614068541261477E-3</v>
      </c>
      <c r="G103" s="3" t="s">
        <v>209</v>
      </c>
    </row>
    <row r="104" spans="1:10" x14ac:dyDescent="0.25">
      <c r="A104" s="3" t="s">
        <v>146</v>
      </c>
      <c r="B104" s="34">
        <f>B100*2-B102</f>
        <v>0.22620194057615953</v>
      </c>
      <c r="C104" s="34" t="s">
        <v>183</v>
      </c>
      <c r="D104" s="32"/>
      <c r="E104" s="3" t="s">
        <v>146</v>
      </c>
      <c r="F104" s="34">
        <f>F100*2-F102</f>
        <v>0.22621591367793115</v>
      </c>
      <c r="G104" s="34" t="s">
        <v>183</v>
      </c>
    </row>
    <row r="105" spans="1:10" x14ac:dyDescent="0.25">
      <c r="A105" s="3" t="s">
        <v>149</v>
      </c>
      <c r="B105" s="34">
        <f>B104/2</f>
        <v>0.11310097028807976</v>
      </c>
      <c r="C105" s="3" t="s">
        <v>183</v>
      </c>
      <c r="D105" s="71"/>
      <c r="E105" s="3" t="s">
        <v>149</v>
      </c>
      <c r="F105" s="34">
        <f>F104/2</f>
        <v>0.11310795683896557</v>
      </c>
      <c r="G105" s="3" t="s">
        <v>183</v>
      </c>
    </row>
    <row r="106" spans="1:10" x14ac:dyDescent="0.25">
      <c r="A106" s="3" t="s">
        <v>147</v>
      </c>
      <c r="B106" s="34">
        <f>B49/(B105)</f>
        <v>4186.8936829388367</v>
      </c>
      <c r="C106" s="3" t="s">
        <v>184</v>
      </c>
      <c r="D106" s="32"/>
      <c r="E106" s="2"/>
      <c r="F106" s="36"/>
      <c r="G106" s="2"/>
    </row>
    <row r="107" spans="1:10" x14ac:dyDescent="0.25">
      <c r="A107" s="3"/>
      <c r="B107" s="34">
        <f>B106/(2*PI())</f>
        <v>666.36482583994666</v>
      </c>
      <c r="C107" s="3"/>
      <c r="D107" s="32"/>
      <c r="E107" s="2"/>
      <c r="F107" s="36"/>
      <c r="G107" s="2"/>
    </row>
    <row r="108" spans="1:10" x14ac:dyDescent="0.25">
      <c r="A108" s="3" t="s">
        <v>148</v>
      </c>
      <c r="B108" s="34">
        <f>B107*60</f>
        <v>39981.889550396801</v>
      </c>
      <c r="C108" s="3" t="s">
        <v>148</v>
      </c>
      <c r="D108" s="32"/>
      <c r="E108" s="2"/>
      <c r="F108" s="36"/>
      <c r="G108" s="2"/>
    </row>
    <row r="109" spans="1:10" x14ac:dyDescent="0.25">
      <c r="D109" s="32"/>
    </row>
    <row r="110" spans="1:10" x14ac:dyDescent="0.25">
      <c r="A110" s="47" t="s">
        <v>202</v>
      </c>
      <c r="B110"/>
    </row>
    <row r="111" spans="1:10" x14ac:dyDescent="0.25">
      <c r="A111" t="s">
        <v>217</v>
      </c>
      <c r="B111"/>
      <c r="E111" s="280" t="s">
        <v>218</v>
      </c>
      <c r="F111" s="280"/>
      <c r="G111" s="280"/>
      <c r="H111" s="280"/>
      <c r="I111" s="280"/>
    </row>
    <row r="112" spans="1:10" x14ac:dyDescent="0.25">
      <c r="A112" t="s">
        <v>203</v>
      </c>
      <c r="B112">
        <f>J9</f>
        <v>0.7774823082743787</v>
      </c>
      <c r="E112" t="s">
        <v>203</v>
      </c>
      <c r="F112">
        <f>B112</f>
        <v>0.7774823082743787</v>
      </c>
      <c r="I112" s="51" t="s">
        <v>208</v>
      </c>
      <c r="J112" s="52">
        <f>B103</f>
        <v>8.4603615832992661E-3</v>
      </c>
    </row>
    <row r="113" spans="1:10" x14ac:dyDescent="0.25">
      <c r="A113" t="s">
        <v>204</v>
      </c>
      <c r="B113">
        <f>F113</f>
        <v>0.98316999999999999</v>
      </c>
      <c r="E113" s="47" t="s">
        <v>204</v>
      </c>
      <c r="F113">
        <v>0.98316999999999999</v>
      </c>
    </row>
    <row r="114" spans="1:10" x14ac:dyDescent="0.25">
      <c r="A114" t="s">
        <v>205</v>
      </c>
      <c r="B114">
        <f>F3/(F2*N5)</f>
        <v>0.9914596774193547</v>
      </c>
      <c r="E114" t="s">
        <v>206</v>
      </c>
      <c r="F114">
        <f>SQRT(2*N3*F2*(1-(F113/B114)^Q2))</f>
        <v>93.458610362213591</v>
      </c>
      <c r="H114" t="s">
        <v>208</v>
      </c>
      <c r="I114" s="50">
        <f>B103</f>
        <v>8.4603615832992661E-3</v>
      </c>
    </row>
    <row r="115" spans="1:10" x14ac:dyDescent="0.25">
      <c r="A115" t="s">
        <v>206</v>
      </c>
      <c r="B115">
        <f>SQRT(2*N3*F2*(1-(B113/B114)^Q2))</f>
        <v>93.458610362213591</v>
      </c>
      <c r="E115" t="s">
        <v>207</v>
      </c>
      <c r="F115">
        <f>F112/F114/F113</f>
        <v>8.4614068541261512E-3</v>
      </c>
      <c r="G115" t="s">
        <v>216</v>
      </c>
    </row>
    <row r="116" spans="1:10" x14ac:dyDescent="0.25">
      <c r="A116" t="s">
        <v>210</v>
      </c>
      <c r="B116">
        <f>F2-B115^2 /(2*N3)</f>
        <v>1396.4780194149855</v>
      </c>
    </row>
    <row r="117" spans="1:10" x14ac:dyDescent="0.25">
      <c r="A117" t="s">
        <v>212</v>
      </c>
      <c r="B117">
        <f>F3*(B116/F2)^(S2)</f>
        <v>392882.16115195543</v>
      </c>
      <c r="C117" t="s">
        <v>211</v>
      </c>
    </row>
    <row r="118" spans="1:10" x14ac:dyDescent="0.25">
      <c r="A118" t="s">
        <v>278</v>
      </c>
      <c r="B118">
        <f>SQRT(B116*N2*N5)</f>
        <v>720.75642433652627</v>
      </c>
    </row>
    <row r="119" spans="1:10" x14ac:dyDescent="0.25">
      <c r="A119" t="s">
        <v>240</v>
      </c>
      <c r="B119">
        <f>B115/B118</f>
        <v>0.12966739831454782</v>
      </c>
    </row>
    <row r="120" spans="1:10" x14ac:dyDescent="0.25">
      <c r="A120" t="s">
        <v>213</v>
      </c>
      <c r="B120">
        <f>B117/(B116*N5)</f>
        <v>0.98316999999999988</v>
      </c>
    </row>
    <row r="121" spans="1:10" x14ac:dyDescent="0.25">
      <c r="A121" t="s">
        <v>207</v>
      </c>
      <c r="B121">
        <f>B112/(B120*B115)</f>
        <v>8.4614068541261512E-3</v>
      </c>
    </row>
    <row r="122" spans="1:10" x14ac:dyDescent="0.25">
      <c r="A122" t="s">
        <v>214</v>
      </c>
      <c r="B122">
        <f>B112/(B121*B120)</f>
        <v>93.458610362213591</v>
      </c>
    </row>
    <row r="123" spans="1:10" x14ac:dyDescent="0.25">
      <c r="A123" s="281" t="s">
        <v>181</v>
      </c>
      <c r="B123" s="281"/>
      <c r="H123" s="268" t="s">
        <v>487</v>
      </c>
      <c r="I123" s="268"/>
      <c r="J123" s="268"/>
    </row>
    <row r="124" spans="1:10" ht="15.75" thickBot="1" x14ac:dyDescent="0.3">
      <c r="A124" s="3" t="s">
        <v>151</v>
      </c>
      <c r="B124" s="34" t="s">
        <v>150</v>
      </c>
      <c r="C124" s="3"/>
      <c r="D124" s="32"/>
      <c r="H124" s="276" t="s">
        <v>488</v>
      </c>
      <c r="I124" s="276"/>
      <c r="J124" s="276"/>
    </row>
    <row r="125" spans="1:10" x14ac:dyDescent="0.25">
      <c r="A125" s="3" t="s">
        <v>152</v>
      </c>
      <c r="B125" s="34">
        <f>E125</f>
        <v>0.10590399514291465</v>
      </c>
      <c r="C125" s="3" t="s">
        <v>183</v>
      </c>
      <c r="D125" s="71">
        <f>B105</f>
        <v>0.11310097028807976</v>
      </c>
      <c r="E125" s="35">
        <f>D125-D127/2</f>
        <v>0.10590399514291465</v>
      </c>
      <c r="H125" s="10" t="s">
        <v>489</v>
      </c>
      <c r="I125" s="64">
        <f>E170</f>
        <v>1.0281393064521579E-2</v>
      </c>
      <c r="J125" s="12"/>
    </row>
    <row r="126" spans="1:10" ht="17.25" x14ac:dyDescent="0.25">
      <c r="A126" s="3" t="s">
        <v>154</v>
      </c>
      <c r="B126" s="48">
        <f>J9/(B88*B70)</f>
        <v>1.0228835576754608E-2</v>
      </c>
      <c r="C126" s="3" t="s">
        <v>209</v>
      </c>
      <c r="D126" s="32" t="s">
        <v>470</v>
      </c>
      <c r="H126" s="9" t="s">
        <v>490</v>
      </c>
      <c r="I126" s="34">
        <f>B101</f>
        <v>0.10714828764133873</v>
      </c>
      <c r="J126" s="5" t="s">
        <v>494</v>
      </c>
    </row>
    <row r="127" spans="1:10" x14ac:dyDescent="0.25">
      <c r="A127" s="3" t="s">
        <v>155</v>
      </c>
      <c r="B127" s="48">
        <f>D127</f>
        <v>1.439395029033021E-2</v>
      </c>
      <c r="C127" s="3" t="s">
        <v>183</v>
      </c>
      <c r="D127" s="32">
        <f>B126/(PI()*2*D125)</f>
        <v>1.439395029033021E-2</v>
      </c>
      <c r="H127" s="9" t="s">
        <v>491</v>
      </c>
      <c r="I127" s="34">
        <f>B100</f>
        <v>0.1190536529348208</v>
      </c>
      <c r="J127" s="124">
        <f>DEGREES(ATAN((-I128+I126)/(I125)))</f>
        <v>6.9005889330965804</v>
      </c>
    </row>
    <row r="128" spans="1:10" x14ac:dyDescent="0.25">
      <c r="A128" s="3" t="s">
        <v>156</v>
      </c>
      <c r="B128" s="34">
        <f>E128</f>
        <v>0.12029794543324487</v>
      </c>
      <c r="C128" s="3" t="s">
        <v>183</v>
      </c>
      <c r="D128" s="32"/>
      <c r="E128" s="35">
        <f>D125+D127/2</f>
        <v>0.12029794543324487</v>
      </c>
      <c r="H128" s="9" t="s">
        <v>492</v>
      </c>
      <c r="I128" s="34">
        <f>B125</f>
        <v>0.10590399514291465</v>
      </c>
      <c r="J128" s="5" t="s">
        <v>495</v>
      </c>
    </row>
    <row r="129" spans="1:10" ht="15.75" thickBot="1" x14ac:dyDescent="0.3">
      <c r="A129" s="3" t="s">
        <v>146</v>
      </c>
      <c r="B129" s="34">
        <f>B128*2-B127</f>
        <v>0.22620194057615953</v>
      </c>
      <c r="C129" s="3"/>
      <c r="D129" s="32"/>
      <c r="H129" s="13" t="s">
        <v>493</v>
      </c>
      <c r="I129" s="65">
        <f>B128</f>
        <v>0.12029794543324487</v>
      </c>
      <c r="J129" s="127">
        <f>DEGREES(ATAN((I129-I127)/(I125)))</f>
        <v>6.9005889330965804</v>
      </c>
    </row>
    <row r="130" spans="1:10" x14ac:dyDescent="0.25">
      <c r="A130" s="3" t="s">
        <v>274</v>
      </c>
      <c r="B130" s="34">
        <f>B129/2</f>
        <v>0.11310097028807976</v>
      </c>
      <c r="C130" s="3"/>
      <c r="D130" s="32"/>
    </row>
    <row r="131" spans="1:10" x14ac:dyDescent="0.25">
      <c r="A131" s="3" t="s">
        <v>147</v>
      </c>
      <c r="B131" s="34">
        <f>(B83)/B130</f>
        <v>4186.8936829388367</v>
      </c>
      <c r="C131" s="3" t="s">
        <v>184</v>
      </c>
      <c r="D131" s="32" t="s">
        <v>331</v>
      </c>
      <c r="E131" s="86">
        <f>B106*B130</f>
        <v>473.54173803341422</v>
      </c>
    </row>
    <row r="132" spans="1:10" x14ac:dyDescent="0.25">
      <c r="A132" s="3"/>
      <c r="B132" s="34">
        <f>B131/(2*PI())</f>
        <v>666.36482583994666</v>
      </c>
      <c r="C132" s="3"/>
      <c r="D132" s="32"/>
    </row>
    <row r="133" spans="1:10" ht="15.75" customHeight="1" x14ac:dyDescent="0.25">
      <c r="A133" s="3" t="s">
        <v>148</v>
      </c>
      <c r="B133" s="34">
        <f>B132*60</f>
        <v>39981.889550396801</v>
      </c>
      <c r="C133" s="3" t="s">
        <v>148</v>
      </c>
      <c r="D133" s="32"/>
    </row>
    <row r="134" spans="1:10" ht="15.75" customHeight="1" x14ac:dyDescent="0.25">
      <c r="A134" s="2"/>
      <c r="B134" s="36"/>
      <c r="C134" s="2"/>
      <c r="D134" s="32"/>
      <c r="E134" t="s">
        <v>697</v>
      </c>
      <c r="F134">
        <f>(B33-B66)/(B116-B66)</f>
        <v>0.29012299231964411</v>
      </c>
    </row>
    <row r="135" spans="1:10" x14ac:dyDescent="0.25">
      <c r="A135" s="37" t="s">
        <v>167</v>
      </c>
      <c r="B135" s="34">
        <f>(B33-B66)/(B40-B94)</f>
        <v>0.31275537692430178</v>
      </c>
      <c r="C135" s="3" t="s">
        <v>284</v>
      </c>
      <c r="D135" s="32"/>
      <c r="E135" s="62" t="s">
        <v>215</v>
      </c>
      <c r="F135" s="62">
        <f>(B33-B64)/((B116-B28)+(B33-B64))</f>
        <v>0.3287490022899312</v>
      </c>
      <c r="G135" t="s">
        <v>283</v>
      </c>
    </row>
    <row r="136" spans="1:10" x14ac:dyDescent="0.25">
      <c r="A136" s="53" t="s">
        <v>168</v>
      </c>
      <c r="B136" s="54">
        <f>B52-B15</f>
        <v>119.75486523466353</v>
      </c>
      <c r="C136" s="53" t="s">
        <v>76</v>
      </c>
      <c r="D136" s="32"/>
      <c r="F136">
        <f>(B33-B66)/(-B66+B33+B116-B33)</f>
        <v>0.29012299231964411</v>
      </c>
    </row>
    <row r="137" spans="1:10" x14ac:dyDescent="0.25">
      <c r="A137" s="37" t="s">
        <v>169</v>
      </c>
      <c r="B137" s="34">
        <f>B67-B53</f>
        <v>258.82118355682269</v>
      </c>
      <c r="C137" s="3" t="s">
        <v>185</v>
      </c>
      <c r="D137" s="32"/>
    </row>
    <row r="138" spans="1:10" x14ac:dyDescent="0.25">
      <c r="A138" s="53" t="s">
        <v>170</v>
      </c>
      <c r="B138" s="54">
        <f>B127/B102</f>
        <v>1.2090305450947048</v>
      </c>
      <c r="C138" s="53"/>
      <c r="D138" s="32"/>
    </row>
    <row r="139" spans="1:10" x14ac:dyDescent="0.25">
      <c r="A139" s="282" t="s">
        <v>186</v>
      </c>
      <c r="B139" s="282"/>
    </row>
    <row r="140" spans="1:10" x14ac:dyDescent="0.25">
      <c r="A140" s="283" t="s">
        <v>304</v>
      </c>
      <c r="B140" s="283"/>
    </row>
    <row r="141" spans="1:10" x14ac:dyDescent="0.25">
      <c r="A141" s="3" t="s">
        <v>172</v>
      </c>
      <c r="B141" s="34">
        <f>N3*B66</f>
        <v>1310723.045237229</v>
      </c>
    </row>
    <row r="142" spans="1:10" x14ac:dyDescent="0.25">
      <c r="A142" s="3" t="s">
        <v>173</v>
      </c>
      <c r="B142" s="34">
        <f>N3*B64</f>
        <v>1267775.9264444259</v>
      </c>
    </row>
    <row r="143" spans="1:10" x14ac:dyDescent="0.25">
      <c r="A143" s="3" t="s">
        <v>176</v>
      </c>
      <c r="B143" s="34">
        <f>B67</f>
        <v>601.22506864963464</v>
      </c>
    </row>
    <row r="144" spans="1:10" x14ac:dyDescent="0.25">
      <c r="A144" s="3" t="s">
        <v>179</v>
      </c>
      <c r="B144" s="34">
        <f>(B141-B142)/(0.5*B143^2)</f>
        <v>0.23762376237623822</v>
      </c>
    </row>
    <row r="145" spans="1:6" x14ac:dyDescent="0.25">
      <c r="A145" s="274" t="s">
        <v>187</v>
      </c>
      <c r="B145" s="275"/>
    </row>
    <row r="146" spans="1:6" x14ac:dyDescent="0.25">
      <c r="A146" s="3" t="s">
        <v>174</v>
      </c>
      <c r="B146" s="34">
        <f>B33*N3</f>
        <v>1432838.6265602822</v>
      </c>
    </row>
    <row r="147" spans="1:6" x14ac:dyDescent="0.25">
      <c r="A147" s="3" t="s">
        <v>175</v>
      </c>
      <c r="B147" s="34">
        <f>B28*N3</f>
        <v>1394602.0569372547</v>
      </c>
    </row>
    <row r="148" spans="1:6" x14ac:dyDescent="0.25">
      <c r="A148" s="3" t="s">
        <v>177</v>
      </c>
      <c r="B148" s="34">
        <f>B34</f>
        <v>778.66728894916071</v>
      </c>
    </row>
    <row r="149" spans="1:6" x14ac:dyDescent="0.25">
      <c r="A149" s="3" t="s">
        <v>178</v>
      </c>
      <c r="B149" s="34">
        <f>(B146-B147)/(0.5*B148^2)</f>
        <v>0.12612612612612609</v>
      </c>
    </row>
    <row r="150" spans="1:6" x14ac:dyDescent="0.25">
      <c r="A150" s="277" t="s">
        <v>259</v>
      </c>
      <c r="B150" s="278"/>
    </row>
    <row r="151" spans="1:6" x14ac:dyDescent="0.25">
      <c r="A151" s="32" t="s">
        <v>260</v>
      </c>
      <c r="B151" s="35">
        <f>N3*F2</f>
        <v>1736000</v>
      </c>
    </row>
    <row r="152" spans="1:6" x14ac:dyDescent="0.25">
      <c r="A152" s="32" t="s">
        <v>261</v>
      </c>
      <c r="B152" s="35">
        <f>N3*B94</f>
        <v>1345549.2185491363</v>
      </c>
    </row>
    <row r="153" spans="1:6" x14ac:dyDescent="0.25">
      <c r="A153" s="32" t="s">
        <v>262</v>
      </c>
      <c r="B153" s="35">
        <f>F2*(B74/F3)^U2</f>
        <v>995.11629143412597</v>
      </c>
    </row>
    <row r="154" spans="1:6" x14ac:dyDescent="0.25">
      <c r="A154" s="32" t="s">
        <v>266</v>
      </c>
      <c r="B154" s="35">
        <f>N3*B153</f>
        <v>1233944.2013783162</v>
      </c>
    </row>
    <row r="155" spans="1:6" x14ac:dyDescent="0.25">
      <c r="A155" s="32" t="s">
        <v>267</v>
      </c>
      <c r="B155" s="35">
        <f>(B151-B152)/(B151-(B154+B91^2/(2)))</f>
        <v>0.8356721412774113</v>
      </c>
    </row>
    <row r="156" spans="1:6" x14ac:dyDescent="0.25">
      <c r="A156" s="32" t="s">
        <v>268</v>
      </c>
      <c r="B156" s="35">
        <f>(B151-B152)/(B151-B154)</f>
        <v>0.77770395745410292</v>
      </c>
    </row>
    <row r="157" spans="1:6" x14ac:dyDescent="0.25">
      <c r="A157" s="32"/>
      <c r="B157" s="35" t="s">
        <v>407</v>
      </c>
      <c r="C157" t="s">
        <v>334</v>
      </c>
      <c r="F157" t="s">
        <v>364</v>
      </c>
    </row>
    <row r="158" spans="1:6" x14ac:dyDescent="0.25">
      <c r="A158" s="32" t="s">
        <v>360</v>
      </c>
      <c r="B158" s="35">
        <f>(B30^2-B34^2)/(B34^2)</f>
        <v>0.12612612612612609</v>
      </c>
      <c r="C158" s="87">
        <f>B35</f>
        <v>0.11199999999999996</v>
      </c>
      <c r="D158" s="73">
        <f>(B158-C158)/B158</f>
        <v>0.11200000000000003</v>
      </c>
      <c r="E158" s="73" t="s">
        <v>335</v>
      </c>
      <c r="F158">
        <f>(C158/(1-C158))</f>
        <v>0.12612612612612609</v>
      </c>
    </row>
    <row r="159" spans="1:6" x14ac:dyDescent="0.25">
      <c r="A159" s="32" t="s">
        <v>361</v>
      </c>
      <c r="B159" s="35">
        <f>(B65^2-B67^2)/(B67^2)</f>
        <v>0.23762376237623822</v>
      </c>
      <c r="C159" s="35">
        <f>B68</f>
        <v>0.19200000000000039</v>
      </c>
      <c r="D159" s="73">
        <f>(B159-C159)/B159</f>
        <v>0.19200000000000039</v>
      </c>
      <c r="E159" s="73" t="s">
        <v>336</v>
      </c>
      <c r="F159">
        <f>(C159/(1-C159))</f>
        <v>0.23762376237623822</v>
      </c>
    </row>
    <row r="160" spans="1:6" x14ac:dyDescent="0.25">
      <c r="A160" s="32"/>
      <c r="C160" t="s">
        <v>333</v>
      </c>
      <c r="D160" s="73" t="s">
        <v>367</v>
      </c>
    </row>
    <row r="161" spans="1:9" x14ac:dyDescent="0.25">
      <c r="A161" s="32" t="s">
        <v>272</v>
      </c>
      <c r="B161" s="35">
        <f>B158*(1+N2*B39^2/2)</f>
        <v>0.24176496962767985</v>
      </c>
      <c r="C161" s="35">
        <f>B42</f>
        <v>0.18047675449333542</v>
      </c>
      <c r="D161" s="74">
        <f>B43</f>
        <v>0.22022164164697602</v>
      </c>
      <c r="E161" s="73">
        <f>(B161-C161)/B161</f>
        <v>0.25350328969796088</v>
      </c>
      <c r="F161" s="73" t="s">
        <v>335</v>
      </c>
    </row>
    <row r="162" spans="1:9" x14ac:dyDescent="0.25">
      <c r="A162" s="32" t="s">
        <v>273</v>
      </c>
      <c r="B162" s="35">
        <f>B159*(1+N2*B72^2/2)</f>
        <v>0.37960965490458437</v>
      </c>
      <c r="C162" s="35">
        <f>B75</f>
        <v>0.26595115620062493</v>
      </c>
      <c r="D162" s="74">
        <f>B76</f>
        <v>0.36230716586117634</v>
      </c>
      <c r="E162" s="73">
        <f>(B162-C162)/B162</f>
        <v>0.29940887233894969</v>
      </c>
      <c r="F162" s="73" t="s">
        <v>336</v>
      </c>
    </row>
    <row r="163" spans="1:9" x14ac:dyDescent="0.25">
      <c r="A163" s="32"/>
      <c r="C163" s="35"/>
      <c r="E163" s="73"/>
    </row>
    <row r="164" spans="1:9" x14ac:dyDescent="0.25">
      <c r="A164" s="32" t="s">
        <v>362</v>
      </c>
      <c r="B164" s="35">
        <f>(F3-B41)/(0.5*B37*B34^2)</f>
        <v>0.31157282692924743</v>
      </c>
      <c r="C164" s="35">
        <f>(F3-B41)/(0.5*B37*B30^2)</f>
        <v>0.27667667031317178</v>
      </c>
      <c r="E164" s="94">
        <f>(B161-D161)/B161</f>
        <v>8.9108558671178617E-2</v>
      </c>
      <c r="F164" t="s">
        <v>374</v>
      </c>
    </row>
    <row r="165" spans="1:9" x14ac:dyDescent="0.25">
      <c r="A165" s="32" t="s">
        <v>363</v>
      </c>
      <c r="B165" s="35">
        <f>(B56-B73)/(0.5*B67^2*B70)</f>
        <v>0.45491556749506917</v>
      </c>
      <c r="C165" s="35">
        <f>(B56-B73)/(0.5*B65^2*B70)</f>
        <v>0.36757177853601569</v>
      </c>
      <c r="E165" s="94">
        <f>(B162-D162)/B162</f>
        <v>4.5579686448589E-2</v>
      </c>
    </row>
    <row r="167" spans="1:9" x14ac:dyDescent="0.25">
      <c r="A167" t="s">
        <v>780</v>
      </c>
      <c r="B167" s="35">
        <v>0</v>
      </c>
      <c r="C167" t="s">
        <v>340</v>
      </c>
    </row>
    <row r="168" spans="1:9" x14ac:dyDescent="0.25">
      <c r="A168" s="251" t="s">
        <v>339</v>
      </c>
      <c r="B168" s="251"/>
    </row>
    <row r="169" spans="1:9" x14ac:dyDescent="0.25">
      <c r="A169" t="s">
        <v>341</v>
      </c>
      <c r="B169" s="35">
        <f>0.04+0.06*((B12+B167)/100)^2</f>
        <v>7.4020539999999996E-2</v>
      </c>
      <c r="C169" t="s">
        <v>335</v>
      </c>
      <c r="D169" t="s">
        <v>342</v>
      </c>
      <c r="E169" s="35">
        <f>0.04+0.06*((-I173+I172)/100)^2</f>
        <v>0.12604736648423454</v>
      </c>
      <c r="F169" t="s">
        <v>336</v>
      </c>
    </row>
    <row r="170" spans="1:9" x14ac:dyDescent="0.25">
      <c r="A170" s="62" t="s">
        <v>356</v>
      </c>
      <c r="B170" s="35">
        <f>B102/C171</f>
        <v>1.700766470497439E-2</v>
      </c>
      <c r="D170" s="62" t="s">
        <v>355</v>
      </c>
      <c r="E170" s="35">
        <f>B127/F171</f>
        <v>1.0281393064521579E-2</v>
      </c>
      <c r="H170" s="104" t="s">
        <v>403</v>
      </c>
      <c r="I170" s="39">
        <f>B167</f>
        <v>0</v>
      </c>
    </row>
    <row r="171" spans="1:9" x14ac:dyDescent="0.25">
      <c r="A171" t="s">
        <v>345</v>
      </c>
      <c r="B171" s="73" t="s">
        <v>346</v>
      </c>
      <c r="C171">
        <v>0.7</v>
      </c>
      <c r="D171" t="s">
        <v>345</v>
      </c>
      <c r="E171" s="73" t="s">
        <v>346</v>
      </c>
      <c r="F171">
        <v>1.4</v>
      </c>
      <c r="H171" s="104" t="s">
        <v>72</v>
      </c>
      <c r="I171" s="39">
        <f>B12</f>
        <v>75.3</v>
      </c>
    </row>
    <row r="172" spans="1:9" x14ac:dyDescent="0.25">
      <c r="A172" t="s">
        <v>347</v>
      </c>
      <c r="B172" s="35">
        <f>1/C171</f>
        <v>1.4285714285714286</v>
      </c>
      <c r="D172" t="s">
        <v>348</v>
      </c>
      <c r="E172" s="35">
        <f>1/F171</f>
        <v>0.7142857142857143</v>
      </c>
      <c r="H172" s="104" t="s">
        <v>402</v>
      </c>
      <c r="I172" s="39">
        <f>B52</f>
        <v>54.754865234663527</v>
      </c>
    </row>
    <row r="173" spans="1:9" x14ac:dyDescent="0.25">
      <c r="A173" t="s">
        <v>344</v>
      </c>
      <c r="B173" s="35">
        <f>-1 +(1+B169)*(0.993+0.021*B172)</f>
        <v>9.8723012420000034E-2</v>
      </c>
      <c r="D173" t="s">
        <v>343</v>
      </c>
      <c r="E173" s="35">
        <f>-1+(1+E169)*(0.975+0.075*E172)</f>
        <v>0.15822014838378395</v>
      </c>
      <c r="H173" s="104" t="s">
        <v>224</v>
      </c>
      <c r="I173" s="39">
        <f>B15</f>
        <v>-65</v>
      </c>
    </row>
    <row r="174" spans="1:9" x14ac:dyDescent="0.25">
      <c r="A174" s="62" t="s">
        <v>353</v>
      </c>
      <c r="B174" s="35">
        <f>B177*B170</f>
        <v>1.1686917842638396E-2</v>
      </c>
      <c r="C174" s="312">
        <f>(COS(RADIANS(B12))^2)</f>
        <v>6.4393094439905332E-2</v>
      </c>
      <c r="D174" s="62" t="s">
        <v>354</v>
      </c>
      <c r="E174" s="35">
        <f>E177*E170</f>
        <v>6.5493137692234568E-3</v>
      </c>
    </row>
    <row r="175" spans="1:9" x14ac:dyDescent="0.25">
      <c r="A175" s="73" t="s">
        <v>401</v>
      </c>
      <c r="B175" s="74">
        <f>0.8/2/(TAN(RADIANS(B167))+TAN(RADIANS(B12)))/(COS(RADIANS(B12))^2)</f>
        <v>1.6296473475881883</v>
      </c>
      <c r="C175" s="73">
        <f>1/B179</f>
        <v>0.81967213114754101</v>
      </c>
      <c r="D175" s="73" t="s">
        <v>401</v>
      </c>
      <c r="E175" s="35">
        <f>0.8/2/(TAN(RADIANS(I172))+TAN(ABS(RADIANS(I173))))/(COS(RADIANS(I173))^2)</f>
        <v>0.62913886986837741</v>
      </c>
      <c r="F175">
        <f>1/E179</f>
        <v>0.7142857142857143</v>
      </c>
    </row>
    <row r="176" spans="1:9" x14ac:dyDescent="0.25">
      <c r="A176" s="73" t="s">
        <v>589</v>
      </c>
      <c r="B176" s="74">
        <v>60</v>
      </c>
      <c r="C176" s="73"/>
      <c r="D176" s="73" t="s">
        <v>589</v>
      </c>
      <c r="E176" s="35">
        <v>15</v>
      </c>
    </row>
    <row r="177" spans="1:6" x14ac:dyDescent="0.25">
      <c r="A177" s="73" t="s">
        <v>776</v>
      </c>
      <c r="B177" s="74">
        <f>0.6*COS(RADIANS(B176))/2/(COS((RADIANS(I171)))^2)/(B115/B46*(TAN(RADIANS(I170)))+(TAN(RADIANS(I171))))*F102/B102*F3/B41</f>
        <v>0.68715594088706455</v>
      </c>
      <c r="C177" s="73"/>
      <c r="D177" s="73" t="s">
        <v>776</v>
      </c>
      <c r="E177" s="35">
        <f>0.8*COS(RADIANS(E176))/2/(COS((RADIANS(ABS(I173))))^2)/(B51/B79*(TAN(RADIANS(I172)))+(TAN(RADIANS(ABS(I173)))))*B102/B127*B56/B73</f>
        <v>0.63700645701635905</v>
      </c>
    </row>
    <row r="178" spans="1:6" x14ac:dyDescent="0.25">
      <c r="A178" s="73"/>
      <c r="B178" s="74">
        <f>0.8*COS(RADIANS(B176))/2/(COS((RADIANS(I171)))^2)/((TAN(RADIANS(I170)))+(TAN(RADIANS(I171))))</f>
        <v>0.81482367379409426</v>
      </c>
      <c r="C178" s="73"/>
      <c r="E178" s="35"/>
    </row>
    <row r="179" spans="1:6" x14ac:dyDescent="0.25">
      <c r="A179" s="73" t="s">
        <v>349</v>
      </c>
      <c r="B179">
        <v>1.22</v>
      </c>
      <c r="D179" s="73" t="s">
        <v>510</v>
      </c>
      <c r="E179">
        <v>1.4</v>
      </c>
      <c r="F179" t="s">
        <v>400</v>
      </c>
    </row>
    <row r="180" spans="1:6" x14ac:dyDescent="0.25">
      <c r="A180" s="73" t="s">
        <v>511</v>
      </c>
      <c r="B180">
        <f>1/B179</f>
        <v>0.81967213114754101</v>
      </c>
      <c r="D180" s="73" t="s">
        <v>405</v>
      </c>
      <c r="E180">
        <f>1/E179</f>
        <v>0.7142857142857143</v>
      </c>
    </row>
    <row r="181" spans="1:6" x14ac:dyDescent="0.25">
      <c r="A181" t="s">
        <v>351</v>
      </c>
      <c r="B181" s="35">
        <f>2*B174*B102*COS(RADIANS(I171))/(B174*COS(RADIANS(I171))+B102)</f>
        <v>4.748449142037663E-3</v>
      </c>
      <c r="D181" t="s">
        <v>352</v>
      </c>
      <c r="E181" s="35">
        <f>2*E174*B127*COS(RADIANS(I173))/(E174*COS(RADIANS(I173))+B127)</f>
        <v>4.6429174727589699E-3</v>
      </c>
    </row>
    <row r="182" spans="1:6" x14ac:dyDescent="0.25">
      <c r="A182" t="s">
        <v>371</v>
      </c>
      <c r="B182" s="91" t="e">
        <f ca="1">[1]!cercha(B33,A192:B216)</f>
        <v>#NAME?</v>
      </c>
      <c r="D182" t="s">
        <v>372</v>
      </c>
      <c r="E182" s="91" t="e">
        <f ca="1">[1]!cercha(B66,A192:B216)</f>
        <v>#NAME?</v>
      </c>
    </row>
    <row r="183" spans="1:6" x14ac:dyDescent="0.25">
      <c r="A183" t="s">
        <v>350</v>
      </c>
      <c r="B183" s="35" t="e">
        <f ca="1">B37*B34*B181/(B182)</f>
        <v>#NAME?</v>
      </c>
      <c r="D183" t="s">
        <v>357</v>
      </c>
      <c r="E183" s="35" t="e">
        <f ca="1">B70*B67*E181/E182</f>
        <v>#NAME?</v>
      </c>
    </row>
    <row r="184" spans="1:6" x14ac:dyDescent="0.25">
      <c r="A184" s="92" t="s">
        <v>272</v>
      </c>
      <c r="B184" s="93" t="e">
        <f ca="1">B173*(10^5/B183)^(1/4)</f>
        <v>#NAME?</v>
      </c>
      <c r="D184" s="92" t="s">
        <v>273</v>
      </c>
      <c r="E184" s="93" t="e">
        <f ca="1">E173*(10^5/E183)^(1/4)</f>
        <v>#NAME?</v>
      </c>
    </row>
    <row r="185" spans="1:6" x14ac:dyDescent="0.25">
      <c r="A185" t="s">
        <v>409</v>
      </c>
      <c r="B185" s="87">
        <f>B158</f>
        <v>0.12612612612612609</v>
      </c>
      <c r="C185" s="73" t="s">
        <v>358</v>
      </c>
      <c r="D185" s="73" t="s">
        <v>408</v>
      </c>
      <c r="E185" s="35">
        <f>B159</f>
        <v>0.23762376237623822</v>
      </c>
      <c r="F185" s="73" t="s">
        <v>358</v>
      </c>
    </row>
    <row r="186" spans="1:6" x14ac:dyDescent="0.25">
      <c r="A186" t="s">
        <v>373</v>
      </c>
      <c r="B186" s="35" t="e">
        <f ca="1">(B184-B185)/B184*100</f>
        <v>#NAME?</v>
      </c>
      <c r="D186" s="73" t="s">
        <v>373</v>
      </c>
      <c r="E186" t="e">
        <f ca="1">(E185-E184)/E184*100</f>
        <v>#NAME?</v>
      </c>
    </row>
    <row r="187" spans="1:6" x14ac:dyDescent="0.25">
      <c r="A187" t="s">
        <v>368</v>
      </c>
    </row>
    <row r="188" spans="1:6" x14ac:dyDescent="0.25">
      <c r="A188" s="140">
        <f>1/(1+(B159*B67^2+B158*B34^2)/(2*N3*(F2-B94)))</f>
        <v>0.82786735575375403</v>
      </c>
    </row>
    <row r="191" spans="1:6" ht="15.75" thickBot="1" x14ac:dyDescent="0.3">
      <c r="A191" t="s">
        <v>397</v>
      </c>
      <c r="B191" s="35" t="s">
        <v>398</v>
      </c>
      <c r="C191" t="s">
        <v>399</v>
      </c>
    </row>
    <row r="192" spans="1:6" ht="16.5" thickTop="1" thickBot="1" x14ac:dyDescent="0.3">
      <c r="A192" s="96">
        <v>100</v>
      </c>
      <c r="B192" s="97">
        <f t="shared" ref="B192:B216" si="1">D192*10^-5</f>
        <v>6.9E-6</v>
      </c>
      <c r="C192" s="97">
        <f>E192*10^-5</f>
        <v>1.9230000000000001E-5</v>
      </c>
      <c r="D192" s="226">
        <v>0.69</v>
      </c>
      <c r="E192" s="98">
        <v>1.923</v>
      </c>
    </row>
    <row r="193" spans="1:5" ht="16.5" thickTop="1" thickBot="1" x14ac:dyDescent="0.3">
      <c r="A193" s="99">
        <v>150</v>
      </c>
      <c r="B193" s="97">
        <f t="shared" si="1"/>
        <v>1.0200000000000001E-5</v>
      </c>
      <c r="C193" s="97">
        <f t="shared" ref="C193:C217" si="2">E193*10^-5</f>
        <v>4.3400000000000005E-5</v>
      </c>
      <c r="D193" s="95">
        <v>1.02</v>
      </c>
      <c r="E193" s="100">
        <v>4.34</v>
      </c>
    </row>
    <row r="194" spans="1:5" ht="16.5" thickTop="1" thickBot="1" x14ac:dyDescent="0.3">
      <c r="A194" s="99">
        <v>200</v>
      </c>
      <c r="B194" s="97">
        <f t="shared" si="1"/>
        <v>1.3200000000000002E-5</v>
      </c>
      <c r="C194" s="97">
        <f t="shared" si="2"/>
        <v>7.4900000000000005E-5</v>
      </c>
      <c r="D194" s="95">
        <v>1.32</v>
      </c>
      <c r="E194" s="100">
        <v>7.49</v>
      </c>
    </row>
    <row r="195" spans="1:5" ht="16.5" thickTop="1" thickBot="1" x14ac:dyDescent="0.3">
      <c r="A195" s="99">
        <v>250</v>
      </c>
      <c r="B195" s="97">
        <f t="shared" si="1"/>
        <v>1.4800000000000001E-5</v>
      </c>
      <c r="C195" s="97">
        <f t="shared" si="2"/>
        <v>9.4900000000000016E-5</v>
      </c>
      <c r="D195" s="95">
        <v>1.48</v>
      </c>
      <c r="E195" s="100" t="s">
        <v>375</v>
      </c>
    </row>
    <row r="196" spans="1:5" ht="16.5" thickTop="1" thickBot="1" x14ac:dyDescent="0.3">
      <c r="A196" s="99">
        <v>300</v>
      </c>
      <c r="B196" s="97">
        <f t="shared" si="1"/>
        <v>1.98E-5</v>
      </c>
      <c r="C196" s="97">
        <f t="shared" si="2"/>
        <v>1.5680000000000002E-4</v>
      </c>
      <c r="D196" s="95">
        <v>1.98</v>
      </c>
      <c r="E196" s="100" t="s">
        <v>376</v>
      </c>
    </row>
    <row r="197" spans="1:5" ht="16.5" thickTop="1" thickBot="1" x14ac:dyDescent="0.3">
      <c r="A197" s="99">
        <v>350</v>
      </c>
      <c r="B197" s="97">
        <f t="shared" si="1"/>
        <v>2.0750000000000003E-5</v>
      </c>
      <c r="C197" s="97">
        <f t="shared" si="2"/>
        <v>2.0760000000000003E-4</v>
      </c>
      <c r="D197" s="95">
        <v>2.0750000000000002</v>
      </c>
      <c r="E197" s="100" t="s">
        <v>377</v>
      </c>
    </row>
    <row r="198" spans="1:5" ht="16.5" thickTop="1" thickBot="1" x14ac:dyDescent="0.3">
      <c r="A198" s="99">
        <v>400</v>
      </c>
      <c r="B198" s="97">
        <f t="shared" si="1"/>
        <v>2.2860000000000001E-5</v>
      </c>
      <c r="C198" s="97">
        <f t="shared" si="2"/>
        <v>2.5900000000000001E-4</v>
      </c>
      <c r="D198" s="95">
        <v>2.286</v>
      </c>
      <c r="E198" s="100" t="s">
        <v>378</v>
      </c>
    </row>
    <row r="199" spans="1:5" ht="16.5" thickTop="1" thickBot="1" x14ac:dyDescent="0.3">
      <c r="A199" s="99">
        <v>450</v>
      </c>
      <c r="B199" s="97">
        <f t="shared" si="1"/>
        <v>2.4800000000000003E-5</v>
      </c>
      <c r="C199" s="97">
        <f t="shared" si="2"/>
        <v>2.8860000000000002E-4</v>
      </c>
      <c r="D199" s="95">
        <v>2.48</v>
      </c>
      <c r="E199" s="100" t="s">
        <v>379</v>
      </c>
    </row>
    <row r="200" spans="1:5" ht="16.5" thickTop="1" thickBot="1" x14ac:dyDescent="0.3">
      <c r="A200" s="99">
        <v>500</v>
      </c>
      <c r="B200" s="97">
        <f t="shared" si="1"/>
        <v>2.6700000000000002E-5</v>
      </c>
      <c r="C200" s="97">
        <f t="shared" si="2"/>
        <v>3.79E-4</v>
      </c>
      <c r="D200" s="95">
        <v>2.67</v>
      </c>
      <c r="E200" s="100" t="s">
        <v>380</v>
      </c>
    </row>
    <row r="201" spans="1:5" ht="16.5" thickTop="1" thickBot="1" x14ac:dyDescent="0.3">
      <c r="A201" s="99">
        <v>550</v>
      </c>
      <c r="B201" s="97">
        <f t="shared" si="1"/>
        <v>2.8400000000000003E-5</v>
      </c>
      <c r="C201" s="97">
        <f t="shared" si="2"/>
        <v>4.4340000000000004E-4</v>
      </c>
      <c r="D201" s="95">
        <v>2.84</v>
      </c>
      <c r="E201" s="100" t="s">
        <v>381</v>
      </c>
    </row>
    <row r="202" spans="1:5" ht="16.5" thickTop="1" thickBot="1" x14ac:dyDescent="0.3">
      <c r="A202" s="99">
        <v>600</v>
      </c>
      <c r="B202" s="97">
        <f t="shared" si="1"/>
        <v>3.0179999999999999E-5</v>
      </c>
      <c r="C202" s="97">
        <f t="shared" si="2"/>
        <v>5.1340000000000012E-4</v>
      </c>
      <c r="D202" s="95">
        <v>3.0179999999999998</v>
      </c>
      <c r="E202" s="100" t="s">
        <v>382</v>
      </c>
    </row>
    <row r="203" spans="1:5" ht="16.5" thickTop="1" thickBot="1" x14ac:dyDescent="0.3">
      <c r="A203" s="99">
        <v>650</v>
      </c>
      <c r="B203" s="97">
        <f t="shared" si="1"/>
        <v>3.1770000000000002E-5</v>
      </c>
      <c r="C203" s="97">
        <f t="shared" si="2"/>
        <v>5.8510000000000007E-4</v>
      </c>
      <c r="D203" s="95">
        <v>3.177</v>
      </c>
      <c r="E203" s="100" t="s">
        <v>383</v>
      </c>
    </row>
    <row r="204" spans="1:5" ht="16.5" thickTop="1" thickBot="1" x14ac:dyDescent="0.3">
      <c r="A204" s="99">
        <v>700</v>
      </c>
      <c r="B204" s="97">
        <f t="shared" si="1"/>
        <v>3.3319999999999999E-5</v>
      </c>
      <c r="C204" s="97">
        <f t="shared" si="2"/>
        <v>6.625E-4</v>
      </c>
      <c r="D204" s="95">
        <v>3.3319999999999999</v>
      </c>
      <c r="E204" s="100" t="s">
        <v>384</v>
      </c>
    </row>
    <row r="205" spans="1:5" ht="16.5" thickTop="1" thickBot="1" x14ac:dyDescent="0.3">
      <c r="A205" s="99">
        <v>750</v>
      </c>
      <c r="B205" s="97">
        <f t="shared" si="1"/>
        <v>3.481E-5</v>
      </c>
      <c r="C205" s="97">
        <f t="shared" si="2"/>
        <v>7.3910000000000002E-4</v>
      </c>
      <c r="D205" s="95">
        <v>3.4809999999999999</v>
      </c>
      <c r="E205" s="100" t="s">
        <v>385</v>
      </c>
    </row>
    <row r="206" spans="1:5" ht="16.5" thickTop="1" thickBot="1" x14ac:dyDescent="0.3">
      <c r="A206" s="99">
        <v>800</v>
      </c>
      <c r="B206" s="97">
        <f t="shared" si="1"/>
        <v>3.625E-5</v>
      </c>
      <c r="C206" s="97">
        <f t="shared" si="2"/>
        <v>8.2290000000000011E-4</v>
      </c>
      <c r="D206" s="95">
        <v>3.625</v>
      </c>
      <c r="E206" s="100" t="s">
        <v>386</v>
      </c>
    </row>
    <row r="207" spans="1:5" ht="16.5" thickTop="1" thickBot="1" x14ac:dyDescent="0.3">
      <c r="A207" s="99">
        <v>850</v>
      </c>
      <c r="B207" s="97">
        <f t="shared" si="1"/>
        <v>3.7650000000000007E-5</v>
      </c>
      <c r="C207" s="97">
        <f t="shared" si="2"/>
        <v>9.075000000000001E-4</v>
      </c>
      <c r="D207" s="95">
        <v>3.7650000000000001</v>
      </c>
      <c r="E207" s="100" t="s">
        <v>387</v>
      </c>
    </row>
    <row r="208" spans="1:5" ht="16.5" thickTop="1" thickBot="1" x14ac:dyDescent="0.3">
      <c r="A208" s="99">
        <v>900</v>
      </c>
      <c r="B208" s="97">
        <f t="shared" si="1"/>
        <v>3.8990000000000004E-5</v>
      </c>
      <c r="C208" s="97">
        <f t="shared" si="2"/>
        <v>9.9299999999999996E-4</v>
      </c>
      <c r="D208" s="95">
        <v>3.899</v>
      </c>
      <c r="E208" s="100" t="s">
        <v>388</v>
      </c>
    </row>
    <row r="209" spans="1:5" ht="16.5" thickTop="1" thickBot="1" x14ac:dyDescent="0.3">
      <c r="A209" s="99">
        <v>950</v>
      </c>
      <c r="B209" s="97">
        <f t="shared" si="1"/>
        <v>4.0229999999999999E-5</v>
      </c>
      <c r="C209" s="97">
        <f t="shared" si="2"/>
        <v>1.0820000000000001E-3</v>
      </c>
      <c r="D209" s="95">
        <v>4.0229999999999997</v>
      </c>
      <c r="E209" s="100" t="s">
        <v>389</v>
      </c>
    </row>
    <row r="210" spans="1:5" ht="16.5" thickTop="1" thickBot="1" x14ac:dyDescent="0.3">
      <c r="A210" s="99">
        <v>1000</v>
      </c>
      <c r="B210" s="97">
        <f t="shared" si="1"/>
        <v>4.1520000000000002E-5</v>
      </c>
      <c r="C210" s="97">
        <f t="shared" si="2"/>
        <v>1.178E-3</v>
      </c>
      <c r="D210" s="95">
        <v>4.1520000000000001</v>
      </c>
      <c r="E210" s="100" t="s">
        <v>390</v>
      </c>
    </row>
    <row r="211" spans="1:5" ht="16.5" thickTop="1" thickBot="1" x14ac:dyDescent="0.3">
      <c r="A211" s="99">
        <v>1100</v>
      </c>
      <c r="B211" s="97">
        <f t="shared" si="1"/>
        <v>4.4400000000000009E-5</v>
      </c>
      <c r="C211" s="97">
        <f t="shared" si="2"/>
        <v>1.3860000000000001E-3</v>
      </c>
      <c r="D211" s="95">
        <v>4.4400000000000004</v>
      </c>
      <c r="E211" s="100" t="s">
        <v>391</v>
      </c>
    </row>
    <row r="212" spans="1:5" ht="16.5" thickTop="1" thickBot="1" x14ac:dyDescent="0.3">
      <c r="A212" s="99">
        <v>1200</v>
      </c>
      <c r="B212" s="97">
        <f t="shared" si="1"/>
        <v>4.6900000000000008E-5</v>
      </c>
      <c r="C212" s="97">
        <f t="shared" si="2"/>
        <v>1.591E-3</v>
      </c>
      <c r="D212" s="95">
        <v>4.6900000000000004</v>
      </c>
      <c r="E212" s="100" t="s">
        <v>392</v>
      </c>
    </row>
    <row r="213" spans="1:5" ht="16.5" thickTop="1" thickBot="1" x14ac:dyDescent="0.3">
      <c r="A213" s="99">
        <v>1300</v>
      </c>
      <c r="B213" s="97">
        <f t="shared" si="1"/>
        <v>4.9299999999999999E-5</v>
      </c>
      <c r="C213" s="97">
        <f t="shared" si="2"/>
        <v>1.8210000000000001E-3</v>
      </c>
      <c r="D213" s="95">
        <v>4.93</v>
      </c>
      <c r="E213" s="100" t="s">
        <v>393</v>
      </c>
    </row>
    <row r="214" spans="1:5" ht="16.5" thickTop="1" thickBot="1" x14ac:dyDescent="0.3">
      <c r="A214" s="99">
        <v>1400</v>
      </c>
      <c r="B214" s="97">
        <f t="shared" si="1"/>
        <v>5.1700000000000003E-5</v>
      </c>
      <c r="C214" s="97">
        <f t="shared" si="2"/>
        <v>2.055E-3</v>
      </c>
      <c r="D214" s="95">
        <v>5.17</v>
      </c>
      <c r="E214" s="100" t="s">
        <v>394</v>
      </c>
    </row>
    <row r="215" spans="1:5" ht="16.5" thickTop="1" thickBot="1" x14ac:dyDescent="0.3">
      <c r="A215" s="99">
        <v>1500</v>
      </c>
      <c r="B215" s="97">
        <f t="shared" si="1"/>
        <v>5.4000000000000005E-5</v>
      </c>
      <c r="C215" s="97">
        <f t="shared" si="2"/>
        <v>2.2910000000000001E-3</v>
      </c>
      <c r="D215" s="95">
        <v>5.4</v>
      </c>
      <c r="E215" s="100" t="s">
        <v>395</v>
      </c>
    </row>
    <row r="216" spans="1:5" ht="16.5" thickTop="1" thickBot="1" x14ac:dyDescent="0.3">
      <c r="A216" s="101">
        <v>1600</v>
      </c>
      <c r="B216" s="97">
        <f t="shared" si="1"/>
        <v>5.6300000000000006E-5</v>
      </c>
      <c r="C216" s="97">
        <f t="shared" si="2"/>
        <v>2.5450000000000004E-3</v>
      </c>
      <c r="D216" s="102">
        <v>5.63</v>
      </c>
      <c r="E216" s="103" t="s">
        <v>396</v>
      </c>
    </row>
    <row r="217" spans="1:5" ht="16.5" thickTop="1" thickBot="1" x14ac:dyDescent="0.3">
      <c r="C217" s="97"/>
    </row>
  </sheetData>
  <mergeCells count="38">
    <mergeCell ref="A145:B145"/>
    <mergeCell ref="H124:J124"/>
    <mergeCell ref="A150:B150"/>
    <mergeCell ref="A87:C87"/>
    <mergeCell ref="E111:I111"/>
    <mergeCell ref="A123:B123"/>
    <mergeCell ref="A139:B139"/>
    <mergeCell ref="A140:B140"/>
    <mergeCell ref="A92:C92"/>
    <mergeCell ref="A98:C98"/>
    <mergeCell ref="E98:G98"/>
    <mergeCell ref="H123:J123"/>
    <mergeCell ref="R34:T34"/>
    <mergeCell ref="M63:O63"/>
    <mergeCell ref="M64:O64"/>
    <mergeCell ref="M71:O71"/>
    <mergeCell ref="A78:C78"/>
    <mergeCell ref="R17:T17"/>
    <mergeCell ref="V17:X17"/>
    <mergeCell ref="E1:G1"/>
    <mergeCell ref="I1:K1"/>
    <mergeCell ref="M1:U1"/>
    <mergeCell ref="A168:B168"/>
    <mergeCell ref="A1:C1"/>
    <mergeCell ref="F17:H17"/>
    <mergeCell ref="J17:L17"/>
    <mergeCell ref="N17:P17"/>
    <mergeCell ref="A82:C82"/>
    <mergeCell ref="A8:C8"/>
    <mergeCell ref="A18:C18"/>
    <mergeCell ref="A22:C22"/>
    <mergeCell ref="A27:C27"/>
    <mergeCell ref="A32:C32"/>
    <mergeCell ref="A45:C45"/>
    <mergeCell ref="A48:C48"/>
    <mergeCell ref="A58:C58"/>
    <mergeCell ref="A61:C61"/>
    <mergeCell ref="A62:C6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25"/>
  <sheetViews>
    <sheetView topLeftCell="S40" zoomScale="70" zoomScaleNormal="70" workbookViewId="0">
      <selection activeCell="AA123" sqref="AA123"/>
    </sheetView>
  </sheetViews>
  <sheetFormatPr defaultColWidth="11.42578125" defaultRowHeight="15" x14ac:dyDescent="0.25"/>
  <cols>
    <col min="1" max="1" width="6.42578125" customWidth="1"/>
    <col min="3" max="3" width="11.5703125" customWidth="1"/>
    <col min="4" max="4" width="9" customWidth="1"/>
    <col min="5" max="5" width="15.85546875" bestFit="1" customWidth="1"/>
    <col min="6" max="6" width="9.85546875" customWidth="1"/>
    <col min="7" max="7" width="9.42578125" customWidth="1"/>
    <col min="8" max="8" width="9.5703125" customWidth="1"/>
    <col min="9" max="9" width="10.7109375" customWidth="1"/>
    <col min="10" max="10" width="9.140625" customWidth="1"/>
    <col min="14" max="14" width="12" customWidth="1"/>
    <col min="17" max="17" width="13" customWidth="1"/>
    <col min="18" max="18" width="13.5703125" customWidth="1"/>
    <col min="19" max="19" width="13.28515625" customWidth="1"/>
    <col min="20" max="20" width="10.85546875" customWidth="1"/>
    <col min="22" max="22" width="7.28515625" customWidth="1"/>
    <col min="23" max="23" width="11.7109375" customWidth="1"/>
    <col min="24" max="24" width="24.140625" customWidth="1"/>
    <col min="25" max="26" width="13.28515625" customWidth="1"/>
    <col min="27" max="27" width="18.7109375" customWidth="1"/>
    <col min="29" max="30" width="23.42578125" customWidth="1"/>
    <col min="31" max="31" width="14.42578125" customWidth="1"/>
    <col min="32" max="32" width="27.7109375" customWidth="1"/>
    <col min="33" max="33" width="23" customWidth="1"/>
    <col min="34" max="34" width="24.42578125" customWidth="1"/>
    <col min="35" max="35" width="16.5703125" customWidth="1"/>
    <col min="42" max="42" width="20" customWidth="1"/>
  </cols>
  <sheetData>
    <row r="1" spans="1:44" ht="15.75" thickBot="1" x14ac:dyDescent="0.3">
      <c r="A1" s="10" t="s">
        <v>503</v>
      </c>
      <c r="B1" s="11"/>
      <c r="C1" s="12"/>
      <c r="F1" s="269" t="s">
        <v>432</v>
      </c>
      <c r="G1" s="270"/>
      <c r="H1" s="271"/>
      <c r="I1" s="285" t="s">
        <v>422</v>
      </c>
      <c r="J1" s="286"/>
      <c r="K1" s="286"/>
      <c r="L1" s="287"/>
      <c r="N1" s="108" t="s">
        <v>476</v>
      </c>
      <c r="O1" s="110">
        <f>'1D Analysis'!N3</f>
        <v>1240</v>
      </c>
    </row>
    <row r="2" spans="1:44" x14ac:dyDescent="0.25">
      <c r="A2" s="9" t="str">
        <f t="shared" ref="A2:C3" si="0">AG4</f>
        <v>T01</v>
      </c>
      <c r="B2" s="3">
        <f t="shared" si="0"/>
        <v>1400</v>
      </c>
      <c r="C2" s="5" t="str">
        <f t="shared" si="0"/>
        <v>[K]</v>
      </c>
      <c r="F2" s="120" t="s">
        <v>419</v>
      </c>
      <c r="G2" s="121">
        <f>AH14</f>
        <v>0.11906100719891113</v>
      </c>
      <c r="H2" s="122" t="s">
        <v>183</v>
      </c>
      <c r="I2" s="110"/>
      <c r="J2" s="116">
        <v>1</v>
      </c>
      <c r="K2" s="117">
        <v>2</v>
      </c>
      <c r="L2" s="118">
        <v>3</v>
      </c>
      <c r="N2" s="111" t="s">
        <v>477</v>
      </c>
      <c r="O2" s="112">
        <f>'1D Analysis'!N2</f>
        <v>1.3</v>
      </c>
      <c r="AG2" t="s">
        <v>411</v>
      </c>
    </row>
    <row r="3" spans="1:44" ht="15.75" thickBot="1" x14ac:dyDescent="0.3">
      <c r="A3" s="9" t="str">
        <f t="shared" si="0"/>
        <v>P01</v>
      </c>
      <c r="B3" s="3">
        <f t="shared" si="0"/>
        <v>397194</v>
      </c>
      <c r="C3" s="5" t="str">
        <f t="shared" si="0"/>
        <v>Pa</v>
      </c>
      <c r="F3" s="123" t="s">
        <v>421</v>
      </c>
      <c r="G3" s="42">
        <f>AH15</f>
        <v>0.10715490647902003</v>
      </c>
      <c r="H3" s="124" t="s">
        <v>183</v>
      </c>
      <c r="I3" s="119" t="s">
        <v>423</v>
      </c>
      <c r="J3" s="3">
        <f>AH6</f>
        <v>93.458610362213591</v>
      </c>
      <c r="K3" s="3">
        <f>AK6</f>
        <v>778.66728894916071</v>
      </c>
      <c r="L3" s="3">
        <f>AN8</f>
        <v>263.91731020115793</v>
      </c>
      <c r="N3" s="111" t="s">
        <v>478</v>
      </c>
      <c r="O3" s="112">
        <f>'1D Analysis'!Q2</f>
        <v>0.30000000000000004</v>
      </c>
      <c r="AG3" s="294" t="s">
        <v>412</v>
      </c>
      <c r="AH3" s="294"/>
      <c r="AI3" s="294"/>
      <c r="AJ3" s="293" t="s">
        <v>413</v>
      </c>
      <c r="AK3" s="293"/>
      <c r="AL3" s="293"/>
      <c r="AM3" s="292" t="s">
        <v>414</v>
      </c>
      <c r="AN3" s="292"/>
      <c r="AO3" s="292"/>
      <c r="AP3" s="284" t="s">
        <v>415</v>
      </c>
      <c r="AQ3" s="284"/>
      <c r="AR3" s="284"/>
    </row>
    <row r="4" spans="1:44" x14ac:dyDescent="0.25">
      <c r="A4" s="9" t="str">
        <f t="shared" ref="A4:C8" si="1">AG7</f>
        <v>T1</v>
      </c>
      <c r="B4" s="3">
        <f t="shared" si="1"/>
        <v>1396.4780194149855</v>
      </c>
      <c r="C4" s="5" t="str">
        <f t="shared" si="1"/>
        <v>[K]</v>
      </c>
      <c r="F4" s="123" t="s">
        <v>207</v>
      </c>
      <c r="G4" s="42">
        <f>AH10</f>
        <v>8.4614068541261512E-3</v>
      </c>
      <c r="H4" s="124" t="s">
        <v>144</v>
      </c>
      <c r="I4" s="119" t="s">
        <v>424</v>
      </c>
      <c r="J4" s="3">
        <f>AH6*COS(RADIANS(AH12))</f>
        <v>93.458610362213591</v>
      </c>
      <c r="K4" s="3">
        <f>AK13</f>
        <v>197.59301075916201</v>
      </c>
      <c r="L4" s="3">
        <f>AN17</f>
        <v>254.08869342764129</v>
      </c>
      <c r="N4" s="111" t="s">
        <v>479</v>
      </c>
      <c r="O4" s="112">
        <f>'1D Analysis'!U2</f>
        <v>0.23076923076923078</v>
      </c>
      <c r="AG4" s="108" t="str">
        <f>'1D Analysis'!F18</f>
        <v>T01</v>
      </c>
      <c r="AH4" s="109">
        <f>'1D Analysis'!G18</f>
        <v>1400</v>
      </c>
      <c r="AI4" s="109" t="str">
        <f>'1D Analysis'!H18</f>
        <v>[K]</v>
      </c>
      <c r="AJ4" s="108" t="str">
        <f>'1D Analysis'!J18</f>
        <v>T02</v>
      </c>
      <c r="AK4" s="109">
        <f>'1D Analysis'!K18</f>
        <v>1400</v>
      </c>
      <c r="AL4" s="109" t="str">
        <f>'1D Analysis'!L18</f>
        <v>[K]</v>
      </c>
      <c r="AM4" s="108" t="str">
        <f>'1D Analysis'!N18</f>
        <v>M3 impose</v>
      </c>
      <c r="AN4" s="109">
        <f>'1D Analysis'!O18</f>
        <v>0.42</v>
      </c>
      <c r="AO4" s="110" t="str">
        <f>'1D Analysis'!P18</f>
        <v>[-]</v>
      </c>
      <c r="AP4" s="108" t="str">
        <f>'1D Analysis'!R18</f>
        <v>AHT euler based</v>
      </c>
      <c r="AQ4" s="109">
        <f>'1D Analysis'!S18</f>
        <v>390450.78145086387</v>
      </c>
      <c r="AR4" s="110" t="str">
        <f>'1D Analysis'!T18</f>
        <v>J/kg</v>
      </c>
    </row>
    <row r="5" spans="1:44" ht="15.75" thickBot="1" x14ac:dyDescent="0.3">
      <c r="A5" s="9" t="str">
        <f t="shared" si="1"/>
        <v>P1</v>
      </c>
      <c r="B5" s="3">
        <f t="shared" si="1"/>
        <v>392882.16115195543</v>
      </c>
      <c r="C5" s="5" t="str">
        <f t="shared" si="1"/>
        <v>[Pa]</v>
      </c>
      <c r="F5" s="123" t="s">
        <v>433</v>
      </c>
      <c r="G5" s="42">
        <f>0.5*(G3+G2)</f>
        <v>0.11310795683896557</v>
      </c>
      <c r="H5" s="124" t="s">
        <v>183</v>
      </c>
      <c r="I5" s="119" t="s">
        <v>425</v>
      </c>
      <c r="J5" s="3">
        <f>J3*SIN(RADIANS(AH12))</f>
        <v>0</v>
      </c>
      <c r="K5" s="3">
        <f>AK14</f>
        <v>753.17975874193894</v>
      </c>
      <c r="L5" s="3">
        <f>AN18</f>
        <v>-71.353223445394065</v>
      </c>
      <c r="N5" s="113" t="s">
        <v>480</v>
      </c>
      <c r="O5" s="115">
        <f>'1D Analysis'!S2</f>
        <v>4.333333333333333</v>
      </c>
      <c r="AG5" s="111" t="str">
        <f>'1D Analysis'!F19</f>
        <v>P01</v>
      </c>
      <c r="AH5" s="2">
        <f>'1D Analysis'!G19</f>
        <v>397194</v>
      </c>
      <c r="AI5" s="2" t="str">
        <f>'1D Analysis'!H19</f>
        <v>Pa</v>
      </c>
      <c r="AJ5" s="111" t="str">
        <f>'1D Analysis'!J19</f>
        <v>P02</v>
      </c>
      <c r="AK5" s="2">
        <f>'1D Analysis'!K19</f>
        <v>353263.77245638217</v>
      </c>
      <c r="AL5" s="2" t="str">
        <f>'1D Analysis'!L19</f>
        <v>[Pa]</v>
      </c>
      <c r="AM5" s="111" t="str">
        <f>'1D Analysis'!N19</f>
        <v>P3 impose</v>
      </c>
      <c r="AN5" s="2">
        <f>'1D Analysis'!O19</f>
        <v>90483.171697279278</v>
      </c>
      <c r="AO5" s="112" t="str">
        <f>'1D Analysis'!P19</f>
        <v>[Pa]</v>
      </c>
      <c r="AP5" s="111" t="str">
        <f>'1D Analysis'!R19</f>
        <v>AHT T0 based</v>
      </c>
      <c r="AQ5" s="2">
        <f>'1D Analysis'!S19</f>
        <v>390450.78145086375</v>
      </c>
      <c r="AR5" s="112" t="str">
        <f>'1D Analysis'!T19</f>
        <v>J/kg</v>
      </c>
    </row>
    <row r="6" spans="1:44" x14ac:dyDescent="0.25">
      <c r="A6" s="9" t="str">
        <f t="shared" si="1"/>
        <v>rho1</v>
      </c>
      <c r="B6" s="3">
        <f t="shared" si="1"/>
        <v>0.98316999999999988</v>
      </c>
      <c r="C6" s="5" t="str">
        <f t="shared" si="1"/>
        <v>[kg/m^3]</v>
      </c>
      <c r="F6" s="131" t="s">
        <v>257</v>
      </c>
      <c r="G6">
        <f>G2-G3</f>
        <v>1.1906100719891108E-2</v>
      </c>
      <c r="I6" s="119" t="s">
        <v>426</v>
      </c>
      <c r="J6" s="3">
        <f>AH12</f>
        <v>0</v>
      </c>
      <c r="K6" s="3">
        <f>AK12</f>
        <v>75.3</v>
      </c>
      <c r="L6" s="3">
        <f>AN16</f>
        <v>-15.685811710589164</v>
      </c>
      <c r="N6" s="141" t="s">
        <v>596</v>
      </c>
      <c r="O6">
        <f>O1-O1/O2</f>
        <v>286.15384615384619</v>
      </c>
      <c r="AG6" s="111" t="str">
        <f>'1D Analysis'!F20</f>
        <v>V1</v>
      </c>
      <c r="AH6" s="2">
        <f>'1D Analysis'!G20</f>
        <v>93.458610362213591</v>
      </c>
      <c r="AI6" s="2" t="str">
        <f>'1D Analysis'!H20</f>
        <v>[m/s]</v>
      </c>
      <c r="AJ6" s="111" t="str">
        <f>'1D Analysis'!J20</f>
        <v>V2</v>
      </c>
      <c r="AK6" s="2">
        <f>'1D Analysis'!K20</f>
        <v>778.66728894916071</v>
      </c>
      <c r="AL6" s="2" t="str">
        <f>'1D Analysis'!L20</f>
        <v>[m/s]</v>
      </c>
      <c r="AM6" s="111" t="str">
        <f>'1D Analysis'!N20</f>
        <v>T03</v>
      </c>
      <c r="AN6" s="2">
        <f>'1D Analysis'!O20</f>
        <v>1085.120337539626</v>
      </c>
      <c r="AO6" s="112" t="str">
        <f>'1D Analysis'!P20</f>
        <v>[K]</v>
      </c>
      <c r="AP6" s="111" t="str">
        <f>'1D Analysis'!R20</f>
        <v>GRp</v>
      </c>
      <c r="AQ6" s="2">
        <f>'1D Analysis'!S20</f>
        <v>0.32</v>
      </c>
      <c r="AR6" s="112">
        <f>'1D Analysis'!T20</f>
        <v>0</v>
      </c>
    </row>
    <row r="7" spans="1:44" x14ac:dyDescent="0.25">
      <c r="A7" s="9" t="str">
        <f t="shared" si="1"/>
        <v>A1</v>
      </c>
      <c r="B7" s="3">
        <f t="shared" si="1"/>
        <v>8.4614068541261512E-3</v>
      </c>
      <c r="C7" s="5" t="str">
        <f t="shared" si="1"/>
        <v>m2</v>
      </c>
      <c r="F7" s="123" t="s">
        <v>256</v>
      </c>
      <c r="G7" s="42">
        <f>AK27</f>
        <v>0.1190536529348208</v>
      </c>
      <c r="H7" s="124" t="s">
        <v>183</v>
      </c>
      <c r="I7" s="119" t="s">
        <v>427</v>
      </c>
      <c r="J7" s="3">
        <v>0</v>
      </c>
      <c r="K7" s="3">
        <f>AK23</f>
        <v>473.54173803341428</v>
      </c>
      <c r="L7" s="3">
        <f>AN27</f>
        <v>473.54173803341428</v>
      </c>
      <c r="AG7" s="111" t="str">
        <f>'1D Analysis'!F21</f>
        <v>T1</v>
      </c>
      <c r="AH7" s="2">
        <f>'1D Analysis'!G21</f>
        <v>1396.4780194149855</v>
      </c>
      <c r="AI7" s="2" t="str">
        <f>'1D Analysis'!H21</f>
        <v>[K]</v>
      </c>
      <c r="AJ7" s="111" t="str">
        <f>'1D Analysis'!J21</f>
        <v>T2</v>
      </c>
      <c r="AK7" s="2">
        <f>'1D Analysis'!K21</f>
        <v>1155.5150214195824</v>
      </c>
      <c r="AL7" s="2" t="str">
        <f>'1D Analysis'!L21</f>
        <v>[K]</v>
      </c>
      <c r="AM7" s="111" t="str">
        <f>'1D Analysis'!N21</f>
        <v>P03</v>
      </c>
      <c r="AN7" s="2">
        <f>'1D Analysis'!O21</f>
        <v>101372.1471611845</v>
      </c>
      <c r="AO7" s="112" t="str">
        <f>'1D Analysis'!P21</f>
        <v>[Pa]</v>
      </c>
      <c r="AP7" s="111" t="str">
        <f>'1D Analysis'!R21</f>
        <v>GrH</v>
      </c>
      <c r="AQ7" s="2">
        <f>'1D Analysis'!S21</f>
        <v>0.3287490022899312</v>
      </c>
      <c r="AR7" s="112">
        <f>'1D Analysis'!T21</f>
        <v>0</v>
      </c>
    </row>
    <row r="8" spans="1:44" x14ac:dyDescent="0.25">
      <c r="A8" s="9" t="str">
        <f t="shared" si="1"/>
        <v>M1</v>
      </c>
      <c r="B8" s="3">
        <f t="shared" si="1"/>
        <v>0.12966739831454782</v>
      </c>
      <c r="C8" s="5" t="str">
        <f t="shared" si="1"/>
        <v>[-]</v>
      </c>
      <c r="F8" s="123" t="s">
        <v>254</v>
      </c>
      <c r="G8" s="42">
        <f>AK26</f>
        <v>0.10714828764133873</v>
      </c>
      <c r="H8" s="124" t="s">
        <v>183</v>
      </c>
      <c r="I8" s="119" t="s">
        <v>428</v>
      </c>
      <c r="J8" s="3">
        <v>0</v>
      </c>
      <c r="K8" s="3">
        <f>AK15</f>
        <v>342.40388509281195</v>
      </c>
      <c r="L8" s="3">
        <f>AN19</f>
        <v>601.22506864963464</v>
      </c>
      <c r="AG8" s="111" t="str">
        <f>'1D Analysis'!F22</f>
        <v>P1</v>
      </c>
      <c r="AH8" s="2">
        <f>'1D Analysis'!G22</f>
        <v>392882.16115195543</v>
      </c>
      <c r="AI8" s="2" t="str">
        <f>'1D Analysis'!H22</f>
        <v>[Pa]</v>
      </c>
      <c r="AJ8" s="111" t="str">
        <f>'1D Analysis'!J22</f>
        <v>P2 chose</v>
      </c>
      <c r="AK8" s="2">
        <f>'1D Analysis'!K22</f>
        <v>153781.89040757008</v>
      </c>
      <c r="AL8" s="2" t="str">
        <f>'1D Analysis'!L22</f>
        <v>[Pa]</v>
      </c>
      <c r="AM8" s="111" t="str">
        <f>'1D Analysis'!N22</f>
        <v>V3</v>
      </c>
      <c r="AN8" s="2">
        <f>'1D Analysis'!O22</f>
        <v>263.91731020115793</v>
      </c>
      <c r="AO8" s="112" t="str">
        <f>'1D Analysis'!P22</f>
        <v>[m/s]</v>
      </c>
      <c r="AP8" s="111" t="str">
        <f>'1D Analysis'!R22</f>
        <v>Abetta</v>
      </c>
      <c r="AQ8" s="2">
        <f>'1D Analysis'!S22</f>
        <v>119.75486523466353</v>
      </c>
      <c r="AR8" s="112" t="str">
        <f>'1D Analysis'!T22</f>
        <v>[º]</v>
      </c>
    </row>
    <row r="9" spans="1:44" x14ac:dyDescent="0.25">
      <c r="A9" s="9" t="s">
        <v>416</v>
      </c>
      <c r="B9" s="3">
        <f>AH12</f>
        <v>0</v>
      </c>
      <c r="C9" s="5" t="s">
        <v>121</v>
      </c>
      <c r="F9" s="123" t="s">
        <v>208</v>
      </c>
      <c r="G9" s="42">
        <f>AK25</f>
        <v>8.4603615832992661E-3</v>
      </c>
      <c r="H9" s="124" t="s">
        <v>144</v>
      </c>
      <c r="I9" s="119" t="s">
        <v>429</v>
      </c>
      <c r="J9" s="3">
        <v>0</v>
      </c>
      <c r="K9" s="3">
        <f>AK19</f>
        <v>197.59301075916201</v>
      </c>
      <c r="L9" s="3">
        <f>AN24</f>
        <v>254.08869342764129</v>
      </c>
      <c r="AG9" s="111" t="str">
        <f>'1D Analysis'!F23</f>
        <v>rho1</v>
      </c>
      <c r="AH9" s="2">
        <f>'1D Analysis'!G23</f>
        <v>0.98316999999999988</v>
      </c>
      <c r="AI9" s="2" t="str">
        <f>'1D Analysis'!H23</f>
        <v>[kg/m^3]</v>
      </c>
      <c r="AJ9" s="111" t="str">
        <f>'1D Analysis'!J23</f>
        <v>rho2</v>
      </c>
      <c r="AK9" s="2">
        <f>'1D Analysis'!K23</f>
        <v>0.46508251481598428</v>
      </c>
      <c r="AL9" s="2" t="str">
        <f>'1D Analysis'!L23</f>
        <v>[kg/m3]</v>
      </c>
      <c r="AM9" s="111" t="str">
        <f>'1D Analysis'!N23</f>
        <v>T3</v>
      </c>
      <c r="AN9" s="2">
        <f>'1D Analysis'!O23</f>
        <v>1057.0347139009912</v>
      </c>
      <c r="AO9" s="112" t="str">
        <f>'1D Analysis'!P23</f>
        <v>[K]</v>
      </c>
      <c r="AP9" s="111" t="str">
        <f>'1D Analysis'!R23</f>
        <v>h3/h2</v>
      </c>
      <c r="AQ9" s="2">
        <f>'1D Analysis'!S23</f>
        <v>1.2090305450947048</v>
      </c>
      <c r="AR9" s="112">
        <f>'1D Analysis'!T23</f>
        <v>0</v>
      </c>
    </row>
    <row r="10" spans="1:44" x14ac:dyDescent="0.25">
      <c r="A10" s="9" t="str">
        <f>AG6</f>
        <v>V1</v>
      </c>
      <c r="B10" s="3">
        <f>AH6</f>
        <v>93.458610362213591</v>
      </c>
      <c r="C10" s="5" t="str">
        <f>AI6</f>
        <v>[m/s]</v>
      </c>
      <c r="F10" s="123" t="s">
        <v>276</v>
      </c>
      <c r="G10" s="42">
        <f>0.5*(G8+G7)</f>
        <v>0.11310097028807976</v>
      </c>
      <c r="H10" s="124" t="s">
        <v>183</v>
      </c>
      <c r="I10" s="119" t="s">
        <v>430</v>
      </c>
      <c r="J10" s="3">
        <v>0</v>
      </c>
      <c r="K10" s="3">
        <f>AK20</f>
        <v>279.63802070852466</v>
      </c>
      <c r="L10" s="3">
        <f>AN25</f>
        <v>-544.89496147880834</v>
      </c>
      <c r="AG10" s="111" t="str">
        <f>'1D Analysis'!F24</f>
        <v>A1</v>
      </c>
      <c r="AH10" s="2">
        <f>'1D Analysis'!G24</f>
        <v>8.4614068541261512E-3</v>
      </c>
      <c r="AI10" s="2" t="str">
        <f>'1D Analysis'!H24</f>
        <v>m2</v>
      </c>
      <c r="AJ10" s="111" t="str">
        <f>'1D Analysis'!J24</f>
        <v>T2is</v>
      </c>
      <c r="AK10" s="2">
        <f>'1D Analysis'!K24</f>
        <v>1124.6790781752054</v>
      </c>
      <c r="AL10" s="2" t="str">
        <f>'1D Analysis'!L24</f>
        <v>[K]</v>
      </c>
      <c r="AM10" s="111" t="str">
        <f>'1D Analysis'!N24</f>
        <v>P3</v>
      </c>
      <c r="AN10" s="2">
        <f>'1D Analysis'!O24</f>
        <v>90483.171697279337</v>
      </c>
      <c r="AO10" s="112" t="str">
        <f>'1D Analysis'!P24</f>
        <v>[Pa]</v>
      </c>
      <c r="AP10" s="111" t="str">
        <f>'1D Analysis'!R24</f>
        <v>A3/A2</v>
      </c>
      <c r="AQ10" s="2">
        <f>'1D Analysis'!S24</f>
        <v>1.2090305450947043</v>
      </c>
      <c r="AR10" s="112">
        <f>'1D Analysis'!T24</f>
        <v>0</v>
      </c>
    </row>
    <row r="11" spans="1:44" ht="15.75" thickBot="1" x14ac:dyDescent="0.3">
      <c r="A11" s="9" t="s">
        <v>419</v>
      </c>
      <c r="B11" s="3">
        <f>AH14</f>
        <v>0.11906100719891113</v>
      </c>
      <c r="C11" s="5" t="str">
        <f>AI14</f>
        <v>m</v>
      </c>
      <c r="F11" s="106" t="s">
        <v>257</v>
      </c>
      <c r="G11">
        <f>G7-G8</f>
        <v>1.1905365293482073E-2</v>
      </c>
      <c r="I11" s="119" t="s">
        <v>431</v>
      </c>
      <c r="J11" s="3">
        <v>0</v>
      </c>
      <c r="K11" s="3">
        <f>AK18</f>
        <v>54.754865234663527</v>
      </c>
      <c r="L11" s="3">
        <f>AN23</f>
        <v>-65</v>
      </c>
      <c r="AG11" s="113" t="str">
        <f>'1D Analysis'!F25</f>
        <v>M1</v>
      </c>
      <c r="AH11" s="114">
        <f>'1D Analysis'!G25</f>
        <v>0.12966739831454782</v>
      </c>
      <c r="AI11" s="114" t="str">
        <f>'1D Analysis'!H25</f>
        <v>[-]</v>
      </c>
      <c r="AJ11" s="111" t="str">
        <f>'1D Analysis'!J25</f>
        <v>M2</v>
      </c>
      <c r="AK11" s="2">
        <f>'1D Analysis'!K25</f>
        <v>1.1876614582508591</v>
      </c>
      <c r="AL11" s="2" t="str">
        <f>'1D Analysis'!L25</f>
        <v>[-]</v>
      </c>
      <c r="AM11" s="111" t="str">
        <f>'1D Analysis'!N25</f>
        <v>rho3</v>
      </c>
      <c r="AN11" s="2">
        <f>'1D Analysis'!O25</f>
        <v>0.29914309162892455</v>
      </c>
      <c r="AO11" s="112" t="str">
        <f>'1D Analysis'!P25</f>
        <v>[kg/m3]</v>
      </c>
      <c r="AP11" s="111" t="str">
        <f>'1D Analysis'!R25</f>
        <v>V2x/v1x</v>
      </c>
      <c r="AQ11" s="2">
        <f>'1D Analysis'!S25</f>
        <v>2.1142301388107434</v>
      </c>
      <c r="AR11" s="112">
        <f>'1D Analysis'!T25</f>
        <v>0</v>
      </c>
    </row>
    <row r="12" spans="1:44" ht="15.75" thickBot="1" x14ac:dyDescent="0.3">
      <c r="A12" s="13" t="s">
        <v>421</v>
      </c>
      <c r="B12" s="7">
        <f>AH15</f>
        <v>0.10715490647902003</v>
      </c>
      <c r="C12" s="8" t="str">
        <f>AI15</f>
        <v>m</v>
      </c>
      <c r="F12" s="123" t="s">
        <v>156</v>
      </c>
      <c r="G12" s="42">
        <f>AN32</f>
        <v>0.12029794543324487</v>
      </c>
      <c r="H12" s="124" t="s">
        <v>183</v>
      </c>
      <c r="AG12" s="113" t="str">
        <f>'1D Analysis'!F26</f>
        <v>Alpha1</v>
      </c>
      <c r="AH12" s="114">
        <f>'1D Analysis'!G26</f>
        <v>0</v>
      </c>
      <c r="AI12" s="114" t="str">
        <f>'1D Analysis'!H26</f>
        <v>[º]</v>
      </c>
      <c r="AJ12" s="111" t="str">
        <f>'1D Analysis'!J26</f>
        <v>Alpha2</v>
      </c>
      <c r="AK12" s="2">
        <f>'1D Analysis'!K26</f>
        <v>75.3</v>
      </c>
      <c r="AL12" s="2" t="str">
        <f>'1D Analysis'!L26</f>
        <v>[º]</v>
      </c>
      <c r="AM12" s="111" t="str">
        <f>'1D Analysis'!N26</f>
        <v>T3is</v>
      </c>
      <c r="AN12" s="2">
        <f>'1D Analysis'!O26</f>
        <v>1022.3999406809887</v>
      </c>
      <c r="AO12" s="112" t="str">
        <f>'1D Analysis'!P26</f>
        <v>[K]</v>
      </c>
      <c r="AP12" s="111" t="str">
        <f>'1D Analysis'!R26</f>
        <v>V3x/v2x</v>
      </c>
      <c r="AQ12" s="2">
        <f>'1D Analysis'!S26</f>
        <v>1.2859194384023003</v>
      </c>
      <c r="AR12" s="112">
        <f>'1D Analysis'!T26</f>
        <v>0</v>
      </c>
    </row>
    <row r="13" spans="1:44" ht="15.75" thickBot="1" x14ac:dyDescent="0.3">
      <c r="F13" s="123" t="s">
        <v>255</v>
      </c>
      <c r="G13" s="42">
        <f>AN31</f>
        <v>0.10590399514291465</v>
      </c>
      <c r="H13" s="124" t="s">
        <v>183</v>
      </c>
      <c r="AG13" s="113" t="str">
        <f>'1D Analysis'!F27</f>
        <v>m1</v>
      </c>
      <c r="AH13" s="114">
        <f>'1D Analysis'!G27</f>
        <v>0.7774823082743787</v>
      </c>
      <c r="AI13" s="114" t="str">
        <f>'1D Analysis'!H27</f>
        <v>[kg/s]</v>
      </c>
      <c r="AJ13" s="111" t="str">
        <f>'1D Analysis'!J27</f>
        <v>V2x</v>
      </c>
      <c r="AK13" s="2">
        <f>'1D Analysis'!K27</f>
        <v>197.59301075916201</v>
      </c>
      <c r="AL13" s="2" t="str">
        <f>'1D Analysis'!L27</f>
        <v>[m/s]</v>
      </c>
      <c r="AM13" s="111" t="str">
        <f>'1D Analysis'!N27</f>
        <v>T3iss</v>
      </c>
      <c r="AN13" s="2">
        <f>'1D Analysis'!O27</f>
        <v>995.11629143412597</v>
      </c>
      <c r="AO13" s="112" t="str">
        <f>'1D Analysis'!P27</f>
        <v>[K]</v>
      </c>
      <c r="AP13" s="111" t="str">
        <f>'1D Analysis'!R27</f>
        <v>etaTT</v>
      </c>
      <c r="AQ13" s="2">
        <f>'1D Analysis'!S27</f>
        <v>0.8356721412774113</v>
      </c>
      <c r="AR13" s="112">
        <f>'1D Analysis'!T27</f>
        <v>0</v>
      </c>
    </row>
    <row r="14" spans="1:44" ht="15.75" thickBot="1" x14ac:dyDescent="0.3">
      <c r="F14" s="123" t="s">
        <v>154</v>
      </c>
      <c r="G14" s="42">
        <f>AN30</f>
        <v>1.0228835576754608E-2</v>
      </c>
      <c r="H14" s="124" t="s">
        <v>144</v>
      </c>
      <c r="AG14" s="113" t="str">
        <f>'1D Analysis'!F28</f>
        <v>Rt1</v>
      </c>
      <c r="AH14" s="114">
        <f>'1D Analysis'!G28</f>
        <v>0.11906100719891113</v>
      </c>
      <c r="AI14" s="114" t="str">
        <f>'1D Analysis'!H28</f>
        <v>m</v>
      </c>
      <c r="AJ14" s="111" t="str">
        <f>'1D Analysis'!J28</f>
        <v>V2u</v>
      </c>
      <c r="AK14" s="2">
        <f>'1D Analysis'!K28</f>
        <v>753.17975874193894</v>
      </c>
      <c r="AL14" s="2" t="str">
        <f>'1D Analysis'!L28</f>
        <v>[m/s]</v>
      </c>
      <c r="AM14" s="111" t="str">
        <f>'1D Analysis'!N28</f>
        <v>M3 achieve</v>
      </c>
      <c r="AN14" s="2">
        <f>'1D Analysis'!O28</f>
        <v>0.42087369356009224</v>
      </c>
      <c r="AO14" s="112" t="str">
        <f>'1D Analysis'!P28</f>
        <v>[-]</v>
      </c>
      <c r="AP14" s="111" t="str">
        <f>'1D Analysis'!R28</f>
        <v>etaTS</v>
      </c>
      <c r="AQ14" s="2">
        <f>'1D Analysis'!S28</f>
        <v>0.77770395745410292</v>
      </c>
      <c r="AR14" s="112">
        <f>'1D Analysis'!T28</f>
        <v>0</v>
      </c>
    </row>
    <row r="15" spans="1:44" ht="15.75" thickBot="1" x14ac:dyDescent="0.3">
      <c r="A15" s="265" t="s">
        <v>442</v>
      </c>
      <c r="B15" s="265"/>
      <c r="C15" s="265"/>
      <c r="F15" s="123" t="s">
        <v>275</v>
      </c>
      <c r="G15" s="42">
        <f>0.5*(G13+G12)</f>
        <v>0.11310097028807976</v>
      </c>
      <c r="H15" s="124" t="s">
        <v>183</v>
      </c>
      <c r="AG15" s="113" t="str">
        <f>'1D Analysis'!F29</f>
        <v>Rh1</v>
      </c>
      <c r="AH15" s="114">
        <f>'1D Analysis'!G29</f>
        <v>0.10715490647902003</v>
      </c>
      <c r="AI15" s="114" t="str">
        <f>'1D Analysis'!H29</f>
        <v>m</v>
      </c>
      <c r="AJ15" s="111" t="str">
        <f>'1D Analysis'!J29</f>
        <v>W2</v>
      </c>
      <c r="AK15" s="2">
        <f>'1D Analysis'!K29</f>
        <v>342.40388509281195</v>
      </c>
      <c r="AL15" s="2" t="str">
        <f>'1D Analysis'!L29</f>
        <v>[m/s]</v>
      </c>
      <c r="AM15" s="111" t="str">
        <f>'1D Analysis'!N29</f>
        <v>P3 achieve</v>
      </c>
      <c r="AN15" s="2">
        <f>'1D Analysis'!O29</f>
        <v>90483.171697279337</v>
      </c>
      <c r="AO15" s="112" t="str">
        <f>'1D Analysis'!P29</f>
        <v>[Pa]</v>
      </c>
      <c r="AP15" s="111" t="str">
        <f>'1D Analysis'!R29</f>
        <v>W3/w2</v>
      </c>
      <c r="AQ15" s="2">
        <f>'1D Analysis'!S29</f>
        <v>1.7558944124908706</v>
      </c>
      <c r="AR15" s="112">
        <f>'1D Analysis'!T29</f>
        <v>0</v>
      </c>
    </row>
    <row r="16" spans="1:44" ht="15.75" thickBot="1" x14ac:dyDescent="0.3">
      <c r="A16" s="291" t="s">
        <v>443</v>
      </c>
      <c r="B16" s="291"/>
      <c r="C16" s="291"/>
      <c r="D16" t="s">
        <v>444</v>
      </c>
      <c r="E16" t="s">
        <v>446</v>
      </c>
      <c r="F16" s="106" t="s">
        <v>155</v>
      </c>
      <c r="G16">
        <f>G12-G13</f>
        <v>1.4393950290330221E-2</v>
      </c>
      <c r="AG16" s="113" t="str">
        <f>'1D Analysis'!F30</f>
        <v>h1 blade</v>
      </c>
      <c r="AH16" s="113">
        <f>'1D Analysis'!G30</f>
        <v>1.1906100719891108E-2</v>
      </c>
      <c r="AI16" s="113" t="str">
        <f>'1D Analysis'!H30</f>
        <v>m</v>
      </c>
      <c r="AJ16" s="111" t="str">
        <f>'1D Analysis'!J30</f>
        <v>T02r</v>
      </c>
      <c r="AK16" s="2">
        <f>'1D Analysis'!K30</f>
        <v>1202.7893845351678</v>
      </c>
      <c r="AL16" s="2" t="str">
        <f>'1D Analysis'!L30</f>
        <v>[K]</v>
      </c>
      <c r="AM16" s="111" t="str">
        <f>'1D Analysis'!N30</f>
        <v>Alpha3</v>
      </c>
      <c r="AN16" s="2">
        <f>'1D Analysis'!O30</f>
        <v>-15.685811710589164</v>
      </c>
      <c r="AO16" s="112" t="str">
        <f>'1D Analysis'!P30</f>
        <v>[º]</v>
      </c>
      <c r="AP16" s="111" t="str">
        <f>'1D Analysis'!R30</f>
        <v>loading factor</v>
      </c>
      <c r="AQ16" s="2">
        <f>'1D Analysis'!S30</f>
        <v>1.75</v>
      </c>
      <c r="AR16" s="112">
        <f>'1D Analysis'!T30</f>
        <v>0</v>
      </c>
    </row>
    <row r="17" spans="1:44" ht="15.75" thickBot="1" x14ac:dyDescent="0.3">
      <c r="D17" t="s">
        <v>445</v>
      </c>
      <c r="E17" t="s">
        <v>447</v>
      </c>
      <c r="F17" s="125" t="s">
        <v>448</v>
      </c>
      <c r="G17" s="126">
        <f>AN36</f>
        <v>4186.8936829388367</v>
      </c>
      <c r="H17" s="127" t="s">
        <v>184</v>
      </c>
      <c r="AG17" s="113" t="s">
        <v>71</v>
      </c>
      <c r="AH17" s="113">
        <f>'1D Analysis'!G31</f>
        <v>0.7774823082743787</v>
      </c>
      <c r="AI17" s="113">
        <f>'1D Analysis'!H31</f>
        <v>0</v>
      </c>
      <c r="AJ17" s="111" t="str">
        <f>'1D Analysis'!J31</f>
        <v>P02r</v>
      </c>
      <c r="AK17" s="2">
        <f>'1D Analysis'!K31</f>
        <v>182964.07424652783</v>
      </c>
      <c r="AL17" s="2" t="str">
        <f>'1D Analysis'!L31</f>
        <v>[Pa]</v>
      </c>
      <c r="AM17" s="111" t="str">
        <f>'1D Analysis'!N31</f>
        <v>V3x</v>
      </c>
      <c r="AN17" s="2">
        <f>'1D Analysis'!O31</f>
        <v>254.08869342764129</v>
      </c>
      <c r="AO17" s="112" t="str">
        <f>'1D Analysis'!P31</f>
        <v>[m/s]</v>
      </c>
      <c r="AP17" s="113" t="str">
        <f>'1D Analysis'!R31</f>
        <v>flow coefficient</v>
      </c>
      <c r="AQ17" s="114">
        <f>'1D Analysis'!S31</f>
        <v>0.536570851141557</v>
      </c>
      <c r="AR17" s="115">
        <f>'1D Analysis'!T31</f>
        <v>0</v>
      </c>
    </row>
    <row r="18" spans="1:44" ht="15.75" thickBot="1" x14ac:dyDescent="0.3">
      <c r="A18" t="s">
        <v>449</v>
      </c>
      <c r="B18">
        <f>(E36+B19/C36)/(C36^(B20))</f>
        <v>135.56788376654558</v>
      </c>
      <c r="AG18" s="113">
        <f>'1D Analysis'!F32</f>
        <v>0</v>
      </c>
      <c r="AH18" s="113">
        <f>'1D Analysis'!G32</f>
        <v>0</v>
      </c>
      <c r="AI18" s="113">
        <f>'1D Analysis'!H32</f>
        <v>0</v>
      </c>
      <c r="AJ18" s="111" t="str">
        <f>'1D Analysis'!J32</f>
        <v>Beta2</v>
      </c>
      <c r="AK18" s="2">
        <f>'1D Analysis'!K32</f>
        <v>54.754865234663527</v>
      </c>
      <c r="AL18" s="2" t="str">
        <f>'1D Analysis'!L32</f>
        <v>[º]</v>
      </c>
      <c r="AM18" s="111" t="str">
        <f>'1D Analysis'!N32</f>
        <v>V3u</v>
      </c>
      <c r="AN18" s="2">
        <f>'1D Analysis'!O32</f>
        <v>-71.353223445394065</v>
      </c>
      <c r="AO18" s="112" t="str">
        <f>'1D Analysis'!P32</f>
        <v>[m/s]</v>
      </c>
      <c r="AP18" s="113">
        <f>'1D Analysis'!R32</f>
        <v>0</v>
      </c>
      <c r="AQ18" s="114">
        <f>'1D Analysis'!S32</f>
        <v>0</v>
      </c>
      <c r="AR18" s="115">
        <f>'1D Analysis'!T32</f>
        <v>0</v>
      </c>
    </row>
    <row r="19" spans="1:44" x14ac:dyDescent="0.25">
      <c r="A19" t="s">
        <v>450</v>
      </c>
      <c r="B19">
        <f>-AQ4/(2*AN36)</f>
        <v>-46.627740159955678</v>
      </c>
      <c r="E19" t="s">
        <v>210</v>
      </c>
      <c r="F19">
        <f>F20-J3^2/2/O1</f>
        <v>1396.4780194149855</v>
      </c>
      <c r="AJ19" s="111" t="str">
        <f>'1D Analysis'!J33</f>
        <v>W2x</v>
      </c>
      <c r="AK19" s="2">
        <f>'1D Analysis'!K33</f>
        <v>197.59301075916201</v>
      </c>
      <c r="AL19" s="2" t="str">
        <f>'1D Analysis'!L33</f>
        <v>[m/s]</v>
      </c>
      <c r="AM19" s="111" t="str">
        <f>'1D Analysis'!N33</f>
        <v>W3</v>
      </c>
      <c r="AN19" s="2">
        <f>'1D Analysis'!O33</f>
        <v>601.22506864963464</v>
      </c>
      <c r="AO19" s="112" t="str">
        <f>'1D Analysis'!P33</f>
        <v>[m/s]</v>
      </c>
    </row>
    <row r="20" spans="1:44" x14ac:dyDescent="0.25">
      <c r="A20" s="133" t="s">
        <v>451</v>
      </c>
      <c r="B20" s="133">
        <v>-0.4</v>
      </c>
      <c r="C20" t="s">
        <v>502</v>
      </c>
      <c r="E20" t="s">
        <v>7</v>
      </c>
      <c r="F20">
        <f>AH4</f>
        <v>1400</v>
      </c>
      <c r="G20" t="s">
        <v>123</v>
      </c>
      <c r="H20">
        <f>AK16</f>
        <v>1202.7893845351678</v>
      </c>
      <c r="AJ20" s="111" t="str">
        <f>'1D Analysis'!J34</f>
        <v>W2u</v>
      </c>
      <c r="AK20" s="2">
        <f>'1D Analysis'!K34</f>
        <v>279.63802070852466</v>
      </c>
      <c r="AL20" s="2" t="str">
        <f>'1D Analysis'!L34</f>
        <v>[m/s]</v>
      </c>
      <c r="AM20" s="111" t="str">
        <f>'1D Analysis'!N34</f>
        <v>T03r</v>
      </c>
      <c r="AN20" s="2">
        <f>'1D Analysis'!O34</f>
        <v>1202.7893845351678</v>
      </c>
      <c r="AO20" s="112" t="str">
        <f>'1D Analysis'!P34</f>
        <v>[K]</v>
      </c>
    </row>
    <row r="21" spans="1:44" x14ac:dyDescent="0.25">
      <c r="A21" t="s">
        <v>454</v>
      </c>
      <c r="B21">
        <v>21</v>
      </c>
      <c r="E21" t="s">
        <v>35</v>
      </c>
      <c r="F21">
        <f>AK4</f>
        <v>1400</v>
      </c>
      <c r="G21" t="s">
        <v>124</v>
      </c>
      <c r="H21">
        <f>AN20</f>
        <v>1202.7893845351678</v>
      </c>
      <c r="AJ21" s="111" t="str">
        <f>'1D Analysis'!J35</f>
        <v>Mw2</v>
      </c>
      <c r="AK21" s="2">
        <f>'1D Analysis'!K35</f>
        <v>0.52225116330350885</v>
      </c>
      <c r="AL21" s="2" t="str">
        <f>'1D Analysis'!L35</f>
        <v>[-]</v>
      </c>
      <c r="AM21" s="111" t="str">
        <f>'1D Analysis'!N35</f>
        <v>P03r</v>
      </c>
      <c r="AN21" s="2">
        <f>'1D Analysis'!O35</f>
        <v>158368.67128707786</v>
      </c>
      <c r="AO21" s="112" t="str">
        <f>'1D Analysis'!P35</f>
        <v>[Pa]</v>
      </c>
    </row>
    <row r="22" spans="1:44" x14ac:dyDescent="0.25">
      <c r="A22" t="s">
        <v>452</v>
      </c>
      <c r="B22">
        <f>G11/20</f>
        <v>5.9526826467410363E-4</v>
      </c>
      <c r="C22" t="s">
        <v>183</v>
      </c>
      <c r="E22" t="s">
        <v>10</v>
      </c>
      <c r="F22">
        <f>AN6</f>
        <v>1085.120337539626</v>
      </c>
      <c r="AJ22" s="111" t="str">
        <f>'1D Analysis'!J36</f>
        <v>v2is</v>
      </c>
      <c r="AK22" s="2">
        <f>'1D Analysis'!K36</f>
        <v>826.31464111771049</v>
      </c>
      <c r="AL22" s="2">
        <f>'1D Analysis'!L36</f>
        <v>0</v>
      </c>
      <c r="AM22" s="111">
        <f>'1D Analysis'!N36</f>
        <v>0</v>
      </c>
      <c r="AN22" s="2">
        <f>'1D Analysis'!O36</f>
        <v>0</v>
      </c>
      <c r="AO22" s="112">
        <f>'1D Analysis'!P36</f>
        <v>0</v>
      </c>
    </row>
    <row r="23" spans="1:44" x14ac:dyDescent="0.25">
      <c r="A23" t="s">
        <v>453</v>
      </c>
      <c r="B23">
        <f>G16/20</f>
        <v>7.1969751451651104E-4</v>
      </c>
      <c r="C23" t="s">
        <v>183</v>
      </c>
      <c r="N23" t="s">
        <v>501</v>
      </c>
      <c r="Q23" s="73"/>
      <c r="AJ23" s="111" t="str">
        <f>'1D Analysis'!J37</f>
        <v>U2</v>
      </c>
      <c r="AK23" s="2">
        <f>'1D Analysis'!K37</f>
        <v>473.54173803341428</v>
      </c>
      <c r="AL23" s="2" t="str">
        <f>'1D Analysis'!L37</f>
        <v>[m/s]</v>
      </c>
      <c r="AM23" s="111" t="str">
        <f>'1D Analysis'!N37</f>
        <v>Beta3</v>
      </c>
      <c r="AN23" s="2">
        <f>'1D Analysis'!O37</f>
        <v>-65</v>
      </c>
      <c r="AO23" s="112" t="str">
        <f>'1D Analysis'!P37</f>
        <v>[º]</v>
      </c>
    </row>
    <row r="24" spans="1:44" x14ac:dyDescent="0.25">
      <c r="N24">
        <f>K4</f>
        <v>197.59301075916201</v>
      </c>
      <c r="AJ24" s="111" t="str">
        <f>'1D Analysis'!J38</f>
        <v>Total pressure loss</v>
      </c>
      <c r="AK24" s="2">
        <f>'1D Analysis'!K38</f>
        <v>0.26595115620062493</v>
      </c>
      <c r="AL24" s="2" t="str">
        <f>'1D Analysis'!L38</f>
        <v>[-]</v>
      </c>
      <c r="AM24" s="111" t="str">
        <f>'1D Analysis'!N38</f>
        <v>W3x</v>
      </c>
      <c r="AN24" s="2">
        <f>'1D Analysis'!O38</f>
        <v>254.08869342764129</v>
      </c>
      <c r="AO24" s="112" t="str">
        <f>'1D Analysis'!P38</f>
        <v>[m/s]</v>
      </c>
    </row>
    <row r="25" spans="1:44" ht="18" x14ac:dyDescent="0.35">
      <c r="C25" s="128" t="s">
        <v>100</v>
      </c>
      <c r="D25" t="s">
        <v>140</v>
      </c>
      <c r="E25" s="128" t="s">
        <v>438</v>
      </c>
      <c r="F25" s="128" t="s">
        <v>455</v>
      </c>
      <c r="G25" s="128" t="s">
        <v>97</v>
      </c>
      <c r="H25" s="134" t="s">
        <v>91</v>
      </c>
      <c r="I25" s="128" t="s">
        <v>456</v>
      </c>
      <c r="J25" s="130" t="s">
        <v>457</v>
      </c>
      <c r="K25" s="128" t="s">
        <v>439</v>
      </c>
      <c r="L25" s="128" t="s">
        <v>458</v>
      </c>
      <c r="M25" s="134" t="s">
        <v>481</v>
      </c>
      <c r="N25" s="128" t="s">
        <v>434</v>
      </c>
      <c r="O25" s="212" t="str">
        <f>NISRE!AX25</f>
        <v>Area</v>
      </c>
      <c r="P25" s="212" t="str">
        <f>NISRE!AY25</f>
        <v>u_m</v>
      </c>
      <c r="Q25" s="212" t="str">
        <f>NISRE!AZ25</f>
        <v>rho</v>
      </c>
      <c r="R25" s="212" t="str">
        <f>NISRE!BA25</f>
        <v>ma ISRE</v>
      </c>
      <c r="S25" s="212" t="str">
        <f>NISRE!BB25</f>
        <v>M2</v>
      </c>
      <c r="T25" s="212" t="str">
        <f>NISRE!BC25</f>
        <v>p2</v>
      </c>
      <c r="U25" s="212" t="str">
        <f>NISRE!BD25</f>
        <v>P02r</v>
      </c>
      <c r="V25" s="221"/>
      <c r="X25" s="73"/>
      <c r="Y25" s="213"/>
      <c r="Z25" s="213"/>
      <c r="AJ25" s="111" t="str">
        <f>'1D Analysis'!J39</f>
        <v>A2</v>
      </c>
      <c r="AK25" s="2">
        <f>'1D Analysis'!K39</f>
        <v>8.4603615832992661E-3</v>
      </c>
      <c r="AL25" s="2" t="str">
        <f>'1D Analysis'!L39</f>
        <v>[m2]</v>
      </c>
      <c r="AM25" s="111" t="str">
        <f>'1D Analysis'!N39</f>
        <v>W3u</v>
      </c>
      <c r="AN25" s="2">
        <f>'1D Analysis'!O39</f>
        <v>-544.89496147880834</v>
      </c>
      <c r="AO25" s="112" t="str">
        <f>'1D Analysis'!P39</f>
        <v>[m/s]</v>
      </c>
    </row>
    <row r="26" spans="1:44" x14ac:dyDescent="0.25">
      <c r="A26" t="s">
        <v>467</v>
      </c>
      <c r="B26">
        <v>1</v>
      </c>
      <c r="C26">
        <f>$G$8+(B26-1)*$B$22</f>
        <v>0.10714828764133873</v>
      </c>
      <c r="D26">
        <f>C26*$G$17</f>
        <v>448.61848866323453</v>
      </c>
      <c r="E26">
        <f>$B$18*C26^$B$20-$B$19/C26</f>
        <v>766.42539896919243</v>
      </c>
      <c r="F26" s="73">
        <f t="shared" ref="F26:F34" si="2">DEGREES(ASIN(E26/G26))</f>
        <v>73.236091227446863</v>
      </c>
      <c r="G26" s="73">
        <f t="shared" ref="G26:G46" si="3">SQRT(E26^2+I26^2)</f>
        <v>800.44313409655138</v>
      </c>
      <c r="H26">
        <f>$F$21-(G26^2/(2*$O$1))</f>
        <v>1141.6495117248751</v>
      </c>
      <c r="I26">
        <f>SQRT($I$36^2+2*(-$B$18*(1+$B$20)*(-$B$19*((C26^($B$20-1)-$C$36^($B$20-1))/($B$20-1))+$B$18*((C26^(2*$B$20)-$C$36^(2*$B$20))/(2*$B$20)))))</f>
        <v>230.87078363713292</v>
      </c>
      <c r="J26">
        <f>DEGREES(ASIN(K26/L26))</f>
        <v>54.003475476272001</v>
      </c>
      <c r="K26">
        <f t="shared" ref="K26:K46" si="4">E26-D26</f>
        <v>317.8069103059579</v>
      </c>
      <c r="L26">
        <f>SQRT(K26^2+I26^2)</f>
        <v>392.81363389709759</v>
      </c>
      <c r="M26">
        <f>H26+((L26^2)/(2*$O$1))</f>
        <v>1203.8682822794892</v>
      </c>
      <c r="N26">
        <f>NISRE!AW26</f>
        <v>193.2</v>
      </c>
      <c r="O26" s="213">
        <f>NISRE!AX26</f>
        <v>4.0186717520671543E-4</v>
      </c>
      <c r="P26" s="213">
        <f>NISRE!AY26</f>
        <v>223.56743256852087</v>
      </c>
      <c r="Q26" s="213">
        <f>NISRE!AZ26</f>
        <v>0.44666246268347942</v>
      </c>
      <c r="R26" s="213">
        <f>NISRE!BA26</f>
        <v>4.0284355462926247E-2</v>
      </c>
      <c r="S26" s="213">
        <f>NISRE!BB26</f>
        <v>1.228437912251483</v>
      </c>
      <c r="T26" s="213">
        <f>NISRE!BC26</f>
        <v>145911.48330468219</v>
      </c>
      <c r="U26" s="213">
        <f>NISRE!BD26</f>
        <v>183247.14361821412</v>
      </c>
      <c r="Y26" s="135"/>
      <c r="Z26" s="135"/>
      <c r="AJ26" s="111" t="str">
        <f>'1D Analysis'!J40</f>
        <v>rh2</v>
      </c>
      <c r="AK26" s="2">
        <f>'1D Analysis'!K40</f>
        <v>0.10714828764133873</v>
      </c>
      <c r="AL26" s="2" t="str">
        <f>'1D Analysis'!L40</f>
        <v>[m]</v>
      </c>
      <c r="AM26" s="111" t="str">
        <f>'1D Analysis'!N40</f>
        <v>Mw3</v>
      </c>
      <c r="AN26" s="2">
        <f>'1D Analysis'!O40</f>
        <v>0.95878445832380088</v>
      </c>
      <c r="AO26" s="112" t="str">
        <f>'1D Analysis'!P40</f>
        <v>[-]</v>
      </c>
    </row>
    <row r="27" spans="1:44" x14ac:dyDescent="0.25">
      <c r="B27">
        <v>2</v>
      </c>
      <c r="C27">
        <f t="shared" ref="C27:C46" si="5">$G$8+(B27-1)*$B$22</f>
        <v>0.10774355590601283</v>
      </c>
      <c r="D27">
        <f t="shared" ref="D27:D45" si="6">C27*$G$17</f>
        <v>451.11081360025247</v>
      </c>
      <c r="E27">
        <f t="shared" ref="E27:E34" si="7">$B$18*C27^$B$20-$B$19/C27</f>
        <v>763.2878711416547</v>
      </c>
      <c r="F27" s="73">
        <f t="shared" si="2"/>
        <v>73.424016896395472</v>
      </c>
      <c r="G27" s="73">
        <f t="shared" si="3"/>
        <v>796.38379507168634</v>
      </c>
      <c r="H27">
        <f t="shared" ref="H27:H46" si="8">$F$21-(G27^2/(2*$O$1))</f>
        <v>1144.2632463496848</v>
      </c>
      <c r="I27">
        <f t="shared" ref="I27:I35" si="9">SQRT($I$36^2+2*(-$B$18*(1+$B$20)*(-$B$19*((C27^($B$20-1)-$C$36^($B$20-1))/($B$20-1))+$B$18*((C27^(2*$B$20)-$C$36^(2*$B$20))/(2*$B$20)))))</f>
        <v>227.19765584359044</v>
      </c>
      <c r="J27">
        <f t="shared" ref="J27:J46" si="10">DEGREES(ASIN(K27/L27))</f>
        <v>53.953448984685316</v>
      </c>
      <c r="K27">
        <f t="shared" si="4"/>
        <v>312.17705754140223</v>
      </c>
      <c r="L27">
        <f t="shared" ref="L27:L46" si="11">SQRT(K27^2+I27^2)</f>
        <v>386.10010369854933</v>
      </c>
      <c r="M27">
        <f t="shared" ref="M27:M46" si="12">H27+((L27^2)/(2*$O$1))</f>
        <v>1204.3734439609875</v>
      </c>
      <c r="O27" s="213">
        <f>NISRE!AX27</f>
        <v>4.04093586149692E-4</v>
      </c>
      <c r="P27" s="213">
        <f>NISRE!AY27</f>
        <v>220.4059285381818</v>
      </c>
      <c r="Q27" s="213">
        <f>NISRE!AZ27</f>
        <v>0.45009570623528944</v>
      </c>
      <c r="R27" s="213">
        <f>NISRE!BA27</f>
        <v>4.0239145669872051E-2</v>
      </c>
      <c r="S27" s="213">
        <f>NISRE!BB27</f>
        <v>1.2207787181547485</v>
      </c>
      <c r="T27" s="213">
        <f>NISRE!BC27</f>
        <v>147371.16286207075</v>
      </c>
      <c r="U27" s="213">
        <f>NISRE!BD27</f>
        <v>183623.58776331885</v>
      </c>
      <c r="Y27" s="135"/>
      <c r="Z27" s="135"/>
      <c r="AJ27" s="111" t="str">
        <f>'1D Analysis'!J41</f>
        <v>rt2</v>
      </c>
      <c r="AK27" s="2">
        <f>'1D Analysis'!K41</f>
        <v>0.1190536529348208</v>
      </c>
      <c r="AL27" s="2" t="str">
        <f>'1D Analysis'!L41</f>
        <v>[m]</v>
      </c>
      <c r="AM27" s="111" t="str">
        <f>'1D Analysis'!N41</f>
        <v>U3</v>
      </c>
      <c r="AN27" s="2">
        <f>'1D Analysis'!O41</f>
        <v>473.54173803341428</v>
      </c>
      <c r="AO27" s="112" t="str">
        <f>'1D Analysis'!P41</f>
        <v>[m/s]</v>
      </c>
    </row>
    <row r="28" spans="1:44" x14ac:dyDescent="0.25">
      <c r="B28">
        <v>3</v>
      </c>
      <c r="C28">
        <f t="shared" si="5"/>
        <v>0.10833882417068694</v>
      </c>
      <c r="D28">
        <f t="shared" si="6"/>
        <v>453.60313853727047</v>
      </c>
      <c r="E28">
        <f t="shared" si="7"/>
        <v>760.18241359308229</v>
      </c>
      <c r="F28" s="73">
        <f t="shared" si="2"/>
        <v>73.615638577192911</v>
      </c>
      <c r="G28" s="73">
        <f t="shared" si="3"/>
        <v>792.35933179729545</v>
      </c>
      <c r="H28">
        <f t="shared" si="8"/>
        <v>1146.8414069813482</v>
      </c>
      <c r="I28">
        <f t="shared" si="9"/>
        <v>223.50840867862777</v>
      </c>
      <c r="J28">
        <f t="shared" si="10"/>
        <v>53.906472362045498</v>
      </c>
      <c r="K28">
        <f t="shared" si="4"/>
        <v>306.57927505581182</v>
      </c>
      <c r="L28">
        <f t="shared" si="11"/>
        <v>379.40329550993573</v>
      </c>
      <c r="M28">
        <f t="shared" si="12"/>
        <v>1204.8844959506223</v>
      </c>
      <c r="O28" s="213">
        <f>NISRE!AX28</f>
        <v>4.0631999709265766E-4</v>
      </c>
      <c r="P28" s="213">
        <f>NISRE!AY28</f>
        <v>217.23878926181112</v>
      </c>
      <c r="Q28" s="213">
        <f>NISRE!AZ28</f>
        <v>0.45349866679202344</v>
      </c>
      <c r="R28" s="213">
        <f>NISRE!BA28</f>
        <v>4.0178492447182509E-2</v>
      </c>
      <c r="S28" s="213">
        <f>NISRE!BB28</f>
        <v>1.2132146496229077</v>
      </c>
      <c r="T28" s="213">
        <f>NISRE!BC28</f>
        <v>148821.26732158655</v>
      </c>
      <c r="U28" s="213">
        <f>NISRE!BD28</f>
        <v>184004.55341388029</v>
      </c>
      <c r="Y28" s="135"/>
      <c r="Z28" s="135"/>
      <c r="AJ28" s="111" t="str">
        <f>'1D Analysis'!J42</f>
        <v>rm2</v>
      </c>
      <c r="AK28" s="2">
        <f>'1D Analysis'!K42</f>
        <v>0.11310097028807976</v>
      </c>
      <c r="AL28" s="2" t="str">
        <f>'1D Analysis'!L42</f>
        <v>[m]</v>
      </c>
      <c r="AM28" s="111" t="str">
        <f>'1D Analysis'!N42</f>
        <v>Total pressure loss</v>
      </c>
      <c r="AN28" s="2">
        <f>'1D Analysis'!O42</f>
        <v>0.26595115620062493</v>
      </c>
      <c r="AO28" s="112" t="str">
        <f>'1D Analysis'!P42</f>
        <v>[-]</v>
      </c>
    </row>
    <row r="29" spans="1:44" x14ac:dyDescent="0.25">
      <c r="B29">
        <v>4</v>
      </c>
      <c r="C29">
        <f t="shared" si="5"/>
        <v>0.10893409243536104</v>
      </c>
      <c r="D29">
        <f t="shared" si="6"/>
        <v>456.09546347428847</v>
      </c>
      <c r="E29">
        <f t="shared" si="7"/>
        <v>757.10851898338467</v>
      </c>
      <c r="F29" s="73">
        <f t="shared" si="2"/>
        <v>73.811090389867161</v>
      </c>
      <c r="G29" s="73">
        <f t="shared" si="3"/>
        <v>788.36919422099254</v>
      </c>
      <c r="H29">
        <f t="shared" si="8"/>
        <v>1149.3846829045738</v>
      </c>
      <c r="I29">
        <f t="shared" si="9"/>
        <v>219.80144876556852</v>
      </c>
      <c r="J29">
        <f t="shared" si="10"/>
        <v>53.862868101246043</v>
      </c>
      <c r="K29">
        <f t="shared" si="4"/>
        <v>301.0130555090962</v>
      </c>
      <c r="L29">
        <f t="shared" si="11"/>
        <v>372.72179499777724</v>
      </c>
      <c r="M29">
        <f t="shared" si="12"/>
        <v>1205.4014314797209</v>
      </c>
      <c r="O29" s="213">
        <f>NISRE!AX29</f>
        <v>4.0854640803563965E-4</v>
      </c>
      <c r="P29" s="213">
        <f>NISRE!AY29</f>
        <v>214.06502602161802</v>
      </c>
      <c r="Q29" s="213">
        <f>NISRE!AZ29</f>
        <v>0.45687159515029346</v>
      </c>
      <c r="R29" s="213">
        <f>NISRE!BA29</f>
        <v>4.010212099937184E-2</v>
      </c>
      <c r="S29" s="213">
        <f>NISRE!BB29</f>
        <v>1.2057436509690473</v>
      </c>
      <c r="T29" s="213">
        <f>NISRE!BC29</f>
        <v>150261.79915537889</v>
      </c>
      <c r="U29" s="213">
        <f>NISRE!BD29</f>
        <v>184390.05498240088</v>
      </c>
      <c r="Y29" s="135"/>
      <c r="Z29" s="135"/>
      <c r="AJ29" s="111">
        <f>'1D Analysis'!J43</f>
        <v>0</v>
      </c>
      <c r="AK29" s="2">
        <f>'1D Analysis'!K43</f>
        <v>0</v>
      </c>
      <c r="AL29" s="2">
        <f>'1D Analysis'!L43</f>
        <v>0</v>
      </c>
      <c r="AM29" s="111">
        <f>'1D Analysis'!N43</f>
        <v>0</v>
      </c>
      <c r="AN29" s="2">
        <f>'1D Analysis'!O43</f>
        <v>0</v>
      </c>
      <c r="AO29" s="112">
        <f>'1D Analysis'!P43</f>
        <v>0</v>
      </c>
    </row>
    <row r="30" spans="1:44" x14ac:dyDescent="0.25">
      <c r="B30">
        <v>5</v>
      </c>
      <c r="C30">
        <f t="shared" si="5"/>
        <v>0.10952936070003515</v>
      </c>
      <c r="D30">
        <f t="shared" si="6"/>
        <v>458.58778841130646</v>
      </c>
      <c r="E30">
        <f t="shared" si="7"/>
        <v>754.06569076183382</v>
      </c>
      <c r="F30" s="73">
        <f t="shared" si="2"/>
        <v>74.010515845961024</v>
      </c>
      <c r="G30" s="73">
        <f t="shared" si="3"/>
        <v>784.41284372505959</v>
      </c>
      <c r="H30">
        <f t="shared" si="8"/>
        <v>1151.8937462093409</v>
      </c>
      <c r="I30">
        <f t="shared" si="9"/>
        <v>216.07508745043472</v>
      </c>
      <c r="J30">
        <f t="shared" si="10"/>
        <v>53.822993774006022</v>
      </c>
      <c r="K30">
        <f t="shared" si="4"/>
        <v>295.47790235052736</v>
      </c>
      <c r="L30">
        <f t="shared" si="11"/>
        <v>366.05414106957016</v>
      </c>
      <c r="M30">
        <f t="shared" si="12"/>
        <v>1205.9242438682847</v>
      </c>
      <c r="O30" s="213">
        <f>NISRE!AX30</f>
        <v>4.1077281897860531E-4</v>
      </c>
      <c r="P30" s="213">
        <f>NISRE!AY30</f>
        <v>210.88360755810564</v>
      </c>
      <c r="Q30" s="213">
        <f>NISRE!AZ30</f>
        <v>0.46021474386270367</v>
      </c>
      <c r="R30" s="213">
        <f>NISRE!BA30</f>
        <v>4.0009740781559541E-2</v>
      </c>
      <c r="S30" s="213">
        <f>NISRE!BB30</f>
        <v>1.198363727593885</v>
      </c>
      <c r="T30" s="213">
        <f>NISRE!BC30</f>
        <v>151692.76442734699</v>
      </c>
      <c r="U30" s="213">
        <f>NISRE!BD30</f>
        <v>184780.1071535823</v>
      </c>
      <c r="Y30" s="135"/>
      <c r="Z30" s="135"/>
      <c r="AJ30" s="111" t="str">
        <f>'1D Analysis'!J44</f>
        <v>h2</v>
      </c>
      <c r="AK30" s="2">
        <f>'1D Analysis'!K44</f>
        <v>1.1905365293482073E-2</v>
      </c>
      <c r="AL30" s="2" t="str">
        <f>'1D Analysis'!L44</f>
        <v>[m]</v>
      </c>
      <c r="AM30" s="111" t="str">
        <f>'1D Analysis'!N44</f>
        <v>A3</v>
      </c>
      <c r="AN30" s="2">
        <f>'1D Analysis'!O44</f>
        <v>1.0228835576754608E-2</v>
      </c>
      <c r="AO30" s="112" t="str">
        <f>'1D Analysis'!P44</f>
        <v>[m2]</v>
      </c>
    </row>
    <row r="31" spans="1:44" x14ac:dyDescent="0.25">
      <c r="B31">
        <v>6</v>
      </c>
      <c r="C31">
        <f t="shared" si="5"/>
        <v>0.11012462896470925</v>
      </c>
      <c r="D31">
        <f t="shared" si="6"/>
        <v>461.0801133483244</v>
      </c>
      <c r="E31">
        <f t="shared" si="7"/>
        <v>751.0534428798619</v>
      </c>
      <c r="F31" s="73">
        <f t="shared" si="2"/>
        <v>74.21406878475311</v>
      </c>
      <c r="G31" s="73">
        <f t="shared" si="3"/>
        <v>780.48975282368212</v>
      </c>
      <c r="H31">
        <f t="shared" si="8"/>
        <v>1154.3692523133982</v>
      </c>
      <c r="I31">
        <f t="shared" si="9"/>
        <v>212.32753048316277</v>
      </c>
      <c r="J31">
        <f t="shared" si="10"/>
        <v>53.787246562295067</v>
      </c>
      <c r="K31">
        <f t="shared" si="4"/>
        <v>289.9733295315375</v>
      </c>
      <c r="L31">
        <f t="shared" si="11"/>
        <v>359.39882031064604</v>
      </c>
      <c r="M31">
        <f t="shared" si="12"/>
        <v>1206.4529265233514</v>
      </c>
      <c r="O31" s="213">
        <f>NISRE!AX31</f>
        <v>4.1299922992158188E-4</v>
      </c>
      <c r="P31" s="213">
        <f>NISRE!AY31</f>
        <v>207.69345594882111</v>
      </c>
      <c r="Q31" s="213">
        <f>NISRE!AZ31</f>
        <v>0.46352836696864402</v>
      </c>
      <c r="R31" s="213">
        <f>NISRE!BA31</f>
        <v>3.9901044113301608E-2</v>
      </c>
      <c r="S31" s="213">
        <f>NISRE!BB31</f>
        <v>1.1910729436630985</v>
      </c>
      <c r="T31" s="213">
        <f>NISRE!BC31</f>
        <v>153114.17260982675</v>
      </c>
      <c r="U31" s="213">
        <f>NISRE!BD31</f>
        <v>185174.72488379842</v>
      </c>
      <c r="Y31" s="135"/>
      <c r="Z31" s="135"/>
      <c r="AJ31" s="111" t="str">
        <f>'1D Analysis'!J45</f>
        <v>omega</v>
      </c>
      <c r="AK31" s="2">
        <f>'1D Analysis'!K45</f>
        <v>4186.8936829388367</v>
      </c>
      <c r="AL31" s="2" t="str">
        <f>'1D Analysis'!L45</f>
        <v>[rad/s]</v>
      </c>
      <c r="AM31" s="111" t="str">
        <f>'1D Analysis'!N45</f>
        <v>rh3</v>
      </c>
      <c r="AN31" s="2">
        <f>'1D Analysis'!O45</f>
        <v>0.10590399514291465</v>
      </c>
      <c r="AO31" s="112" t="str">
        <f>'1D Analysis'!P45</f>
        <v>[m]</v>
      </c>
    </row>
    <row r="32" spans="1:44" x14ac:dyDescent="0.25">
      <c r="B32">
        <v>7</v>
      </c>
      <c r="C32">
        <f t="shared" si="5"/>
        <v>0.11071989722938334</v>
      </c>
      <c r="D32">
        <f t="shared" si="6"/>
        <v>463.57243828534234</v>
      </c>
      <c r="E32">
        <f t="shared" si="7"/>
        <v>748.07129951301908</v>
      </c>
      <c r="F32" s="73">
        <f t="shared" si="2"/>
        <v>74.421914434548981</v>
      </c>
      <c r="G32" s="73">
        <f t="shared" si="3"/>
        <v>776.59940486977371</v>
      </c>
      <c r="H32">
        <f t="shared" si="8"/>
        <v>1156.8118404660941</v>
      </c>
      <c r="I32">
        <f t="shared" si="9"/>
        <v>208.55686631945184</v>
      </c>
      <c r="J32">
        <f t="shared" si="10"/>
        <v>53.756068498511127</v>
      </c>
      <c r="K32">
        <f t="shared" si="4"/>
        <v>284.49886122767674</v>
      </c>
      <c r="L32">
        <f t="shared" si="11"/>
        <v>352.75426082307581</v>
      </c>
      <c r="M32">
        <f t="shared" si="12"/>
        <v>1206.9874729373983</v>
      </c>
      <c r="O32" s="213">
        <f>NISRE!AX32</f>
        <v>4.1522564086455844E-4</v>
      </c>
      <c r="P32" s="213">
        <f>NISRE!AY32</f>
        <v>204.49344203939012</v>
      </c>
      <c r="Q32" s="213">
        <f>NISRE!AZ32</f>
        <v>0.46681271974094679</v>
      </c>
      <c r="R32" s="213">
        <f>NISRE!BA32</f>
        <v>3.9775704648336359E-2</v>
      </c>
      <c r="S32" s="213">
        <f>NISRE!BB32</f>
        <v>1.1838694198918527</v>
      </c>
      <c r="T32" s="213">
        <f>NISRE!BC32</f>
        <v>154526.03640796605</v>
      </c>
      <c r="U32" s="213">
        <f>NISRE!BD32</f>
        <v>185573.92340061488</v>
      </c>
      <c r="Y32" s="135"/>
      <c r="Z32" s="135"/>
      <c r="AJ32" s="111" t="str">
        <f>'1D Analysis'!J46</f>
        <v>H01</v>
      </c>
      <c r="AK32" s="2">
        <f>'1D Analysis'!K46</f>
        <v>1736000</v>
      </c>
      <c r="AL32" s="2" t="str">
        <f>'1D Analysis'!L46</f>
        <v>[J/kg]</v>
      </c>
      <c r="AM32" s="111" t="str">
        <f>'1D Analysis'!N46</f>
        <v>rt3</v>
      </c>
      <c r="AN32" s="2">
        <f>'1D Analysis'!O46</f>
        <v>0.12029794543324487</v>
      </c>
      <c r="AO32" s="112" t="str">
        <f>'1D Analysis'!P46</f>
        <v>[m]</v>
      </c>
    </row>
    <row r="33" spans="1:92" x14ac:dyDescent="0.25">
      <c r="B33">
        <v>8</v>
      </c>
      <c r="C33">
        <f t="shared" si="5"/>
        <v>0.11131516549405746</v>
      </c>
      <c r="D33">
        <f t="shared" si="6"/>
        <v>466.06476322236034</v>
      </c>
      <c r="E33">
        <f t="shared" si="7"/>
        <v>745.11879479175241</v>
      </c>
      <c r="F33" s="73">
        <f t="shared" si="2"/>
        <v>74.634230620123773</v>
      </c>
      <c r="G33" s="73">
        <f t="shared" si="3"/>
        <v>772.74129377103225</v>
      </c>
      <c r="H33">
        <f t="shared" si="8"/>
        <v>1159.222134234303</v>
      </c>
      <c r="I33">
        <f t="shared" si="9"/>
        <v>204.76105280793786</v>
      </c>
      <c r="J33">
        <f t="shared" si="10"/>
        <v>53.729952546957854</v>
      </c>
      <c r="K33">
        <f t="shared" si="4"/>
        <v>279.05403156939207</v>
      </c>
      <c r="L33">
        <f t="shared" si="11"/>
        <v>346.11882537958894</v>
      </c>
      <c r="M33">
        <f t="shared" si="12"/>
        <v>1207.5278766867814</v>
      </c>
      <c r="O33" s="213">
        <f>NISRE!AX33</f>
        <v>4.1745205180752953E-4</v>
      </c>
      <c r="P33" s="213">
        <f>NISRE!AY33</f>
        <v>201.28238036338229</v>
      </c>
      <c r="Q33" s="213">
        <f>NISRE!AZ33</f>
        <v>0.47006805844758831</v>
      </c>
      <c r="R33" s="213">
        <f>NISRE!BA33</f>
        <v>3.9633375680025312E-2</v>
      </c>
      <c r="S33" s="213">
        <f>NISRE!BB33</f>
        <v>1.1767513314307085</v>
      </c>
      <c r="T33" s="213">
        <f>NISRE!BC33</f>
        <v>155928.37159149701</v>
      </c>
      <c r="U33" s="213">
        <f>NISRE!BD33</f>
        <v>185977.71820235372</v>
      </c>
      <c r="Y33" s="135"/>
      <c r="Z33" s="135"/>
      <c r="AJ33" s="111" t="str">
        <f>'1D Analysis'!J47</f>
        <v>epsp</v>
      </c>
      <c r="AK33" s="2">
        <f>'1D Analysis'!K47</f>
        <v>0.12612612612612609</v>
      </c>
      <c r="AL33" s="2" t="str">
        <f>'1D Analysis'!L47</f>
        <v>[-]</v>
      </c>
      <c r="AM33" s="111" t="str">
        <f>'1D Analysis'!N47</f>
        <v>rm3</v>
      </c>
      <c r="AN33" s="2">
        <f>'1D Analysis'!O47</f>
        <v>0.11310097028807976</v>
      </c>
      <c r="AO33" s="112" t="str">
        <f>'1D Analysis'!P47</f>
        <v>[m]</v>
      </c>
    </row>
    <row r="34" spans="1:92" x14ac:dyDescent="0.25">
      <c r="B34">
        <v>9</v>
      </c>
      <c r="C34">
        <f t="shared" si="5"/>
        <v>0.11191043375873155</v>
      </c>
      <c r="D34">
        <f t="shared" si="6"/>
        <v>468.55708815937828</v>
      </c>
      <c r="E34">
        <f t="shared" si="7"/>
        <v>742.19547254067993</v>
      </c>
      <c r="F34" s="73">
        <f t="shared" si="2"/>
        <v>74.851209141736462</v>
      </c>
      <c r="G34" s="73">
        <f t="shared" si="3"/>
        <v>768.91492371489016</v>
      </c>
      <c r="H34">
        <f t="shared" si="8"/>
        <v>1161.6007419711793</v>
      </c>
      <c r="I34">
        <f t="shared" si="9"/>
        <v>200.93790197867656</v>
      </c>
      <c r="J34">
        <f t="shared" si="10"/>
        <v>53.709449688403801</v>
      </c>
      <c r="K34">
        <f t="shared" si="4"/>
        <v>273.63838438130165</v>
      </c>
      <c r="L34">
        <f t="shared" si="11"/>
        <v>339.49080379061996</v>
      </c>
      <c r="M34">
        <f t="shared" si="12"/>
        <v>1208.074131430212</v>
      </c>
      <c r="O34" s="213">
        <f>NISRE!AX34</f>
        <v>4.1967846275050609E-4</v>
      </c>
      <c r="P34" s="213">
        <f>NISRE!AY34</f>
        <v>198.0590234767896</v>
      </c>
      <c r="Q34" s="213">
        <f>NISRE!AZ34</f>
        <v>0.47329464012763872</v>
      </c>
      <c r="R34" s="213">
        <f>NISRE!BA34</f>
        <v>3.9473688258842496E-2</v>
      </c>
      <c r="S34" s="213">
        <f>NISRE!BB34</f>
        <v>1.1697169058474717</v>
      </c>
      <c r="T34" s="213">
        <f>NISRE!BC34</f>
        <v>157321.19683361464</v>
      </c>
      <c r="U34" s="213">
        <f>NISRE!BD34</f>
        <v>186386.12505770221</v>
      </c>
      <c r="Y34" s="135"/>
      <c r="Z34" s="135"/>
      <c r="AJ34" s="111">
        <f>'1D Analysis'!J48</f>
        <v>0</v>
      </c>
      <c r="AK34" s="2">
        <f>'1D Analysis'!K48</f>
        <v>0</v>
      </c>
      <c r="AL34" s="2">
        <f>'1D Analysis'!L48</f>
        <v>0</v>
      </c>
      <c r="AM34" s="111">
        <f>'1D Analysis'!N48</f>
        <v>0</v>
      </c>
      <c r="AN34" s="2">
        <f>'1D Analysis'!O48</f>
        <v>0</v>
      </c>
      <c r="AO34" s="112">
        <f>'1D Analysis'!P48</f>
        <v>0</v>
      </c>
    </row>
    <row r="35" spans="1:92" ht="15.75" thickBot="1" x14ac:dyDescent="0.3">
      <c r="B35">
        <v>10</v>
      </c>
      <c r="C35">
        <f t="shared" si="5"/>
        <v>0.11250570202340567</v>
      </c>
      <c r="D35">
        <f t="shared" si="6"/>
        <v>471.04941309639628</v>
      </c>
      <c r="E35">
        <f>$B$18*C35^$B$20-$B$19/C35</f>
        <v>739.30088602604746</v>
      </c>
      <c r="F35" s="73">
        <f>DEGREES(ASIN(E35/G35))</f>
        <v>75.073057356541156</v>
      </c>
      <c r="G35" s="73">
        <f t="shared" si="3"/>
        <v>765.11980890203404</v>
      </c>
      <c r="H35">
        <f t="shared" si="8"/>
        <v>1163.9482572684335</v>
      </c>
      <c r="I35">
        <f t="shared" si="9"/>
        <v>197.08506258817852</v>
      </c>
      <c r="J35">
        <f t="shared" si="10"/>
        <v>53.695177206254414</v>
      </c>
      <c r="K35">
        <f t="shared" si="4"/>
        <v>268.25147292965119</v>
      </c>
      <c r="L35">
        <f t="shared" si="11"/>
        <v>332.86840436471829</v>
      </c>
      <c r="M35">
        <f t="shared" si="12"/>
        <v>1208.6262309072697</v>
      </c>
      <c r="O35" s="213">
        <f>NISRE!AX35</f>
        <v>4.2190487369347175E-4</v>
      </c>
      <c r="P35" s="213">
        <f>NISRE!AY35</f>
        <v>194.82205561996378</v>
      </c>
      <c r="Q35" s="213">
        <f>NISRE!AZ35</f>
        <v>0.47649272238071794</v>
      </c>
      <c r="R35" s="213">
        <f>NISRE!BA35</f>
        <v>3.9296249094233328E-2</v>
      </c>
      <c r="S35" s="213">
        <f>NISRE!BB35</f>
        <v>1.1627644211998636</v>
      </c>
      <c r="T35" s="213">
        <f>NISRE!BC35</f>
        <v>158704.53355668637</v>
      </c>
      <c r="U35" s="213">
        <f>NISRE!BD35</f>
        <v>186799.16000536483</v>
      </c>
      <c r="Y35" s="135"/>
      <c r="Z35" s="135"/>
      <c r="AJ35" s="113" t="str">
        <f>'1D Analysis'!J49</f>
        <v>kinetic loss stator</v>
      </c>
      <c r="AK35" s="114">
        <f>'1D Analysis'!K49</f>
        <v>0.24176496962767985</v>
      </c>
      <c r="AL35" s="114" t="str">
        <f>'1D Analysis'!L49</f>
        <v>[-]</v>
      </c>
      <c r="AM35" s="111" t="str">
        <f>'1D Analysis'!N49</f>
        <v>h3</v>
      </c>
      <c r="AN35" s="2">
        <f>'1D Analysis'!O49</f>
        <v>1.439395029033021E-2</v>
      </c>
      <c r="AO35" s="112" t="str">
        <f>'1D Analysis'!P49</f>
        <v>[m]</v>
      </c>
    </row>
    <row r="36" spans="1:92" s="132" customFormat="1" ht="15.75" thickBot="1" x14ac:dyDescent="0.3">
      <c r="B36" s="132">
        <v>11</v>
      </c>
      <c r="C36" s="132">
        <f t="shared" si="5"/>
        <v>0.11310097028807976</v>
      </c>
      <c r="D36" s="132">
        <f t="shared" si="6"/>
        <v>473.54173803341422</v>
      </c>
      <c r="E36" s="132">
        <f>TAN(RADIANS(F36))*I36</f>
        <v>736.43459771106996</v>
      </c>
      <c r="F36" s="132">
        <f>K6</f>
        <v>75.3</v>
      </c>
      <c r="G36" s="132">
        <f t="shared" si="3"/>
        <v>761.3554732881779</v>
      </c>
      <c r="H36" s="132">
        <f t="shared" si="8"/>
        <v>1166.2652593927962</v>
      </c>
      <c r="I36" s="132">
        <f>N26</f>
        <v>193.2</v>
      </c>
      <c r="J36" s="132">
        <f t="shared" si="10"/>
        <v>53.687828419354517</v>
      </c>
      <c r="K36" s="132">
        <f t="shared" si="4"/>
        <v>262.89285967765574</v>
      </c>
      <c r="L36" s="132">
        <f t="shared" si="11"/>
        <v>326.24974432096587</v>
      </c>
      <c r="M36" s="132">
        <f t="shared" si="12"/>
        <v>1209.1841689369476</v>
      </c>
      <c r="O36" s="213">
        <f>NISRE!AX36</f>
        <v>4.2413128463644832E-4</v>
      </c>
      <c r="P36" s="213">
        <f>NISRE!AY36</f>
        <v>191.57008560424882</v>
      </c>
      <c r="Q36" s="213">
        <f>NISRE!AZ36</f>
        <v>0.47966256316924794</v>
      </c>
      <c r="R36" s="213">
        <f>NISRE!BA36</f>
        <v>3.9100638208303708E-2</v>
      </c>
      <c r="S36" s="213">
        <f>NISRE!BB36</f>
        <v>1.1558922041942208</v>
      </c>
      <c r="T36" s="213">
        <f>NISRE!BC36</f>
        <v>160078.40578452454</v>
      </c>
      <c r="U36" s="213">
        <f>NISRE!BD36</f>
        <v>187216.83935375686</v>
      </c>
      <c r="V36" s="73"/>
      <c r="W36" s="73"/>
      <c r="X36" s="73"/>
      <c r="Y36" s="184"/>
      <c r="Z36" s="184"/>
      <c r="AA36" s="73"/>
      <c r="AB36" s="73"/>
      <c r="AC36" s="73"/>
      <c r="AD36" s="73"/>
      <c r="AE36" s="73"/>
      <c r="AF36" s="73"/>
      <c r="AG36" s="73"/>
      <c r="AH36" s="73"/>
      <c r="AI36" s="73"/>
      <c r="AJ36" s="113" t="str">
        <f>'1D Analysis'!J50</f>
        <v>optimim pitch/chord sorderberg</v>
      </c>
      <c r="AK36" s="114">
        <f>'1D Analysis'!K50</f>
        <v>0.68715594088706455</v>
      </c>
      <c r="AL36" s="114">
        <f>'1D Analysis'!L50</f>
        <v>0</v>
      </c>
      <c r="AM36" s="141" t="str">
        <f>'1D Analysis'!N50</f>
        <v>omega</v>
      </c>
      <c r="AN36" s="32">
        <f>'1D Analysis'!O50</f>
        <v>4186.8936829388367</v>
      </c>
      <c r="AO36" s="142" t="str">
        <f>'1D Analysis'!P50</f>
        <v>[rad/s]</v>
      </c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</row>
    <row r="37" spans="1:92" ht="15.75" thickBot="1" x14ac:dyDescent="0.3">
      <c r="B37">
        <v>12</v>
      </c>
      <c r="C37">
        <f t="shared" si="5"/>
        <v>0.11369623855275386</v>
      </c>
      <c r="D37">
        <f t="shared" si="6"/>
        <v>476.03406297043216</v>
      </c>
      <c r="E37">
        <f>$B$18*C37^$B$20-$B$19/C37</f>
        <v>733.59617901887191</v>
      </c>
      <c r="F37" s="73">
        <f>DEGREES(ASIN(E37/G37))</f>
        <v>75.532281293459278</v>
      </c>
      <c r="G37" s="73">
        <f t="shared" si="3"/>
        <v>757.62145033379829</v>
      </c>
      <c r="H37">
        <f t="shared" si="8"/>
        <v>1168.5523137073033</v>
      </c>
      <c r="I37">
        <f t="shared" ref="I37:I46" si="13">SQRT($I$36^2+2*(-$B$18*(1+$B$20)*(-$B$19*((C37^($B$20-1)-$C$36^($B$20-1))/($B$20-1))+$B$18*((C37^(2*$B$20)-$C$36^(2*$B$20))/(2*$B$20)))))</f>
        <v>189.27997288355493</v>
      </c>
      <c r="J37">
        <f t="shared" si="10"/>
        <v>53.688184165636457</v>
      </c>
      <c r="K37">
        <f t="shared" si="4"/>
        <v>257.56211604843975</v>
      </c>
      <c r="L37">
        <f t="shared" si="11"/>
        <v>319.63283898584206</v>
      </c>
      <c r="M37">
        <f t="shared" si="12"/>
        <v>1209.7479394162344</v>
      </c>
      <c r="O37" s="213">
        <f>NISRE!AX37</f>
        <v>4.263576955794303E-4</v>
      </c>
      <c r="P37" s="213">
        <f>NISRE!AY37</f>
        <v>188.30163880161368</v>
      </c>
      <c r="Q37" s="213">
        <f>NISRE!AZ37</f>
        <v>0.4828044206328243</v>
      </c>
      <c r="R37" s="213">
        <f>NISRE!BA37</f>
        <v>3.8886406302856932E-2</v>
      </c>
      <c r="S37" s="213">
        <f>NISRE!BB37</f>
        <v>1.1490986284257101</v>
      </c>
      <c r="T37" s="213">
        <f>NISRE!BC37</f>
        <v>161442.84000096211</v>
      </c>
      <c r="U37" s="213">
        <f>NISRE!BD37</f>
        <v>187639.17968074069</v>
      </c>
      <c r="Y37" s="135"/>
      <c r="Z37" s="135"/>
      <c r="AJ37" s="113" t="str">
        <f>'1D Analysis'!J51</f>
        <v>chord</v>
      </c>
      <c r="AK37" s="114">
        <f>'1D Analysis'!K51</f>
        <v>1.700766470497439E-2</v>
      </c>
      <c r="AL37" s="114">
        <f>'1D Analysis'!L51</f>
        <v>0</v>
      </c>
      <c r="AM37" s="111" t="str">
        <f>'1D Analysis'!N51</f>
        <v>H03</v>
      </c>
      <c r="AN37" s="2">
        <f>'1D Analysis'!O51</f>
        <v>1345549.2185491363</v>
      </c>
      <c r="AO37" s="112" t="str">
        <f>'1D Analysis'!P51</f>
        <v>[J/kg]</v>
      </c>
    </row>
    <row r="38" spans="1:92" ht="15.75" thickBot="1" x14ac:dyDescent="0.3">
      <c r="B38">
        <v>13</v>
      </c>
      <c r="C38">
        <f t="shared" si="5"/>
        <v>0.11429150681742797</v>
      </c>
      <c r="D38">
        <f t="shared" si="6"/>
        <v>478.52638790745016</v>
      </c>
      <c r="E38">
        <f t="shared" ref="E38:E46" si="14">$B$18*C38^$B$20-$B$19/C38</f>
        <v>730.78521010274892</v>
      </c>
      <c r="F38" s="73">
        <f t="shared" ref="F38:F46" si="15">DEGREES(ASIN(E38/G38))</f>
        <v>75.770167394943414</v>
      </c>
      <c r="G38" s="73">
        <f t="shared" si="3"/>
        <v>753.91728276153549</v>
      </c>
      <c r="H38">
        <f t="shared" si="8"/>
        <v>1170.8099720780092</v>
      </c>
      <c r="I38">
        <f t="shared" si="13"/>
        <v>185.32200609106897</v>
      </c>
      <c r="J38">
        <f t="shared" si="10"/>
        <v>53.69712641676778</v>
      </c>
      <c r="K38">
        <f t="shared" si="4"/>
        <v>252.25882219529876</v>
      </c>
      <c r="L38">
        <f t="shared" si="11"/>
        <v>313.01558957498833</v>
      </c>
      <c r="M38">
        <f t="shared" si="12"/>
        <v>1210.3175363187258</v>
      </c>
      <c r="O38" s="213">
        <f>NISRE!AX38</f>
        <v>4.2858410652239055E-4</v>
      </c>
      <c r="P38" s="213">
        <f>NISRE!AY38</f>
        <v>185.01514809251216</v>
      </c>
      <c r="Q38" s="213">
        <f>NISRE!AZ38</f>
        <v>0.48591855291407604</v>
      </c>
      <c r="R38" s="213">
        <f>NISRE!BA38</f>
        <v>3.8653071794150451E-2</v>
      </c>
      <c r="S38" s="213">
        <f>NISRE!BB38</f>
        <v>1.1423821126958185</v>
      </c>
      <c r="T38" s="213">
        <f>NISRE!BC38</f>
        <v>162797.86501448491</v>
      </c>
      <c r="U38" s="213">
        <f>NISRE!BD38</f>
        <v>188066.1978334015</v>
      </c>
      <c r="Y38" s="135"/>
      <c r="Z38" s="135"/>
      <c r="AJ38" s="113" t="str">
        <f>'1D Analysis'!J52</f>
        <v>h/c</v>
      </c>
      <c r="AK38" s="114">
        <f>'1D Analysis'!K52</f>
        <v>0.7</v>
      </c>
      <c r="AL38" s="114">
        <f>'1D Analysis'!L52</f>
        <v>0</v>
      </c>
      <c r="AM38" s="111" t="str">
        <f>'1D Analysis'!N52</f>
        <v>H3ss</v>
      </c>
      <c r="AN38" s="2">
        <f>'1D Analysis'!O52</f>
        <v>1233944.2013783162</v>
      </c>
      <c r="AO38" s="112" t="str">
        <f>'1D Analysis'!P52</f>
        <v>[J/kg]</v>
      </c>
    </row>
    <row r="39" spans="1:92" x14ac:dyDescent="0.25">
      <c r="B39">
        <v>14</v>
      </c>
      <c r="C39">
        <f t="shared" si="5"/>
        <v>0.11488677508210207</v>
      </c>
      <c r="D39">
        <f t="shared" si="6"/>
        <v>481.0187128444681</v>
      </c>
      <c r="E39">
        <f t="shared" si="14"/>
        <v>728.00127962349279</v>
      </c>
      <c r="F39" s="73">
        <f t="shared" si="15"/>
        <v>76.013949264189932</v>
      </c>
      <c r="G39" s="73">
        <f t="shared" si="3"/>
        <v>750.24252232099582</v>
      </c>
      <c r="H39">
        <f t="shared" si="8"/>
        <v>1173.0387732667057</v>
      </c>
      <c r="I39">
        <f t="shared" si="13"/>
        <v>181.32285891504975</v>
      </c>
      <c r="J39">
        <f t="shared" si="10"/>
        <v>53.715654502102566</v>
      </c>
      <c r="K39">
        <f t="shared" si="4"/>
        <v>246.98256677902469</v>
      </c>
      <c r="L39">
        <f t="shared" si="11"/>
        <v>306.39576932112237</v>
      </c>
      <c r="M39">
        <f t="shared" si="12"/>
        <v>1210.8929536932712</v>
      </c>
      <c r="O39" s="213">
        <f>NISRE!AX39</f>
        <v>4.3081051746537801E-4</v>
      </c>
      <c r="P39" s="213">
        <f>NISRE!AY39</f>
        <v>181.70894359891747</v>
      </c>
      <c r="Q39" s="213">
        <f>NISRE!AZ39</f>
        <v>0.48900521799539992</v>
      </c>
      <c r="R39" s="213">
        <f>NISRE!BA39</f>
        <v>3.8400117460935003E-2</v>
      </c>
      <c r="S39" s="213">
        <f>NISRE!BB39</f>
        <v>1.1357411194031386</v>
      </c>
      <c r="T39" s="213">
        <f>NISRE!BC39</f>
        <v>164143.51182867674</v>
      </c>
      <c r="U39" s="213">
        <f>NISRE!BD39</f>
        <v>188497.91092786199</v>
      </c>
      <c r="Y39" s="135"/>
      <c r="Z39" s="135"/>
      <c r="AM39" s="111" t="str">
        <f>'1D Analysis'!N53</f>
        <v>epspp</v>
      </c>
      <c r="AN39" s="2">
        <f>'1D Analysis'!O53</f>
        <v>0.23762376237623822</v>
      </c>
      <c r="AO39" s="112" t="str">
        <f>'1D Analysis'!P53</f>
        <v>[-]</v>
      </c>
    </row>
    <row r="40" spans="1:92" ht="15.75" thickBot="1" x14ac:dyDescent="0.3">
      <c r="B40">
        <v>15</v>
      </c>
      <c r="C40">
        <f t="shared" si="5"/>
        <v>0.11548204334677618</v>
      </c>
      <c r="D40">
        <f t="shared" si="6"/>
        <v>483.5110377814861</v>
      </c>
      <c r="E40">
        <f t="shared" si="14"/>
        <v>725.24398453352092</v>
      </c>
      <c r="F40" s="73">
        <f t="shared" si="15"/>
        <v>76.263946031024801</v>
      </c>
      <c r="G40" s="73">
        <f t="shared" si="3"/>
        <v>746.59672956068277</v>
      </c>
      <c r="H40">
        <f t="shared" si="8"/>
        <v>1175.2392433101986</v>
      </c>
      <c r="I40">
        <f t="shared" si="13"/>
        <v>177.27898772457314</v>
      </c>
      <c r="J40">
        <f t="shared" si="10"/>
        <v>53.744904548145549</v>
      </c>
      <c r="K40">
        <f t="shared" si="4"/>
        <v>241.73294675203482</v>
      </c>
      <c r="L40">
        <f t="shared" si="11"/>
        <v>299.77100766096686</v>
      </c>
      <c r="M40">
        <f t="shared" si="12"/>
        <v>1211.4741856626467</v>
      </c>
      <c r="O40" s="213">
        <f>NISRE!AX40</f>
        <v>4.330369284083382E-4</v>
      </c>
      <c r="P40" s="213">
        <f>NISRE!AY40</f>
        <v>178.38124099462536</v>
      </c>
      <c r="Q40" s="213">
        <f>NISRE!AZ40</f>
        <v>0.49206467354600214</v>
      </c>
      <c r="R40" s="213">
        <f>NISRE!BA40</f>
        <v>3.8126986640486582E-2</v>
      </c>
      <c r="S40" s="213">
        <f>NISRE!BB40</f>
        <v>1.1291741530036923</v>
      </c>
      <c r="T40" s="213">
        <f>NISRE!BC40</f>
        <v>165479.81351824908</v>
      </c>
      <c r="U40" s="213">
        <f>NISRE!BD40</f>
        <v>188934.33634913879</v>
      </c>
      <c r="Y40" s="135"/>
      <c r="Z40" s="135"/>
      <c r="AM40" s="113" t="str">
        <f>'1D Analysis'!N54</f>
        <v>kinetic loss rotor</v>
      </c>
      <c r="AN40" s="114">
        <f>'1D Analysis'!O54</f>
        <v>0.37960965490458437</v>
      </c>
      <c r="AO40" s="115" t="str">
        <f>'1D Analysis'!P54</f>
        <v>[-]</v>
      </c>
    </row>
    <row r="41" spans="1:92" ht="15.75" thickBot="1" x14ac:dyDescent="0.3">
      <c r="B41">
        <v>16</v>
      </c>
      <c r="C41">
        <f t="shared" si="5"/>
        <v>0.11607731161145028</v>
      </c>
      <c r="D41">
        <f t="shared" si="6"/>
        <v>486.00336271850409</v>
      </c>
      <c r="E41">
        <f t="shared" si="14"/>
        <v>722.51292986757403</v>
      </c>
      <c r="F41" s="73">
        <f t="shared" si="15"/>
        <v>76.520508979782122</v>
      </c>
      <c r="G41" s="73">
        <f t="shared" si="3"/>
        <v>742.9794736068111</v>
      </c>
      <c r="H41">
        <f t="shared" si="8"/>
        <v>1177.4118958866718</v>
      </c>
      <c r="I41">
        <f t="shared" si="13"/>
        <v>173.18650171196398</v>
      </c>
      <c r="J41">
        <f t="shared" si="10"/>
        <v>53.786172907881472</v>
      </c>
      <c r="K41">
        <f t="shared" si="4"/>
        <v>236.50956714906994</v>
      </c>
      <c r="L41">
        <f t="shared" si="11"/>
        <v>293.13877213406715</v>
      </c>
      <c r="M41">
        <f t="shared" si="12"/>
        <v>1212.0612264222639</v>
      </c>
      <c r="O41" s="213">
        <f>NISRE!AX41</f>
        <v>4.3526333935131476E-4</v>
      </c>
      <c r="P41" s="213">
        <f>NISRE!AY41</f>
        <v>175.03012814170739</v>
      </c>
      <c r="Q41" s="213">
        <f>NISRE!AZ41</f>
        <v>0.49509717677869414</v>
      </c>
      <c r="R41" s="213">
        <f>NISRE!BA41</f>
        <v>3.7833078894045663E-2</v>
      </c>
      <c r="S41" s="213">
        <f>NISRE!BB41</f>
        <v>1.1226797585372701</v>
      </c>
      <c r="T41" s="213">
        <f>NISRE!BC41</f>
        <v>166806.80511042834</v>
      </c>
      <c r="U41" s="213">
        <f>NISRE!BD41</f>
        <v>189375.49175103256</v>
      </c>
      <c r="Y41" s="135"/>
      <c r="Z41" s="135"/>
      <c r="AM41" s="113" t="str">
        <f>'1D Analysis'!N55</f>
        <v>optimim pitch/chord sorderberg</v>
      </c>
      <c r="AN41" s="114">
        <f>'1D Analysis'!O55</f>
        <v>0.63700645701635905</v>
      </c>
      <c r="AO41" s="115">
        <f>'1D Analysis'!P55</f>
        <v>0</v>
      </c>
    </row>
    <row r="42" spans="1:92" ht="15.75" thickBot="1" x14ac:dyDescent="0.3">
      <c r="B42">
        <v>17</v>
      </c>
      <c r="C42">
        <f t="shared" si="5"/>
        <v>0.11667257987612438</v>
      </c>
      <c r="D42">
        <f t="shared" si="6"/>
        <v>488.49568765552203</v>
      </c>
      <c r="E42">
        <f t="shared" si="14"/>
        <v>719.80772853974543</v>
      </c>
      <c r="F42" s="73">
        <f t="shared" si="15"/>
        <v>76.784026293606203</v>
      </c>
      <c r="G42" s="73">
        <f t="shared" si="3"/>
        <v>739.3903319487556</v>
      </c>
      <c r="H42">
        <f t="shared" si="8"/>
        <v>1179.5572326696408</v>
      </c>
      <c r="I42">
        <f t="shared" si="13"/>
        <v>169.04111012929113</v>
      </c>
      <c r="J42">
        <f t="shared" si="10"/>
        <v>53.840944577445875</v>
      </c>
      <c r="K42">
        <f t="shared" si="4"/>
        <v>231.31204088422339</v>
      </c>
      <c r="L42">
        <f t="shared" si="11"/>
        <v>286.49634757142672</v>
      </c>
      <c r="M42">
        <f t="shared" si="12"/>
        <v>1212.654070238902</v>
      </c>
      <c r="O42" s="213">
        <f>NISRE!AX42</f>
        <v>4.3748975029429674E-4</v>
      </c>
      <c r="P42" s="213">
        <f>NISRE!AY42</f>
        <v>171.65354974807536</v>
      </c>
      <c r="Q42" s="213">
        <f>NISRE!AZ42</f>
        <v>0.4981029843159353</v>
      </c>
      <c r="R42" s="213">
        <f>NISRE!BA42</f>
        <v>3.7517745046276023E-2</v>
      </c>
      <c r="S42" s="213">
        <f>NISRE!BB42</f>
        <v>1.1162565202164534</v>
      </c>
      <c r="T42" s="213">
        <f>NISRE!BC42</f>
        <v>168124.52347148987</v>
      </c>
      <c r="U42" s="213">
        <f>NISRE!BD42</f>
        <v>189821.39505606005</v>
      </c>
      <c r="Y42" s="135"/>
      <c r="Z42" s="135"/>
      <c r="AM42" s="113" t="str">
        <f>'1D Analysis'!N56</f>
        <v>chord</v>
      </c>
      <c r="AN42" s="114">
        <f>'1D Analysis'!O56</f>
        <v>1.0281393064521579E-2</v>
      </c>
      <c r="AO42" s="115">
        <f>'1D Analysis'!P56</f>
        <v>0</v>
      </c>
    </row>
    <row r="43" spans="1:92" ht="15.75" thickBot="1" x14ac:dyDescent="0.3">
      <c r="B43">
        <v>18</v>
      </c>
      <c r="C43">
        <f t="shared" si="5"/>
        <v>0.11726784814079849</v>
      </c>
      <c r="D43">
        <f t="shared" si="6"/>
        <v>490.98801259254003</v>
      </c>
      <c r="E43">
        <f t="shared" si="14"/>
        <v>717.12800114662082</v>
      </c>
      <c r="F43" s="73">
        <f t="shared" si="15"/>
        <v>77.054928743981804</v>
      </c>
      <c r="G43" s="73">
        <f t="shared" si="3"/>
        <v>735.82889023090524</v>
      </c>
      <c r="H43">
        <f t="shared" si="8"/>
        <v>1181.6757436699816</v>
      </c>
      <c r="I43">
        <f t="shared" si="13"/>
        <v>164.83805892419943</v>
      </c>
      <c r="J43">
        <f t="shared" si="10"/>
        <v>53.910927896694091</v>
      </c>
      <c r="K43">
        <f t="shared" si="4"/>
        <v>226.13998855408079</v>
      </c>
      <c r="L43">
        <f t="shared" si="11"/>
        <v>279.84081205774407</v>
      </c>
      <c r="M43">
        <f t="shared" si="12"/>
        <v>1213.2527114494726</v>
      </c>
      <c r="O43" s="213">
        <f>NISRE!AX43</f>
        <v>4.3971616123726241E-4</v>
      </c>
      <c r="P43" s="213">
        <f>NISRE!AY43</f>
        <v>168.24928967339031</v>
      </c>
      <c r="Q43" s="213">
        <f>NISRE!AZ43</f>
        <v>0.50108235206462282</v>
      </c>
      <c r="R43" s="213">
        <f>NISRE!BA43</f>
        <v>3.7180281482559772E-2</v>
      </c>
      <c r="S43" s="213">
        <f>NISRE!BB43</f>
        <v>1.1099030600751889</v>
      </c>
      <c r="T43" s="213">
        <f>NISRE!BC43</f>
        <v>169433.00719822844</v>
      </c>
      <c r="U43" s="213">
        <f>NISRE!BD43</f>
        <v>190272.06445541925</v>
      </c>
      <c r="Y43" s="135"/>
      <c r="Z43" s="135"/>
      <c r="AM43" s="113" t="str">
        <f>'1D Analysis'!N57</f>
        <v>h/c</v>
      </c>
      <c r="AN43" s="114">
        <f>'1D Analysis'!O57</f>
        <v>1.4</v>
      </c>
      <c r="AO43" s="115">
        <f>'1D Analysis'!P57</f>
        <v>0</v>
      </c>
    </row>
    <row r="44" spans="1:92" x14ac:dyDescent="0.25">
      <c r="B44">
        <v>19</v>
      </c>
      <c r="C44">
        <f t="shared" si="5"/>
        <v>0.11786311640547259</v>
      </c>
      <c r="D44">
        <f t="shared" si="6"/>
        <v>493.48033752955797</v>
      </c>
      <c r="E44">
        <f t="shared" si="14"/>
        <v>714.47337577631504</v>
      </c>
      <c r="F44" s="73">
        <f t="shared" si="15"/>
        <v>77.333696566822994</v>
      </c>
      <c r="G44" s="73">
        <f t="shared" si="3"/>
        <v>732.29474205069926</v>
      </c>
      <c r="H44">
        <f t="shared" si="8"/>
        <v>1183.7679075664919</v>
      </c>
      <c r="I44">
        <f t="shared" si="13"/>
        <v>160.57205405018811</v>
      </c>
      <c r="J44">
        <f t="shared" si="10"/>
        <v>53.998097235529045</v>
      </c>
      <c r="K44">
        <f t="shared" si="4"/>
        <v>220.99303824675707</v>
      </c>
      <c r="L44">
        <f t="shared" si="11"/>
        <v>273.16900903182477</v>
      </c>
      <c r="M44">
        <f t="shared" si="12"/>
        <v>1213.8571444598101</v>
      </c>
      <c r="O44" s="213">
        <f>NISRE!AX44</f>
        <v>4.4194257218024445E-4</v>
      </c>
      <c r="P44" s="213">
        <f>NISRE!AY44</f>
        <v>164.81495042484764</v>
      </c>
      <c r="Q44" s="213">
        <f>NISRE!AZ44</f>
        <v>0.50403553509916488</v>
      </c>
      <c r="R44" s="213">
        <f>NISRE!BA44</f>
        <v>3.6819923561467363E-2</v>
      </c>
      <c r="S44" s="213">
        <f>NISRE!BB44</f>
        <v>1.1036180366739714</v>
      </c>
      <c r="T44" s="213">
        <f>NISRE!BC44</f>
        <v>170732.29651416556</v>
      </c>
      <c r="U44" s="213">
        <f>NISRE!BD44</f>
        <v>190727.51840899195</v>
      </c>
      <c r="Y44" s="135"/>
      <c r="Z44" s="135"/>
    </row>
    <row r="45" spans="1:92" x14ac:dyDescent="0.25">
      <c r="B45">
        <v>20</v>
      </c>
      <c r="C45">
        <f t="shared" si="5"/>
        <v>0.1184583846701467</v>
      </c>
      <c r="D45">
        <f t="shared" si="6"/>
        <v>495.97266246657597</v>
      </c>
      <c r="E45">
        <f t="shared" si="14"/>
        <v>711.84348782319807</v>
      </c>
      <c r="F45" s="73">
        <f t="shared" si="15"/>
        <v>77.620867842919267</v>
      </c>
      <c r="G45" s="73">
        <f t="shared" si="3"/>
        <v>728.78748876262546</v>
      </c>
      <c r="H45">
        <f t="shared" si="8"/>
        <v>1185.83419202543</v>
      </c>
      <c r="I45">
        <f t="shared" si="13"/>
        <v>156.23716785911847</v>
      </c>
      <c r="J45">
        <f t="shared" si="10"/>
        <v>54.104745923617621</v>
      </c>
      <c r="K45">
        <f t="shared" si="4"/>
        <v>215.87082535662211</v>
      </c>
      <c r="L45">
        <f t="shared" si="11"/>
        <v>266.47751473771217</v>
      </c>
      <c r="M45">
        <f t="shared" si="12"/>
        <v>1214.4673637434894</v>
      </c>
      <c r="O45" s="213">
        <f>NISRE!AX45</f>
        <v>4.4416898312320464E-4</v>
      </c>
      <c r="P45" s="213">
        <f>NISRE!AY45</f>
        <v>161.3479292751189</v>
      </c>
      <c r="Q45" s="213">
        <f>NISRE!AZ45</f>
        <v>0.50696278755240287</v>
      </c>
      <c r="R45" s="213">
        <f>NISRE!BA45</f>
        <v>3.6435837966128731E-2</v>
      </c>
      <c r="S45" s="213">
        <f>NISRE!BB45</f>
        <v>1.0974001438588299</v>
      </c>
      <c r="T45" s="213">
        <f>NISRE!BC45</f>
        <v>172022.43317030574</v>
      </c>
      <c r="U45" s="213">
        <f>NISRE!BD45</f>
        <v>191187.77564538244</v>
      </c>
      <c r="Z45" s="73"/>
    </row>
    <row r="46" spans="1:92" x14ac:dyDescent="0.25">
      <c r="A46" t="s">
        <v>468</v>
      </c>
      <c r="B46">
        <v>21</v>
      </c>
      <c r="C46">
        <f t="shared" si="5"/>
        <v>0.1190536529348208</v>
      </c>
      <c r="D46">
        <f>C46*$G$17</f>
        <v>498.46498740359391</v>
      </c>
      <c r="E46">
        <f t="shared" si="14"/>
        <v>709.23797980811491</v>
      </c>
      <c r="F46" s="73">
        <f t="shared" si="15"/>
        <v>77.917048806419402</v>
      </c>
      <c r="G46" s="73">
        <f t="shared" si="3"/>
        <v>725.3067392879824</v>
      </c>
      <c r="H46">
        <f t="shared" si="8"/>
        <v>1187.8750540094495</v>
      </c>
      <c r="I46">
        <f t="shared" si="13"/>
        <v>151.82672378164924</v>
      </c>
      <c r="J46">
        <f t="shared" si="10"/>
        <v>54.233552453076179</v>
      </c>
      <c r="K46">
        <f t="shared" si="4"/>
        <v>210.77299240452101</v>
      </c>
      <c r="L46">
        <f t="shared" si="11"/>
        <v>259.76260004362729</v>
      </c>
      <c r="M46">
        <f t="shared" si="12"/>
        <v>1215.0833638406696</v>
      </c>
      <c r="O46" s="213">
        <f>NISRE!AX46</f>
        <v>0</v>
      </c>
      <c r="P46" s="213">
        <f>NISRE!AY46</f>
        <v>0</v>
      </c>
      <c r="Q46" s="213">
        <f>NISRE!AZ46</f>
        <v>0.5098643625139514</v>
      </c>
      <c r="R46" s="213">
        <f>NISRE!BA46</f>
        <v>0</v>
      </c>
      <c r="S46" s="213">
        <f>NISRE!BB46</f>
        <v>1.0912481095715107</v>
      </c>
      <c r="T46" s="213">
        <f>NISRE!BC46</f>
        <v>173303.46035025173</v>
      </c>
      <c r="U46" s="213">
        <f>NISRE!BD46</f>
        <v>191652.85516198783</v>
      </c>
    </row>
    <row r="47" spans="1:92" x14ac:dyDescent="0.25">
      <c r="F47" s="73"/>
      <c r="G47" s="73"/>
      <c r="O47" s="213"/>
      <c r="P47" s="213"/>
      <c r="Q47" s="213"/>
      <c r="R47" s="213"/>
      <c r="S47" s="213"/>
      <c r="T47" s="213"/>
      <c r="U47" s="213"/>
    </row>
    <row r="48" spans="1:92" x14ac:dyDescent="0.25">
      <c r="F48" s="73"/>
      <c r="G48" s="73"/>
      <c r="O48" s="213"/>
      <c r="P48" s="213"/>
      <c r="Q48" s="213" t="str">
        <f>NISRE!AZ48</f>
        <v>global sum</v>
      </c>
      <c r="R48" s="213">
        <f>NISRE!BA48</f>
        <v>0.7778480045128614</v>
      </c>
      <c r="S48" s="213"/>
      <c r="T48" s="213"/>
      <c r="U48" s="213"/>
    </row>
    <row r="49" spans="1:96" x14ac:dyDescent="0.25">
      <c r="P49" s="213"/>
      <c r="Q49" s="213" t="str">
        <f>NISRE!AZ49</f>
        <v>Massfloe real</v>
      </c>
      <c r="R49" s="213">
        <f>NISRE!BA49</f>
        <v>0.7774823082743787</v>
      </c>
      <c r="S49" s="213"/>
      <c r="T49" s="213"/>
      <c r="U49" s="213"/>
    </row>
    <row r="50" spans="1:96" x14ac:dyDescent="0.25">
      <c r="Q50" s="213" t="str">
        <f>NISRE!AZ50</f>
        <v>Difference %</v>
      </c>
      <c r="R50" s="213">
        <f>NISRE!BA50</f>
        <v>4.7013842853749696E-2</v>
      </c>
    </row>
    <row r="52" spans="1:96" x14ac:dyDescent="0.25">
      <c r="N52" s="289" t="e">
        <f>NISRE!#REF!</f>
        <v>#REF!</v>
      </c>
      <c r="O52" s="289"/>
      <c r="P52" s="289"/>
      <c r="Q52" s="290" t="s">
        <v>486</v>
      </c>
      <c r="R52" s="290"/>
      <c r="S52" s="290"/>
      <c r="T52">
        <f>L9</f>
        <v>254.08869342764129</v>
      </c>
    </row>
    <row r="53" spans="1:96" ht="18" x14ac:dyDescent="0.35">
      <c r="B53">
        <f>(E64+B19/C64)/(C64^(B20))</f>
        <v>-209.25379735825157</v>
      </c>
      <c r="C53" s="1" t="s">
        <v>100</v>
      </c>
      <c r="D53" s="128" t="s">
        <v>437</v>
      </c>
      <c r="E53" s="128" t="s">
        <v>459</v>
      </c>
      <c r="F53" s="128" t="s">
        <v>460</v>
      </c>
      <c r="G53" s="128" t="s">
        <v>461</v>
      </c>
      <c r="H53" s="128" t="s">
        <v>462</v>
      </c>
      <c r="I53" s="128" t="s">
        <v>463</v>
      </c>
      <c r="J53" s="130" t="s">
        <v>440</v>
      </c>
      <c r="K53" s="128" t="s">
        <v>441</v>
      </c>
      <c r="L53" s="128" t="s">
        <v>464</v>
      </c>
      <c r="M53" s="128" t="s">
        <v>465</v>
      </c>
      <c r="N53" s="134" t="e">
        <f>NISRE!#REF!</f>
        <v>#REF!</v>
      </c>
      <c r="O53" s="134" t="s">
        <v>483</v>
      </c>
      <c r="P53" s="134" t="s">
        <v>484</v>
      </c>
      <c r="Q53" s="134" t="s">
        <v>482</v>
      </c>
      <c r="R53" s="134" t="s">
        <v>485</v>
      </c>
      <c r="S53" s="134" t="s">
        <v>124</v>
      </c>
      <c r="T53" s="214" t="s">
        <v>466</v>
      </c>
      <c r="U53" s="215" t="str">
        <f>NISRE!AX56</f>
        <v>Area</v>
      </c>
      <c r="V53" s="215" t="str">
        <f>NISRE!AY56</f>
        <v>u_m</v>
      </c>
      <c r="W53" s="215" t="str">
        <f>NISRE!AZ56</f>
        <v>rho3</v>
      </c>
      <c r="X53" s="215" t="str">
        <f>NISRE!BA56</f>
        <v>ma ISRE</v>
      </c>
      <c r="Y53" s="215" t="str">
        <f>NISRE!BB56</f>
        <v>Delta ma</v>
      </c>
      <c r="Z53" s="215" t="str">
        <f>NISRE!BC56</f>
        <v>AH = u2v2u - u3v3u</v>
      </c>
      <c r="AA53" s="215">
        <f>NISRE!BD56</f>
        <v>0</v>
      </c>
      <c r="AB53" s="215" t="str">
        <f>NISRE!BE56</f>
        <v>T03_work</v>
      </c>
      <c r="AC53" s="215" t="str">
        <f>NISRE!BF56</f>
        <v>T3_work</v>
      </c>
      <c r="AD53" s="215" t="str">
        <f>NISRE!BG56</f>
        <v>T03r work</v>
      </c>
      <c r="AE53" s="215" t="str">
        <f>NISRE!BH56</f>
        <v>P3</v>
      </c>
      <c r="AF53" s="215" t="str">
        <f>NISRE!BI56</f>
        <v>Rd ISRE</v>
      </c>
      <c r="AG53" s="215" t="str">
        <f>NISRE!BJ56</f>
        <v>MW3</v>
      </c>
    </row>
    <row r="54" spans="1:96" x14ac:dyDescent="0.25">
      <c r="A54" t="s">
        <v>471</v>
      </c>
      <c r="B54">
        <v>1</v>
      </c>
      <c r="C54">
        <f>$G$13+(B54-1)*$B$23</f>
        <v>0.10590399514291465</v>
      </c>
      <c r="D54">
        <f>$G$17*C54</f>
        <v>443.40876826185462</v>
      </c>
      <c r="E54">
        <f t="shared" ref="E54:E63" si="16">$B$18*C54^$B$20+$B$19/C54</f>
        <v>-107.47654748309287</v>
      </c>
      <c r="F54">
        <f t="shared" ref="F54:F63" si="17">DEGREES(ATAN(E54/G54))</f>
        <v>-23.281280019530069</v>
      </c>
      <c r="G54">
        <f t="shared" ref="G54:G62" si="18">SQRT($G$64^2+2*(-$B$18*(1+$B$20)*(+$B$19*((C54^($B$20-1)-$C$64^($B$20-1))/($B$20-1))+$B$18*((C54^(2*$B$20)-$C$64^(2*$B$20))/(2*$B$20)))))</f>
        <v>249.7823633124614</v>
      </c>
      <c r="H54">
        <f t="shared" ref="H54:H63" si="19">E54-D54</f>
        <v>-550.88531574494755</v>
      </c>
      <c r="I54">
        <f t="shared" ref="I54:I63" si="20">DEGREES(ATAN(H54/G54))</f>
        <v>-65.609514800144183</v>
      </c>
      <c r="J54" s="92">
        <f t="shared" ref="J54:J74" si="21">J26-I54</f>
        <v>119.61299027641618</v>
      </c>
      <c r="K54">
        <f t="shared" ref="K54:K74" si="22">F26-F54</f>
        <v>96.517371246976936</v>
      </c>
      <c r="L54">
        <f>SQRT(G54^2+E54^2)</f>
        <v>271.92358720942906</v>
      </c>
      <c r="M54">
        <f>SQRT(H54^2+G54^2)</f>
        <v>604.86846514376089</v>
      </c>
      <c r="N54">
        <f>M26</f>
        <v>1203.8682822794892</v>
      </c>
      <c r="O54">
        <f>N54-(M54^2/(2*$O$1))</f>
        <v>1056.3417257773242</v>
      </c>
      <c r="P54">
        <f t="shared" ref="P54:P74" si="23">O54+L54^2/2/$O$1</f>
        <v>1086.1572246808903</v>
      </c>
      <c r="Q54">
        <f>$F$22</f>
        <v>1085.120337539626</v>
      </c>
      <c r="R54">
        <f>Q54-L54^2/2/$O$1</f>
        <v>1055.3048386360599</v>
      </c>
      <c r="S54">
        <f>R54+M54^2/(2*$O$1)</f>
        <v>1202.8313951382249</v>
      </c>
      <c r="T54">
        <f>NISRE!AW57</f>
        <v>254.8</v>
      </c>
      <c r="U54">
        <f>NISRE!AX57</f>
        <v>4.8052434220510829E-4</v>
      </c>
      <c r="V54">
        <f>NISRE!AY57</f>
        <v>250.89400748230261</v>
      </c>
      <c r="W54">
        <f>NISRE!AZ57</f>
        <v>0.29887809230460449</v>
      </c>
      <c r="X54">
        <f>NISRE!BA57</f>
        <v>3.6028886526540911E-2</v>
      </c>
      <c r="Y54">
        <f>NISRE!BB57</f>
        <v>11.81126964123778</v>
      </c>
      <c r="Z54">
        <f>NISRE!BC57</f>
        <v>391320.86633472145</v>
      </c>
      <c r="AA54">
        <f>NISRE!BD57</f>
        <v>0</v>
      </c>
      <c r="AB54">
        <f>NISRE!BE57</f>
        <v>1084.4186561816762</v>
      </c>
      <c r="AC54">
        <f>NISRE!BF57</f>
        <v>1054.6147050498726</v>
      </c>
      <c r="AD54">
        <f>NISRE!BG57</f>
        <v>1201.3446853283417</v>
      </c>
      <c r="AE54">
        <f>NISRE!BH57</f>
        <v>90196.04460934487</v>
      </c>
      <c r="AF54">
        <f>NISRE!BI57</f>
        <v>0.25441750761259818</v>
      </c>
      <c r="AG54">
        <f>NISRE!BJ57</f>
        <v>0.96309003379990665</v>
      </c>
    </row>
    <row r="55" spans="1:96" x14ac:dyDescent="0.25">
      <c r="B55">
        <v>2</v>
      </c>
      <c r="C55">
        <f t="shared" ref="C55:C74" si="24">$G$13+(B55-1)*$B$23</f>
        <v>0.10662369265743116</v>
      </c>
      <c r="D55">
        <f t="shared" ref="D55:D74" si="25">$G$17*C55</f>
        <v>446.42206523901052</v>
      </c>
      <c r="E55">
        <f t="shared" si="16"/>
        <v>-105.4050761059334</v>
      </c>
      <c r="F55">
        <f t="shared" si="17"/>
        <v>-22.832003245939212</v>
      </c>
      <c r="G55">
        <f t="shared" si="18"/>
        <v>250.35722579120673</v>
      </c>
      <c r="H55">
        <f t="shared" si="19"/>
        <v>-551.82714134494393</v>
      </c>
      <c r="I55">
        <f t="shared" si="20"/>
        <v>-65.59678535261547</v>
      </c>
      <c r="J55">
        <f t="shared" si="21"/>
        <v>119.55023433730079</v>
      </c>
      <c r="K55">
        <f t="shared" si="22"/>
        <v>96.256020142334677</v>
      </c>
      <c r="L55">
        <f t="shared" ref="L55:L74" si="26">SQRT(G55^2+E55^2)</f>
        <v>271.64125344793797</v>
      </c>
      <c r="M55">
        <f t="shared" ref="M55:M74" si="27">SQRT(H55^2+G55^2)</f>
        <v>605.96364117890937</v>
      </c>
      <c r="N55">
        <f t="shared" ref="N55:N74" si="28">M27</f>
        <v>1204.3734439609875</v>
      </c>
      <c r="O55">
        <f t="shared" ref="O55:O74" si="29">N55-(M55^2/(2*$O$1))</f>
        <v>1056.3121800775996</v>
      </c>
      <c r="P55">
        <f t="shared" si="23"/>
        <v>1086.0657972448444</v>
      </c>
      <c r="Q55">
        <f t="shared" ref="Q55:Q74" si="30">$F$22</f>
        <v>1085.120337539626</v>
      </c>
      <c r="R55">
        <f t="shared" ref="R55:R74" si="31">Q55-L55^2/2/$O$1</f>
        <v>1055.3667203723812</v>
      </c>
      <c r="S55">
        <f t="shared" ref="S55:S74" si="32">R55+M55^2/(2*$O$1)</f>
        <v>1203.4279842557692</v>
      </c>
      <c r="U55">
        <f>NISRE!AX58</f>
        <v>4.8377880921907589E-4</v>
      </c>
      <c r="V55">
        <f>NISRE!AY58</f>
        <v>251.35821421634347</v>
      </c>
      <c r="W55">
        <f>NISRE!AZ58</f>
        <v>0.29881075867953227</v>
      </c>
      <c r="X55">
        <f>NISRE!BA58</f>
        <v>3.6331520128652262E-2</v>
      </c>
      <c r="Y55">
        <f>NISRE!BB58</f>
        <v>10.75546943090362</v>
      </c>
      <c r="Z55">
        <f>NISRE!BC58</f>
        <v>391231.45172335533</v>
      </c>
      <c r="AA55">
        <f>NISRE!BD58</f>
        <v>0</v>
      </c>
      <c r="AB55">
        <f>NISRE!BE58</f>
        <v>1084.4907647392297</v>
      </c>
      <c r="AC55">
        <f>NISRE!BF58</f>
        <v>1054.7463010529193</v>
      </c>
      <c r="AD55">
        <f>NISRE!BG58</f>
        <v>1202.0916219255903</v>
      </c>
      <c r="AE55">
        <f>NISRE!BH58</f>
        <v>90186.976757479846</v>
      </c>
      <c r="AF55">
        <f>NISRE!BI58</f>
        <v>0.26181296734157433</v>
      </c>
      <c r="AG55">
        <f>NISRE!BJ58</f>
        <v>0.96504716533691837</v>
      </c>
    </row>
    <row r="56" spans="1:96" x14ac:dyDescent="0.25">
      <c r="B56">
        <v>3</v>
      </c>
      <c r="C56">
        <f t="shared" si="24"/>
        <v>0.10734339017194768</v>
      </c>
      <c r="D56">
        <f t="shared" si="25"/>
        <v>449.43536221616654</v>
      </c>
      <c r="E56">
        <f t="shared" si="16"/>
        <v>-103.36498660126682</v>
      </c>
      <c r="F56">
        <f t="shared" si="17"/>
        <v>-22.38936626562716</v>
      </c>
      <c r="G56">
        <f t="shared" si="18"/>
        <v>250.91442185629558</v>
      </c>
      <c r="H56">
        <f t="shared" si="19"/>
        <v>-552.80034881743336</v>
      </c>
      <c r="I56">
        <f t="shared" si="20"/>
        <v>-65.586844346751349</v>
      </c>
      <c r="J56">
        <f t="shared" si="21"/>
        <v>119.49331670879684</v>
      </c>
      <c r="K56">
        <f t="shared" si="22"/>
        <v>96.005004842820071</v>
      </c>
      <c r="L56">
        <f t="shared" si="26"/>
        <v>271.37127252264401</v>
      </c>
      <c r="M56">
        <f t="shared" si="27"/>
        <v>607.08012053447692</v>
      </c>
      <c r="N56">
        <f t="shared" si="28"/>
        <v>1204.8844959506223</v>
      </c>
      <c r="O56">
        <f t="shared" si="29"/>
        <v>1056.2771279070114</v>
      </c>
      <c r="P56">
        <f t="shared" si="23"/>
        <v>1085.9716309515916</v>
      </c>
      <c r="Q56">
        <f t="shared" si="30"/>
        <v>1085.120337539626</v>
      </c>
      <c r="R56">
        <f t="shared" si="31"/>
        <v>1055.4258344950458</v>
      </c>
      <c r="S56">
        <f t="shared" si="32"/>
        <v>1204.0332025386567</v>
      </c>
      <c r="U56">
        <f>NISRE!AX59</f>
        <v>4.8703327623303259E-4</v>
      </c>
      <c r="V56">
        <f>NISRE!AY59</f>
        <v>251.80889377193216</v>
      </c>
      <c r="W56">
        <f>NISRE!AZ59</f>
        <v>0.29873840313962319</v>
      </c>
      <c r="X56">
        <f>NISRE!BA59</f>
        <v>3.6632333850987353E-2</v>
      </c>
      <c r="Y56">
        <f>NISRE!BB59</f>
        <v>9.6804058693617101</v>
      </c>
      <c r="Z56">
        <f>NISRE!BC59</f>
        <v>391142.59146524937</v>
      </c>
      <c r="AA56">
        <f>NISRE!BD59</f>
        <v>0</v>
      </c>
      <c r="AB56">
        <f>NISRE!BE59</f>
        <v>1084.5624262377021</v>
      </c>
      <c r="AC56">
        <f>NISRE!BF59</f>
        <v>1054.8750012144546</v>
      </c>
      <c r="AD56">
        <f>NISRE!BG59</f>
        <v>1202.8468031241455</v>
      </c>
      <c r="AE56">
        <f>NISRE!BH59</f>
        <v>90176.14038107208</v>
      </c>
      <c r="AF56">
        <f>NISRE!BI59</f>
        <v>0.26911214115938059</v>
      </c>
      <c r="AG56">
        <f>NISRE!BJ59</f>
        <v>0.96703757994012263</v>
      </c>
    </row>
    <row r="57" spans="1:96" x14ac:dyDescent="0.25">
      <c r="B57">
        <v>4</v>
      </c>
      <c r="C57">
        <f t="shared" si="24"/>
        <v>0.10806308768646419</v>
      </c>
      <c r="D57">
        <f t="shared" si="25"/>
        <v>452.4486591933225</v>
      </c>
      <c r="E57">
        <f t="shared" si="16"/>
        <v>-101.35561839338965</v>
      </c>
      <c r="F57">
        <f t="shared" si="17"/>
        <v>-21.953246421164941</v>
      </c>
      <c r="G57">
        <f t="shared" si="18"/>
        <v>251.45452311078213</v>
      </c>
      <c r="H57">
        <f t="shared" si="19"/>
        <v>-553.80427758671215</v>
      </c>
      <c r="I57">
        <f t="shared" si="20"/>
        <v>-65.579602714513911</v>
      </c>
      <c r="J57">
        <f t="shared" si="21"/>
        <v>119.44247081575995</v>
      </c>
      <c r="K57">
        <f t="shared" si="22"/>
        <v>95.764336811032109</v>
      </c>
      <c r="L57">
        <f t="shared" si="26"/>
        <v>271.11314717803208</v>
      </c>
      <c r="M57">
        <f t="shared" si="27"/>
        <v>608.21752282075124</v>
      </c>
      <c r="N57">
        <f t="shared" si="28"/>
        <v>1205.4014314797209</v>
      </c>
      <c r="O57">
        <f t="shared" si="29"/>
        <v>1056.2366915336681</v>
      </c>
      <c r="P57">
        <f t="shared" si="23"/>
        <v>1085.8747312807557</v>
      </c>
      <c r="Q57">
        <f t="shared" si="30"/>
        <v>1085.120337539626</v>
      </c>
      <c r="R57">
        <f t="shared" si="31"/>
        <v>1055.4822977925385</v>
      </c>
      <c r="S57">
        <f t="shared" si="32"/>
        <v>1204.6470377385913</v>
      </c>
      <c r="U57">
        <f>NISRE!AX60</f>
        <v>4.9028774324698929E-4</v>
      </c>
      <c r="V57">
        <f>NISRE!AY60</f>
        <v>252.24647747525898</v>
      </c>
      <c r="W57">
        <f>NISRE!AZ60</f>
        <v>0.29866113696139979</v>
      </c>
      <c r="X57">
        <f>NISRE!BA60</f>
        <v>3.6931350262703055E-2</v>
      </c>
      <c r="Y57">
        <f>NISRE!BB60</f>
        <v>8.585580310804243</v>
      </c>
      <c r="Z57">
        <f>NISRE!BC60</f>
        <v>391054.27792541304</v>
      </c>
      <c r="AA57">
        <f>NISRE!BD60</f>
        <v>0</v>
      </c>
      <c r="AB57">
        <f>NISRE!BE60</f>
        <v>1084.6336468343443</v>
      </c>
      <c r="AC57">
        <f>NISRE!BF60</f>
        <v>1055.0009108665313</v>
      </c>
      <c r="AD57">
        <f>NISRE!BG60</f>
        <v>1203.6102213350141</v>
      </c>
      <c r="AE57">
        <f>NISRE!BH60</f>
        <v>90163.577700701819</v>
      </c>
      <c r="AF57">
        <f>NISRE!BI60</f>
        <v>0.27631664446359572</v>
      </c>
      <c r="AG57">
        <f>NISRE!BJ60</f>
        <v>0.96906065871371294</v>
      </c>
    </row>
    <row r="58" spans="1:96" x14ac:dyDescent="0.25">
      <c r="B58">
        <v>5</v>
      </c>
      <c r="C58">
        <f t="shared" si="24"/>
        <v>0.1087827852009807</v>
      </c>
      <c r="D58">
        <f t="shared" si="25"/>
        <v>455.46195617047846</v>
      </c>
      <c r="E58">
        <f t="shared" si="16"/>
        <v>-99.376328920149149</v>
      </c>
      <c r="F58">
        <f t="shared" si="17"/>
        <v>-21.523523500327517</v>
      </c>
      <c r="G58">
        <f t="shared" si="18"/>
        <v>251.97807795186452</v>
      </c>
      <c r="H58">
        <f t="shared" si="19"/>
        <v>-554.83828509062755</v>
      </c>
      <c r="I58">
        <f t="shared" si="20"/>
        <v>-65.574974156517939</v>
      </c>
      <c r="J58">
        <f t="shared" si="21"/>
        <v>119.39796793052396</v>
      </c>
      <c r="K58">
        <f t="shared" si="22"/>
        <v>95.534039346288537</v>
      </c>
      <c r="L58">
        <f t="shared" si="26"/>
        <v>270.86639975818628</v>
      </c>
      <c r="M58">
        <f t="shared" si="27"/>
        <v>609.3754789705805</v>
      </c>
      <c r="N58">
        <f t="shared" si="28"/>
        <v>1205.9242438682847</v>
      </c>
      <c r="O58">
        <f t="shared" si="29"/>
        <v>1056.1909880736782</v>
      </c>
      <c r="P58">
        <f t="shared" si="23"/>
        <v>1085.7751036051143</v>
      </c>
      <c r="Q58">
        <f t="shared" si="30"/>
        <v>1085.120337539626</v>
      </c>
      <c r="R58">
        <f t="shared" si="31"/>
        <v>1055.53622200819</v>
      </c>
      <c r="S58">
        <f t="shared" si="32"/>
        <v>1205.2694778027965</v>
      </c>
      <c r="U58">
        <f>NISRE!AX61</f>
        <v>4.9354221026094594E-4</v>
      </c>
      <c r="V58">
        <f>NISRE!AY61</f>
        <v>252.6713796819912</v>
      </c>
      <c r="W58">
        <f>NISRE!AZ61</f>
        <v>0.29857906743560675</v>
      </c>
      <c r="X58">
        <f>NISRE!BA61</f>
        <v>3.7228591153004954E-2</v>
      </c>
      <c r="Y58">
        <f>NISRE!BB61</f>
        <v>7.4704670319765851</v>
      </c>
      <c r="Z58">
        <f>NISRE!BC61</f>
        <v>390966.50362381036</v>
      </c>
      <c r="AA58">
        <f>NISRE!BD61</f>
        <v>0</v>
      </c>
      <c r="AB58">
        <f>NISRE!BE61</f>
        <v>1084.7044325614434</v>
      </c>
      <c r="AC58">
        <f>NISRE!BF61</f>
        <v>1055.1241309840364</v>
      </c>
      <c r="AD58">
        <f>NISRE!BG61</f>
        <v>1204.3818690727376</v>
      </c>
      <c r="AE58">
        <f>NISRE!BH61</f>
        <v>90149.329391986874</v>
      </c>
      <c r="AF58">
        <f>NISRE!BI61</f>
        <v>0.28342806402124104</v>
      </c>
      <c r="AG58">
        <f>NISRE!BJ61</f>
        <v>0.97111580108087414</v>
      </c>
    </row>
    <row r="59" spans="1:96" x14ac:dyDescent="0.25">
      <c r="B59">
        <v>6</v>
      </c>
      <c r="C59">
        <f t="shared" si="24"/>
        <v>0.1095024827154972</v>
      </c>
      <c r="D59">
        <f t="shared" si="25"/>
        <v>458.47525314763436</v>
      </c>
      <c r="E59">
        <f t="shared" si="16"/>
        <v>-97.426493029100868</v>
      </c>
      <c r="F59">
        <f t="shared" si="17"/>
        <v>-21.10007968264653</v>
      </c>
      <c r="G59">
        <f t="shared" si="18"/>
        <v>252.48561274538505</v>
      </c>
      <c r="H59">
        <f t="shared" si="19"/>
        <v>-555.90174617673529</v>
      </c>
      <c r="I59">
        <f t="shared" si="20"/>
        <v>-65.572875038259426</v>
      </c>
      <c r="J59">
        <f t="shared" si="21"/>
        <v>119.36012160055449</v>
      </c>
      <c r="K59">
        <f t="shared" si="22"/>
        <v>95.314148467399633</v>
      </c>
      <c r="L59">
        <f t="shared" si="26"/>
        <v>270.630571420455</v>
      </c>
      <c r="M59">
        <f t="shared" si="27"/>
        <v>610.55363076944843</v>
      </c>
      <c r="N59">
        <f t="shared" si="28"/>
        <v>1206.4529265233514</v>
      </c>
      <c r="O59">
        <f t="shared" si="29"/>
        <v>1056.1401297307079</v>
      </c>
      <c r="P59">
        <f t="shared" si="23"/>
        <v>1085.6727531933539</v>
      </c>
      <c r="Q59">
        <f t="shared" si="30"/>
        <v>1085.120337539626</v>
      </c>
      <c r="R59">
        <f t="shared" si="31"/>
        <v>1055.5877140769801</v>
      </c>
      <c r="S59">
        <f t="shared" si="32"/>
        <v>1205.9005108696235</v>
      </c>
      <c r="U59">
        <f>NISRE!AX62</f>
        <v>4.9679667727491354E-4</v>
      </c>
      <c r="V59">
        <f>NISRE!AY62</f>
        <v>253.08399859620027</v>
      </c>
      <c r="W59">
        <f>NISRE!AZ62</f>
        <v>0.29849229804964078</v>
      </c>
      <c r="X59">
        <f>NISRE!BA62</f>
        <v>3.7524077566158762E-2</v>
      </c>
      <c r="Y59">
        <f>NISRE!BB62</f>
        <v>6.3345102699780238</v>
      </c>
      <c r="Z59">
        <f>NISRE!BC62</f>
        <v>390879.26123124873</v>
      </c>
      <c r="AA59">
        <f>NISRE!BD62</f>
        <v>0</v>
      </c>
      <c r="AB59">
        <f>NISRE!BE62</f>
        <v>1084.7747893296382</v>
      </c>
      <c r="AC59">
        <f>NISRE!BF62</f>
        <v>1055.2447583861137</v>
      </c>
      <c r="AD59">
        <f>NISRE!BG62</f>
        <v>1205.1617389534247</v>
      </c>
      <c r="AE59">
        <f>NISRE!BH62</f>
        <v>90133.434655391844</v>
      </c>
      <c r="AF59">
        <f>NISRE!BI62</f>
        <v>0.2904479582776136</v>
      </c>
      <c r="AG59">
        <f>NISRE!BJ62</f>
        <v>0.97320242402672374</v>
      </c>
    </row>
    <row r="60" spans="1:96" x14ac:dyDescent="0.25">
      <c r="B60">
        <v>7</v>
      </c>
      <c r="C60">
        <f t="shared" si="24"/>
        <v>0.11022218023001372</v>
      </c>
      <c r="D60">
        <f t="shared" si="25"/>
        <v>461.48855012479038</v>
      </c>
      <c r="E60">
        <f t="shared" si="16"/>
        <v>-95.505502397661246</v>
      </c>
      <c r="F60">
        <f t="shared" si="17"/>
        <v>-20.682799488460137</v>
      </c>
      <c r="G60">
        <f t="shared" si="18"/>
        <v>252.97763292788167</v>
      </c>
      <c r="H60">
        <f t="shared" si="19"/>
        <v>-556.99405252245163</v>
      </c>
      <c r="I60">
        <f t="shared" si="20"/>
        <v>-65.573224291646213</v>
      </c>
      <c r="J60">
        <f t="shared" si="21"/>
        <v>119.32929279015734</v>
      </c>
      <c r="K60">
        <f t="shared" si="22"/>
        <v>95.104713923009115</v>
      </c>
      <c r="L60">
        <f t="shared" si="26"/>
        <v>270.40522138084486</v>
      </c>
      <c r="M60">
        <f t="shared" si="27"/>
        <v>611.7516304082709</v>
      </c>
      <c r="N60">
        <f t="shared" si="28"/>
        <v>1206.9874729373983</v>
      </c>
      <c r="O60">
        <f t="shared" si="29"/>
        <v>1056.0842240232137</v>
      </c>
      <c r="P60">
        <f t="shared" si="23"/>
        <v>1085.5676852127394</v>
      </c>
      <c r="Q60">
        <f t="shared" si="30"/>
        <v>1085.120337539626</v>
      </c>
      <c r="R60">
        <f t="shared" si="31"/>
        <v>1055.6368763501002</v>
      </c>
      <c r="S60">
        <f t="shared" si="32"/>
        <v>1206.5401252642848</v>
      </c>
      <c r="U60">
        <f>NISRE!AX63</f>
        <v>5.0005114428887572E-4</v>
      </c>
      <c r="V60">
        <f>NISRE!AY63</f>
        <v>253.4847170417417</v>
      </c>
      <c r="W60">
        <f>NISRE!AZ63</f>
        <v>0.29840092866082624</v>
      </c>
      <c r="X60">
        <f>NISRE!BA63</f>
        <v>3.7817829834617442E-2</v>
      </c>
      <c r="Y60">
        <f>NISRE!BB63</f>
        <v>5.177121009536962</v>
      </c>
      <c r="Z60">
        <f>NISRE!BC63</f>
        <v>390792.54356540123</v>
      </c>
      <c r="AA60">
        <f>NISRE!BD63</f>
        <v>0</v>
      </c>
      <c r="AB60">
        <f>NISRE!BE63</f>
        <v>1084.844722931128</v>
      </c>
      <c r="AC60">
        <f>NISRE!BF63</f>
        <v>1055.3628859272269</v>
      </c>
      <c r="AD60">
        <f>NISRE!BG63</f>
        <v>1205.9498236928339</v>
      </c>
      <c r="AE60">
        <f>NISRE!BH63</f>
        <v>90115.931282589052</v>
      </c>
      <c r="AF60">
        <f>NISRE!BI63</f>
        <v>0.29737785768288577</v>
      </c>
      <c r="AG60">
        <f>NISRE!BJ63</f>
        <v>0.97531996137865862</v>
      </c>
    </row>
    <row r="61" spans="1:96" x14ac:dyDescent="0.25">
      <c r="B61">
        <v>8</v>
      </c>
      <c r="C61">
        <f t="shared" si="24"/>
        <v>0.11094187774453024</v>
      </c>
      <c r="D61">
        <f t="shared" si="25"/>
        <v>464.5018471019464</v>
      </c>
      <c r="E61">
        <f t="shared" si="16"/>
        <v>-93.612764976159099</v>
      </c>
      <c r="F61">
        <f t="shared" si="17"/>
        <v>-20.27156973015828</v>
      </c>
      <c r="G61">
        <f t="shared" si="18"/>
        <v>253.45462404150456</v>
      </c>
      <c r="H61">
        <f t="shared" si="19"/>
        <v>-558.11461207810544</v>
      </c>
      <c r="I61">
        <f t="shared" si="20"/>
        <v>-65.575943321461665</v>
      </c>
      <c r="J61">
        <f t="shared" si="21"/>
        <v>119.30589586841953</v>
      </c>
      <c r="K61">
        <f t="shared" si="22"/>
        <v>94.90580035028205</v>
      </c>
      <c r="L61">
        <f t="shared" si="26"/>
        <v>270.18992618989705</v>
      </c>
      <c r="M61">
        <f t="shared" si="27"/>
        <v>612.96914005773124</v>
      </c>
      <c r="N61">
        <f t="shared" si="28"/>
        <v>1207.5278766867814</v>
      </c>
      <c r="O61">
        <f t="shared" si="29"/>
        <v>1056.0233740000417</v>
      </c>
      <c r="P61">
        <f t="shared" si="23"/>
        <v>1085.4599047316958</v>
      </c>
      <c r="Q61">
        <f t="shared" si="30"/>
        <v>1085.120337539626</v>
      </c>
      <c r="R61">
        <f t="shared" si="31"/>
        <v>1055.6838068079719</v>
      </c>
      <c r="S61">
        <f t="shared" si="32"/>
        <v>1207.1883094947116</v>
      </c>
      <c r="U61">
        <f>NISRE!AX64</f>
        <v>5.0330561130282694E-4</v>
      </c>
      <c r="V61">
        <f>NISRE!AY64</f>
        <v>253.8739031893457</v>
      </c>
      <c r="W61">
        <f>NISRE!AZ64</f>
        <v>0.2983050556610426</v>
      </c>
      <c r="X61">
        <f>NISRE!BA64</f>
        <v>3.8109867610399827E-2</v>
      </c>
      <c r="Y61">
        <f>NISRE!BB64</f>
        <v>3.9976734771173401</v>
      </c>
      <c r="Z61">
        <f>NISRE!BC64</f>
        <v>390706.34358695918</v>
      </c>
      <c r="AA61">
        <f>NISRE!BD64</f>
        <v>0</v>
      </c>
      <c r="AB61">
        <f>NISRE!BE64</f>
        <v>1084.9142390427749</v>
      </c>
      <c r="AC61">
        <f>NISRE!BF64</f>
        <v>1055.4786026784534</v>
      </c>
      <c r="AD61">
        <f>NISRE!BG64</f>
        <v>1206.7461161044994</v>
      </c>
      <c r="AE61">
        <f>NISRE!BH64</f>
        <v>90096.855719557876</v>
      </c>
      <c r="AF61">
        <f>NISRE!BI64</f>
        <v>0.30421926503417052</v>
      </c>
      <c r="AG61">
        <f>NISRE!BJ64</f>
        <v>0.9774678631220588</v>
      </c>
    </row>
    <row r="62" spans="1:96" x14ac:dyDescent="0.25">
      <c r="B62">
        <v>9</v>
      </c>
      <c r="C62">
        <f t="shared" si="24"/>
        <v>0.11166157525904674</v>
      </c>
      <c r="D62">
        <f t="shared" si="25"/>
        <v>467.5151440791023</v>
      </c>
      <c r="E62">
        <f t="shared" si="16"/>
        <v>-91.747704452736286</v>
      </c>
      <c r="F62">
        <f t="shared" si="17"/>
        <v>-19.866279465359906</v>
      </c>
      <c r="G62">
        <f t="shared" si="18"/>
        <v>253.91705270667217</v>
      </c>
      <c r="H62">
        <f t="shared" si="19"/>
        <v>-559.26284853183859</v>
      </c>
      <c r="I62">
        <f t="shared" si="20"/>
        <v>-65.58095591642298</v>
      </c>
      <c r="J62">
        <f t="shared" si="21"/>
        <v>119.29040560482679</v>
      </c>
      <c r="K62">
        <f t="shared" si="22"/>
        <v>94.717488607096371</v>
      </c>
      <c r="L62">
        <f t="shared" si="26"/>
        <v>269.98427903785358</v>
      </c>
      <c r="M62">
        <f t="shared" si="27"/>
        <v>614.20583146302772</v>
      </c>
      <c r="N62">
        <f t="shared" si="28"/>
        <v>1208.074131430212</v>
      </c>
      <c r="O62">
        <f t="shared" si="29"/>
        <v>1055.9576784450551</v>
      </c>
      <c r="P62">
        <f t="shared" si="23"/>
        <v>1085.3494167223089</v>
      </c>
      <c r="Q62">
        <f t="shared" si="30"/>
        <v>1085.120337539626</v>
      </c>
      <c r="R62">
        <f t="shared" si="31"/>
        <v>1055.7285992623722</v>
      </c>
      <c r="S62">
        <f t="shared" si="32"/>
        <v>1207.8450522475291</v>
      </c>
      <c r="U62">
        <f>NISRE!AX65</f>
        <v>5.0656007831678912E-4</v>
      </c>
      <c r="V62">
        <f>NISRE!AY65</f>
        <v>254.25191124241502</v>
      </c>
      <c r="W62">
        <f>NISRE!AZ65</f>
        <v>0.2982047721331656</v>
      </c>
      <c r="X62">
        <f>NISRE!BA65</f>
        <v>3.8400209894828334E-2</v>
      </c>
      <c r="Y62">
        <f>NISRE!BB65</f>
        <v>2.7955012927122982</v>
      </c>
      <c r="Z62">
        <f>NISRE!BC65</f>
        <v>390620.65439590701</v>
      </c>
      <c r="AA62">
        <f>NISRE!BD65</f>
        <v>0</v>
      </c>
      <c r="AB62">
        <f>NISRE!BE65</f>
        <v>1084.9833432291073</v>
      </c>
      <c r="AC62">
        <f>NISRE!BF65</f>
        <v>1055.591994099563</v>
      </c>
      <c r="AD62">
        <f>NISRE!BG65</f>
        <v>1207.5506090979043</v>
      </c>
      <c r="AE62">
        <f>NISRE!BH65</f>
        <v>90076.243126593938</v>
      </c>
      <c r="AF62">
        <f>NISRE!BI65</f>
        <v>0.31097365583093883</v>
      </c>
      <c r="AG62">
        <f>NISRE!BJ65</f>
        <v>0.97964559474941981</v>
      </c>
    </row>
    <row r="63" spans="1:96" x14ac:dyDescent="0.25">
      <c r="B63">
        <v>10</v>
      </c>
      <c r="C63">
        <f t="shared" si="24"/>
        <v>0.11238127277356325</v>
      </c>
      <c r="D63">
        <f t="shared" si="25"/>
        <v>470.52844105625826</v>
      </c>
      <c r="E63">
        <f t="shared" si="16"/>
        <v>-89.909759739111109</v>
      </c>
      <c r="F63">
        <f t="shared" si="17"/>
        <v>-19.466819951797405</v>
      </c>
      <c r="G63">
        <f>SQRT($G$64^2+2*(-$B$18*(1+$B$20)*(+$B$19*((C63^($B$20-1)-$C$64^($B$20-1))/($B$20-1))+$B$18*((C63^(2*$B$20)-$C$64^(2*$B$20))/(2*$B$20)))))</f>
        <v>254.36536753691558</v>
      </c>
      <c r="H63">
        <f t="shared" si="19"/>
        <v>-560.43820079536931</v>
      </c>
      <c r="I63">
        <f t="shared" si="20"/>
        <v>-65.588188164526159</v>
      </c>
      <c r="J63">
        <f t="shared" si="21"/>
        <v>119.28336537078057</v>
      </c>
      <c r="K63">
        <f t="shared" si="22"/>
        <v>94.539877308338561</v>
      </c>
      <c r="L63">
        <f t="shared" si="26"/>
        <v>269.78788908795525</v>
      </c>
      <c r="M63">
        <f t="shared" si="27"/>
        <v>615.46138555797381</v>
      </c>
      <c r="N63">
        <f t="shared" si="28"/>
        <v>1208.6262309072697</v>
      </c>
      <c r="O63">
        <f t="shared" si="29"/>
        <v>1055.8872320714065</v>
      </c>
      <c r="P63">
        <f t="shared" si="23"/>
        <v>1085.2362260627513</v>
      </c>
      <c r="Q63">
        <f t="shared" si="30"/>
        <v>1085.120337539626</v>
      </c>
      <c r="R63">
        <f t="shared" si="31"/>
        <v>1055.7713435482813</v>
      </c>
      <c r="S63">
        <f t="shared" si="32"/>
        <v>1208.5103423841445</v>
      </c>
      <c r="U63">
        <f>NISRE!AX66</f>
        <v>5.0981454533075129E-4</v>
      </c>
      <c r="V63">
        <f>NISRE!AY66</f>
        <v>254.619082084296</v>
      </c>
      <c r="W63">
        <f>NISRE!AZ66</f>
        <v>0.29810016799976791</v>
      </c>
      <c r="X63">
        <f>NISRE!BA66</f>
        <v>3.8688875066727788E-2</v>
      </c>
      <c r="Y63">
        <f>NISRE!BB66</f>
        <v>1.5698932224263056</v>
      </c>
      <c r="Z63">
        <f>NISRE!BC66</f>
        <v>390535.46922791807</v>
      </c>
      <c r="AA63">
        <f>NISRE!BD66</f>
        <v>0</v>
      </c>
      <c r="AB63">
        <f>NISRE!BE66</f>
        <v>1085.0520409452274</v>
      </c>
      <c r="AC63">
        <f>NISRE!BF66</f>
        <v>1055.7031422023954</v>
      </c>
      <c r="AD63">
        <f>NISRE!BG66</f>
        <v>1208.3632956766967</v>
      </c>
      <c r="AE63">
        <f>NISRE!BH66</f>
        <v>90054.127435393151</v>
      </c>
      <c r="AF63">
        <f>NISRE!BI66</f>
        <v>0.31764247864186834</v>
      </c>
      <c r="AG63">
        <f>NISRE!BJ66</f>
        <v>0.98185263664111344</v>
      </c>
    </row>
    <row r="64" spans="1:96" s="132" customFormat="1" x14ac:dyDescent="0.25">
      <c r="B64" s="132">
        <v>11</v>
      </c>
      <c r="C64" s="132">
        <f t="shared" si="24"/>
        <v>0.11310097028807976</v>
      </c>
      <c r="D64" s="132">
        <f t="shared" si="25"/>
        <v>473.54173803341422</v>
      </c>
      <c r="E64" s="132">
        <f>$B$18*C64^$B$20+$B$19/C64</f>
        <v>-88.098384476262993</v>
      </c>
      <c r="F64" s="132">
        <f>DEGREES(ATAN(E64/G64))</f>
        <v>-19.07308460371328</v>
      </c>
      <c r="G64" s="132">
        <f>T54</f>
        <v>254.8</v>
      </c>
      <c r="H64" s="132">
        <f>E64-D64</f>
        <v>-561.64012250967721</v>
      </c>
      <c r="I64" s="132">
        <f>DEGREES(ATAN(H64/G64))</f>
        <v>-65.597568372395116</v>
      </c>
      <c r="J64" s="132">
        <f t="shared" si="21"/>
        <v>119.28539679174963</v>
      </c>
      <c r="K64" s="132">
        <f t="shared" si="22"/>
        <v>94.373084603713281</v>
      </c>
      <c r="L64" s="132">
        <f t="shared" si="26"/>
        <v>269.60038083676267</v>
      </c>
      <c r="M64" s="132">
        <f t="shared" si="27"/>
        <v>616.73549209745113</v>
      </c>
      <c r="N64" s="132">
        <f t="shared" si="28"/>
        <v>1209.1841689369476</v>
      </c>
      <c r="O64" s="132">
        <f t="shared" si="29"/>
        <v>1055.8121257060261</v>
      </c>
      <c r="P64" s="132">
        <f t="shared" si="23"/>
        <v>1085.1203375396258</v>
      </c>
      <c r="Q64" s="132">
        <f t="shared" si="30"/>
        <v>1085.120337539626</v>
      </c>
      <c r="R64" s="132">
        <f t="shared" si="31"/>
        <v>1055.8121257060263</v>
      </c>
      <c r="S64" s="132">
        <f t="shared" si="32"/>
        <v>1209.1841689369478</v>
      </c>
      <c r="U64">
        <f>NISRE!AX67</f>
        <v>5.1306901234471889E-4</v>
      </c>
      <c r="V64">
        <f>NISRE!AY67</f>
        <v>254.97574388956929</v>
      </c>
      <c r="W64">
        <f>NISRE!AZ67</f>
        <v>0.29799133016449375</v>
      </c>
      <c r="X64">
        <f>NISRE!BA67</f>
        <v>3.897588090919691E-2</v>
      </c>
      <c r="Y64">
        <f>NISRE!BB67</f>
        <v>0.32008846547291187</v>
      </c>
      <c r="Z64">
        <f>NISRE!BC67</f>
        <v>390450.78145086387</v>
      </c>
      <c r="AA64">
        <f>NISRE!BD67</f>
        <v>0</v>
      </c>
      <c r="AB64">
        <f>NISRE!BE67</f>
        <v>1085.1203375396258</v>
      </c>
      <c r="AC64">
        <f>NISRE!BF67</f>
        <v>1055.8121257060261</v>
      </c>
      <c r="AD64">
        <f>NISRE!BG67</f>
        <v>1209.1841689369476</v>
      </c>
      <c r="AE64">
        <f>NISRE!BH67</f>
        <v>90030.541403364492</v>
      </c>
      <c r="AF64">
        <f>NISRE!BI67</f>
        <v>0.32422715548135672</v>
      </c>
      <c r="AG64">
        <f>NISRE!BJ67</f>
        <v>0.98408848347605837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</row>
    <row r="65" spans="1:33" x14ac:dyDescent="0.25">
      <c r="B65">
        <v>12</v>
      </c>
      <c r="C65">
        <f t="shared" si="24"/>
        <v>0.11382066780259628</v>
      </c>
      <c r="D65">
        <f t="shared" si="25"/>
        <v>476.55503501057024</v>
      </c>
      <c r="E65">
        <f t="shared" ref="E65:E74" si="33">$B$18*C65^$B$20+$B$19/C65</f>
        <v>-86.313046559147267</v>
      </c>
      <c r="F65">
        <f t="shared" ref="F65:F74" si="34">DEGREES(ATAN(E65/G65))</f>
        <v>-18.684968949602116</v>
      </c>
      <c r="G65">
        <f>SQRT($G$64^2+2*(-$B$18*(1+$B$20)*(+$B$19*((C65^($B$20-1)-$C$64^($B$20-1))/($B$20-1))+$B$18*((C65^(2*$B$20)-$C$64^(2*$B$20))/(2*$B$20)))))</f>
        <v>255.22136522906951</v>
      </c>
      <c r="H65">
        <f t="shared" ref="H65:H74" si="35">E65-D65</f>
        <v>-562.86808156971756</v>
      </c>
      <c r="I65">
        <f t="shared" ref="I65:I74" si="36">DEGREES(ATAN(H65/G65))</f>
        <v>-65.609026988376144</v>
      </c>
      <c r="J65">
        <f t="shared" si="21"/>
        <v>119.2972111540126</v>
      </c>
      <c r="K65">
        <f t="shared" si="22"/>
        <v>94.217250243061386</v>
      </c>
      <c r="L65">
        <f t="shared" si="26"/>
        <v>269.4213935004264</v>
      </c>
      <c r="M65">
        <f t="shared" si="27"/>
        <v>618.02784930726568</v>
      </c>
      <c r="N65">
        <f t="shared" si="28"/>
        <v>1209.7479394162344</v>
      </c>
      <c r="O65">
        <f t="shared" si="29"/>
        <v>1055.7324464648777</v>
      </c>
      <c r="P65">
        <f t="shared" si="23"/>
        <v>1085.0017558502452</v>
      </c>
      <c r="Q65">
        <f t="shared" si="30"/>
        <v>1085.120337539626</v>
      </c>
      <c r="R65">
        <f t="shared" si="31"/>
        <v>1055.8510281542585</v>
      </c>
      <c r="S65">
        <f t="shared" si="32"/>
        <v>1209.866521105615</v>
      </c>
      <c r="U65">
        <f>NISRE!AX68</f>
        <v>5.163234793586647E-4</v>
      </c>
      <c r="V65">
        <f>NISRE!AY68</f>
        <v>255.32221270171686</v>
      </c>
      <c r="W65">
        <f>NISRE!AZ68</f>
        <v>0.29787834264649732</v>
      </c>
      <c r="X65">
        <f>NISRE!BA68</f>
        <v>3.9261244635027205E-2</v>
      </c>
      <c r="Y65">
        <f>NISRE!BB68</f>
        <v>0.95472860235270796</v>
      </c>
      <c r="Z65">
        <f>NISRE!BC68</f>
        <v>390366.58456143498</v>
      </c>
      <c r="AA65">
        <f>NISRE!BD68</f>
        <v>0</v>
      </c>
      <c r="AB65">
        <f>NISRE!BE68</f>
        <v>1085.1882382569072</v>
      </c>
      <c r="AC65">
        <f>NISRE!BF68</f>
        <v>1055.9190201841734</v>
      </c>
      <c r="AD65">
        <f>NISRE!BG68</f>
        <v>1210.0132220654509</v>
      </c>
      <c r="AE65">
        <f>NISRE!BH68</f>
        <v>90005.516665316522</v>
      </c>
      <c r="AF65">
        <f>NISRE!BI68</f>
        <v>0.33072908219410196</v>
      </c>
      <c r="AG65">
        <f>NISRE!BJ68</f>
        <v>0.9863526436707053</v>
      </c>
    </row>
    <row r="66" spans="1:33" x14ac:dyDescent="0.25">
      <c r="B66">
        <v>13</v>
      </c>
      <c r="C66">
        <f t="shared" si="24"/>
        <v>0.11454036531711279</v>
      </c>
      <c r="D66">
        <f t="shared" si="25"/>
        <v>479.56833198772614</v>
      </c>
      <c r="E66">
        <f t="shared" si="33"/>
        <v>-84.553227679593931</v>
      </c>
      <c r="F66">
        <f t="shared" si="34"/>
        <v>-18.302370591154773</v>
      </c>
      <c r="G66">
        <f t="shared" ref="G66:G74" si="37">SQRT($G$64^2+2*(-$B$18*(1+$B$20)*(+$B$19*((C66^($B$20-1)-$C$64^($B$20-1))/($B$20-1))+$B$18*((C66^(2*$B$20)-$C$64^(2*$B$20))/(2*$B$20)))))</f>
        <v>255.62986278725933</v>
      </c>
      <c r="H66">
        <f t="shared" si="35"/>
        <v>-564.12155966732007</v>
      </c>
      <c r="I66">
        <f t="shared" si="36"/>
        <v>-65.622496529140491</v>
      </c>
      <c r="J66">
        <f t="shared" si="21"/>
        <v>119.31962294590826</v>
      </c>
      <c r="K66">
        <f t="shared" si="22"/>
        <v>94.072537986098183</v>
      </c>
      <c r="L66">
        <f t="shared" si="26"/>
        <v>269.25058042587443</v>
      </c>
      <c r="M66">
        <f t="shared" si="27"/>
        <v>619.33816355051363</v>
      </c>
      <c r="N66">
        <f t="shared" si="28"/>
        <v>1210.3175363187258</v>
      </c>
      <c r="O66">
        <f t="shared" si="29"/>
        <v>1055.6482779194828</v>
      </c>
      <c r="P66">
        <f t="shared" si="23"/>
        <v>1084.8804856048337</v>
      </c>
      <c r="Q66">
        <f t="shared" si="30"/>
        <v>1085.120337539626</v>
      </c>
      <c r="R66">
        <f t="shared" si="31"/>
        <v>1055.8881298542751</v>
      </c>
      <c r="S66">
        <f t="shared" si="32"/>
        <v>1210.5573882535182</v>
      </c>
      <c r="U66">
        <f>NISRE!AX69</f>
        <v>5.1957794637262677E-4</v>
      </c>
      <c r="V66">
        <f>NISRE!AY69</f>
        <v>255.65879297933947</v>
      </c>
      <c r="W66">
        <f>NISRE!AZ69</f>
        <v>0.29776128670831692</v>
      </c>
      <c r="X66">
        <f>NISRE!BA69</f>
        <v>3.9544982910870614E-2</v>
      </c>
      <c r="Y66">
        <f>NISRE!BB69</f>
        <v>2.255434320784556</v>
      </c>
      <c r="Z66">
        <f>NISRE!BC69</f>
        <v>390282.87218186725</v>
      </c>
      <c r="AA66">
        <f>NISRE!BD69</f>
        <v>0</v>
      </c>
      <c r="AB66">
        <f>NISRE!BE69</f>
        <v>1085.2557482404295</v>
      </c>
      <c r="AC66">
        <f>NISRE!BF69</f>
        <v>1056.0238982052772</v>
      </c>
      <c r="AD66">
        <f>NISRE!BG69</f>
        <v>1210.8504483380627</v>
      </c>
      <c r="AE66">
        <f>NISRE!BH69</f>
        <v>89979.083782656162</v>
      </c>
      <c r="AF66">
        <f>NISRE!BI69</f>
        <v>0.33714962884628896</v>
      </c>
      <c r="AG66">
        <f>NISRE!BJ69</f>
        <v>0.98864463884481679</v>
      </c>
    </row>
    <row r="67" spans="1:33" x14ac:dyDescent="0.25">
      <c r="B67">
        <v>14</v>
      </c>
      <c r="C67">
        <f t="shared" si="24"/>
        <v>0.11526006283162929</v>
      </c>
      <c r="D67">
        <f t="shared" si="25"/>
        <v>482.5816289648821</v>
      </c>
      <c r="E67">
        <f t="shared" si="33"/>
        <v>-82.818422886586006</v>
      </c>
      <c r="F67">
        <f t="shared" si="34"/>
        <v>-17.925189163282152</v>
      </c>
      <c r="G67">
        <f t="shared" si="37"/>
        <v>256.02587738894346</v>
      </c>
      <c r="H67">
        <f t="shared" si="35"/>
        <v>-565.40005185146811</v>
      </c>
      <c r="I67">
        <f t="shared" si="36"/>
        <v>-65.637911509576554</v>
      </c>
      <c r="J67">
        <f t="shared" si="21"/>
        <v>119.35356601167912</v>
      </c>
      <c r="K67">
        <f t="shared" si="22"/>
        <v>93.939138427472088</v>
      </c>
      <c r="L67">
        <f t="shared" si="26"/>
        <v>269.08760852592172</v>
      </c>
      <c r="M67">
        <f t="shared" si="27"/>
        <v>620.66614900961133</v>
      </c>
      <c r="N67">
        <f t="shared" si="28"/>
        <v>1210.8929536932712</v>
      </c>
      <c r="O67">
        <f t="shared" si="29"/>
        <v>1055.5597002551983</v>
      </c>
      <c r="P67">
        <f t="shared" si="23"/>
        <v>1084.7565313286659</v>
      </c>
      <c r="Q67">
        <f t="shared" si="30"/>
        <v>1085.120337539626</v>
      </c>
      <c r="R67">
        <f t="shared" si="31"/>
        <v>1055.9235064661584</v>
      </c>
      <c r="S67">
        <f t="shared" si="32"/>
        <v>1211.2567599042313</v>
      </c>
      <c r="U67">
        <f>NISRE!AX70</f>
        <v>5.2283241338659436E-4</v>
      </c>
      <c r="V67">
        <f>NISRE!AY70</f>
        <v>255.98577811293808</v>
      </c>
      <c r="W67">
        <f>NISRE!AZ70</f>
        <v>0.29764024097752489</v>
      </c>
      <c r="X67">
        <f>NISRE!BA70</f>
        <v>3.9827111880206156E-2</v>
      </c>
      <c r="Y67">
        <f>NISRE!BB70</f>
        <v>3.5829723821384127</v>
      </c>
      <c r="Z67">
        <f>NISRE!BC70</f>
        <v>390199.63805677078</v>
      </c>
      <c r="AA67">
        <f>NISRE!BD70</f>
        <v>0</v>
      </c>
      <c r="AB67">
        <f>NISRE!BE70</f>
        <v>1085.3228725348622</v>
      </c>
      <c r="AC67">
        <f>NISRE!BF70</f>
        <v>1056.1268294656511</v>
      </c>
      <c r="AD67">
        <f>NISRE!BG70</f>
        <v>1211.6958411180813</v>
      </c>
      <c r="AE67">
        <f>NISRE!BH70</f>
        <v>89951.272290226683</v>
      </c>
      <c r="AF67">
        <f>NISRE!BI70</f>
        <v>0.3434901401220421</v>
      </c>
      <c r="AG67">
        <f>NISRE!BJ70</f>
        <v>0.99096400331262302</v>
      </c>
    </row>
    <row r="68" spans="1:33" x14ac:dyDescent="0.25">
      <c r="B68">
        <v>15</v>
      </c>
      <c r="C68">
        <f t="shared" si="24"/>
        <v>0.11597976034614581</v>
      </c>
      <c r="D68">
        <f t="shared" si="25"/>
        <v>485.59492594203806</v>
      </c>
      <c r="E68">
        <f t="shared" si="33"/>
        <v>-81.108140163155156</v>
      </c>
      <c r="F68">
        <f t="shared" si="34"/>
        <v>-17.553326295114221</v>
      </c>
      <c r="G68">
        <f t="shared" si="37"/>
        <v>256.4097795805352</v>
      </c>
      <c r="H68">
        <f t="shared" si="35"/>
        <v>-566.70306610519322</v>
      </c>
      <c r="I68">
        <f t="shared" si="36"/>
        <v>-65.655208375770727</v>
      </c>
      <c r="J68">
        <f t="shared" si="21"/>
        <v>119.40011292391628</v>
      </c>
      <c r="K68">
        <f t="shared" si="22"/>
        <v>93.817272326139019</v>
      </c>
      <c r="L68">
        <f t="shared" si="26"/>
        <v>268.93215773734585</v>
      </c>
      <c r="M68">
        <f t="shared" si="27"/>
        <v>622.01152738318729</v>
      </c>
      <c r="N68">
        <f t="shared" si="28"/>
        <v>1211.4741856626467</v>
      </c>
      <c r="O68">
        <f t="shared" si="29"/>
        <v>1055.4667904216928</v>
      </c>
      <c r="P68">
        <f t="shared" si="23"/>
        <v>1084.6298974641384</v>
      </c>
      <c r="Q68">
        <f t="shared" si="30"/>
        <v>1085.120337539626</v>
      </c>
      <c r="R68">
        <f t="shared" si="31"/>
        <v>1055.9572304971805</v>
      </c>
      <c r="S68">
        <f t="shared" si="32"/>
        <v>1211.9646257381344</v>
      </c>
      <c r="U68">
        <f>NISRE!AX71</f>
        <v>5.2608688040055654E-4</v>
      </c>
      <c r="V68">
        <f>NISRE!AY71</f>
        <v>256.30345091412426</v>
      </c>
      <c r="W68">
        <f>NISRE!AZ71</f>
        <v>0.29751528156249429</v>
      </c>
      <c r="X68">
        <f>NISRE!BA71</f>
        <v>4.010764718520525E-2</v>
      </c>
      <c r="Y68">
        <f>NISRE!BB71</f>
        <v>4.9383613443405538</v>
      </c>
      <c r="Z68">
        <f>NISRE!BC71</f>
        <v>390116.87605005759</v>
      </c>
      <c r="AA68">
        <f>NISRE!BD71</f>
        <v>0</v>
      </c>
      <c r="AB68">
        <f>NISRE!BE71</f>
        <v>1085.3896160886632</v>
      </c>
      <c r="AC68">
        <f>NISRE!BF71</f>
        <v>1056.227880916085</v>
      </c>
      <c r="AD68">
        <f>NISRE!BG71</f>
        <v>1212.5493938546617</v>
      </c>
      <c r="AE68">
        <f>NISRE!BH71</f>
        <v>89922.110740911507</v>
      </c>
      <c r="AF68">
        <f>NISRE!BI71</f>
        <v>0.34975193572394742</v>
      </c>
      <c r="AG68">
        <f>NISRE!BJ71</f>
        <v>0.99331028359800366</v>
      </c>
    </row>
    <row r="69" spans="1:33" x14ac:dyDescent="0.25">
      <c r="B69">
        <v>16</v>
      </c>
      <c r="C69">
        <f t="shared" si="24"/>
        <v>0.11669945786066233</v>
      </c>
      <c r="D69">
        <f t="shared" si="25"/>
        <v>488.60822291919408</v>
      </c>
      <c r="E69">
        <f t="shared" si="33"/>
        <v>-79.421900019167595</v>
      </c>
      <c r="F69">
        <f t="shared" si="34"/>
        <v>-17.186685571885185</v>
      </c>
      <c r="G69">
        <f t="shared" si="37"/>
        <v>256.78192638352817</v>
      </c>
      <c r="H69">
        <f t="shared" si="35"/>
        <v>-568.03012293836173</v>
      </c>
      <c r="I69">
        <f t="shared" si="36"/>
        <v>-65.674325440892005</v>
      </c>
      <c r="J69">
        <f t="shared" si="21"/>
        <v>119.46049834877348</v>
      </c>
      <c r="K69">
        <f t="shared" si="22"/>
        <v>93.7071945516673</v>
      </c>
      <c r="L69">
        <f t="shared" si="26"/>
        <v>268.78392050100456</v>
      </c>
      <c r="M69">
        <f t="shared" si="27"/>
        <v>623.37402759708073</v>
      </c>
      <c r="N69">
        <f t="shared" si="28"/>
        <v>1212.0612264222639</v>
      </c>
      <c r="O69">
        <f t="shared" si="29"/>
        <v>1055.3696222760518</v>
      </c>
      <c r="P69">
        <f t="shared" si="23"/>
        <v>1084.5005883727817</v>
      </c>
      <c r="Q69">
        <f t="shared" si="30"/>
        <v>1085.120337539626</v>
      </c>
      <c r="R69">
        <f t="shared" si="31"/>
        <v>1055.9893714428961</v>
      </c>
      <c r="S69">
        <f t="shared" si="32"/>
        <v>1212.6809755891081</v>
      </c>
      <c r="U69">
        <f>NISRE!AX72</f>
        <v>5.2934134741450234E-4</v>
      </c>
      <c r="V69">
        <f>NISRE!AY72</f>
        <v>256.6120840789859</v>
      </c>
      <c r="W69">
        <f>NISRE!AZ72</f>
        <v>0.29738648216257557</v>
      </c>
      <c r="X69">
        <f>NISRE!BA72</f>
        <v>4.0386603987545386E-2</v>
      </c>
      <c r="Y69">
        <f>NISRE!BB72</f>
        <v>6.3227031772396387</v>
      </c>
      <c r="Z69">
        <f>NISRE!BC72</f>
        <v>390034.58014196373</v>
      </c>
      <c r="AA69">
        <f>NISRE!BD72</f>
        <v>0</v>
      </c>
      <c r="AB69">
        <f>NISRE!BE72</f>
        <v>1085.4559837564809</v>
      </c>
      <c r="AC69">
        <f>NISRE!BF72</f>
        <v>1056.327116882256</v>
      </c>
      <c r="AD69">
        <f>NISRE!BG72</f>
        <v>1213.4111000812695</v>
      </c>
      <c r="AE69">
        <f>NISRE!BH72</f>
        <v>89891.6267481143</v>
      </c>
      <c r="AF69">
        <f>NISRE!BI72</f>
        <v>0.35593631077652971</v>
      </c>
      <c r="AG69">
        <f>NISRE!BJ72</f>
        <v>0.99568303797243263</v>
      </c>
    </row>
    <row r="70" spans="1:33" x14ac:dyDescent="0.25">
      <c r="B70">
        <v>17</v>
      </c>
      <c r="C70">
        <f t="shared" si="24"/>
        <v>0.11741915537517883</v>
      </c>
      <c r="D70">
        <f t="shared" si="25"/>
        <v>491.62151989634998</v>
      </c>
      <c r="E70">
        <f t="shared" si="33"/>
        <v>-77.75923509931215</v>
      </c>
      <c r="F70">
        <f t="shared" si="34"/>
        <v>-16.82517249762962</v>
      </c>
      <c r="G70">
        <f t="shared" si="37"/>
        <v>257.1426619022601</v>
      </c>
      <c r="H70">
        <f t="shared" si="35"/>
        <v>-569.38075499566207</v>
      </c>
      <c r="I70">
        <f t="shared" si="36"/>
        <v>-65.695202823809169</v>
      </c>
      <c r="J70">
        <f t="shared" si="21"/>
        <v>119.53614740125505</v>
      </c>
      <c r="K70">
        <f t="shared" si="22"/>
        <v>93.609198791235826</v>
      </c>
      <c r="L70">
        <f t="shared" si="26"/>
        <v>268.64260126310967</v>
      </c>
      <c r="M70">
        <f t="shared" si="27"/>
        <v>624.75338552873018</v>
      </c>
      <c r="N70">
        <f t="shared" si="28"/>
        <v>1212.654070238902</v>
      </c>
      <c r="O70">
        <f t="shared" si="29"/>
        <v>1055.2682667188978</v>
      </c>
      <c r="P70">
        <f t="shared" si="23"/>
        <v>1084.3686083372083</v>
      </c>
      <c r="Q70">
        <f t="shared" si="30"/>
        <v>1085.120337539626</v>
      </c>
      <c r="R70">
        <f t="shared" si="31"/>
        <v>1056.0199959213155</v>
      </c>
      <c r="S70">
        <f t="shared" si="32"/>
        <v>1213.4057994413197</v>
      </c>
      <c r="U70">
        <f>NISRE!AX73</f>
        <v>5.3259581442846452E-4</v>
      </c>
      <c r="V70">
        <f>NISRE!AY73</f>
        <v>256.91194062721218</v>
      </c>
      <c r="W70">
        <f>NISRE!AZ73</f>
        <v>0.29725391417298641</v>
      </c>
      <c r="X70">
        <f>NISRE!BA73</f>
        <v>4.0663996988240927E-2</v>
      </c>
      <c r="Y70">
        <f>NISRE!BB73</f>
        <v>7.7371930331263963</v>
      </c>
      <c r="Z70">
        <f>NISRE!BC73</f>
        <v>389952.7444261635</v>
      </c>
      <c r="AA70">
        <f>NISRE!BD73</f>
        <v>0</v>
      </c>
      <c r="AB70">
        <f>NISRE!BE73</f>
        <v>1085.5219803014811</v>
      </c>
      <c r="AC70">
        <f>NISRE!BF73</f>
        <v>1056.4245991792779</v>
      </c>
      <c r="AD70">
        <f>NISRE!BG73</f>
        <v>1214.2809534141688</v>
      </c>
      <c r="AE70">
        <f>NISRE!BH73</f>
        <v>89859.847026228279</v>
      </c>
      <c r="AF70">
        <f>NISRE!BI73</f>
        <v>0.3620445362317023</v>
      </c>
      <c r="AG70">
        <f>NISRE!BJ73</f>
        <v>0.9980818360144913</v>
      </c>
    </row>
    <row r="71" spans="1:33" x14ac:dyDescent="0.25">
      <c r="B71">
        <v>18</v>
      </c>
      <c r="C71">
        <f t="shared" si="24"/>
        <v>0.11813885288969533</v>
      </c>
      <c r="D71">
        <f t="shared" si="25"/>
        <v>494.63481687350594</v>
      </c>
      <c r="E71">
        <f t="shared" si="33"/>
        <v>-76.11968980563347</v>
      </c>
      <c r="F71">
        <f t="shared" si="34"/>
        <v>-16.468694458625531</v>
      </c>
      <c r="G71">
        <f t="shared" si="37"/>
        <v>257.49231789868981</v>
      </c>
      <c r="H71">
        <f t="shared" si="35"/>
        <v>-570.75450667913947</v>
      </c>
      <c r="I71">
        <f t="shared" si="36"/>
        <v>-65.717782390282736</v>
      </c>
      <c r="J71">
        <f t="shared" si="21"/>
        <v>119.62871028697683</v>
      </c>
      <c r="K71">
        <f t="shared" si="22"/>
        <v>93.52362320260734</v>
      </c>
      <c r="L71">
        <f t="shared" si="26"/>
        <v>268.50791599680218</v>
      </c>
      <c r="M71">
        <f t="shared" si="27"/>
        <v>626.14934374427617</v>
      </c>
      <c r="N71">
        <f t="shared" si="28"/>
        <v>1213.2527114494726</v>
      </c>
      <c r="O71">
        <f t="shared" si="29"/>
        <v>1055.162791823913</v>
      </c>
      <c r="P71">
        <f t="shared" si="23"/>
        <v>1084.2339615630042</v>
      </c>
      <c r="Q71">
        <f t="shared" si="30"/>
        <v>1085.120337539626</v>
      </c>
      <c r="R71">
        <f t="shared" si="31"/>
        <v>1056.0491678005349</v>
      </c>
      <c r="S71">
        <f t="shared" si="32"/>
        <v>1214.1390874260944</v>
      </c>
      <c r="U71">
        <f>NISRE!AX74</f>
        <v>5.3585028144243754E-4</v>
      </c>
      <c r="V71">
        <f>NISRE!AY74</f>
        <v>257.20327431846476</v>
      </c>
      <c r="W71">
        <f>NISRE!AZ74</f>
        <v>0.29711764678468083</v>
      </c>
      <c r="X71">
        <f>NISRE!BA74</f>
        <v>4.0939840446534717E-2</v>
      </c>
      <c r="Y71">
        <f>NISRE!BB74</f>
        <v>9.1831304738100563</v>
      </c>
      <c r="Z71">
        <f>NISRE!BC74</f>
        <v>389871.36310697155</v>
      </c>
      <c r="AA71">
        <f>NISRE!BD74</f>
        <v>0</v>
      </c>
      <c r="AB71">
        <f>NISRE!BE74</f>
        <v>1085.5876103976036</v>
      </c>
      <c r="AC71">
        <f>NISRE!BF74</f>
        <v>1056.5203872207105</v>
      </c>
      <c r="AD71">
        <f>NISRE!BG74</f>
        <v>1215.1589475509477</v>
      </c>
      <c r="AE71">
        <f>NISRE!BH74</f>
        <v>89826.797429194863</v>
      </c>
      <c r="AF71">
        <f>NISRE!BI74</f>
        <v>0.36807785927527525</v>
      </c>
      <c r="AG71">
        <f>NISRE!BJ74</f>
        <v>1.0005062581898225</v>
      </c>
    </row>
    <row r="72" spans="1:33" x14ac:dyDescent="0.25">
      <c r="B72">
        <v>19</v>
      </c>
      <c r="C72">
        <f t="shared" si="24"/>
        <v>0.11885855040421185</v>
      </c>
      <c r="D72">
        <f t="shared" si="25"/>
        <v>497.6481138506619</v>
      </c>
      <c r="E72">
        <f t="shared" si="33"/>
        <v>-74.502819933988405</v>
      </c>
      <c r="F72">
        <f t="shared" si="34"/>
        <v>-16.117160687530976</v>
      </c>
      <c r="G72">
        <f t="shared" si="37"/>
        <v>257.83121433630697</v>
      </c>
      <c r="H72">
        <f t="shared" si="35"/>
        <v>-572.15093378465031</v>
      </c>
      <c r="I72">
        <f t="shared" si="36"/>
        <v>-65.742007696585461</v>
      </c>
      <c r="J72">
        <f t="shared" si="21"/>
        <v>119.74010493211451</v>
      </c>
      <c r="K72">
        <f t="shared" si="22"/>
        <v>93.450857254353963</v>
      </c>
      <c r="L72">
        <f t="shared" si="26"/>
        <v>268.37959174320792</v>
      </c>
      <c r="M72">
        <f t="shared" si="27"/>
        <v>627.56165124773361</v>
      </c>
      <c r="N72">
        <f t="shared" si="28"/>
        <v>1213.8571444598101</v>
      </c>
      <c r="O72">
        <f t="shared" si="29"/>
        <v>1055.0532629611077</v>
      </c>
      <c r="P72">
        <f t="shared" si="23"/>
        <v>1084.0966521805638</v>
      </c>
      <c r="Q72">
        <f t="shared" si="30"/>
        <v>1085.120337539626</v>
      </c>
      <c r="R72">
        <f t="shared" si="31"/>
        <v>1056.07694832017</v>
      </c>
      <c r="S72">
        <f t="shared" si="32"/>
        <v>1214.8808298188724</v>
      </c>
      <c r="U72">
        <f>NISRE!AX75</f>
        <v>5.3910474845639419E-4</v>
      </c>
      <c r="V72">
        <f>NISRE!AY75</f>
        <v>257.48633004737826</v>
      </c>
      <c r="W72">
        <f>NISRE!AZ75</f>
        <v>0.29697774707946439</v>
      </c>
      <c r="X72">
        <f>NISRE!BA75</f>
        <v>4.121414819792097E-2</v>
      </c>
      <c r="Y72">
        <f>NISRE!BB75</f>
        <v>10.661932439684078</v>
      </c>
      <c r="Z72">
        <f>NISRE!BC75</f>
        <v>389790.43049662921</v>
      </c>
      <c r="AA72">
        <f>NISRE!BD75</f>
        <v>0</v>
      </c>
      <c r="AB72">
        <f>NISRE!BE75</f>
        <v>1085.6528786317506</v>
      </c>
      <c r="AC72">
        <f>NISRE!BF75</f>
        <v>1056.6145381223162</v>
      </c>
      <c r="AD72">
        <f>NISRE!BG75</f>
        <v>1216.0450762690716</v>
      </c>
      <c r="AE72">
        <f>NISRE!BH75</f>
        <v>89792.502987251122</v>
      </c>
      <c r="AF72">
        <f>NISRE!BI75</f>
        <v>0.37403750373370076</v>
      </c>
      <c r="AG72">
        <f>NISRE!BJ75</f>
        <v>1.0029558954504616</v>
      </c>
    </row>
    <row r="73" spans="1:33" x14ac:dyDescent="0.25">
      <c r="B73">
        <v>20</v>
      </c>
      <c r="C73">
        <f t="shared" si="24"/>
        <v>0.11957824791872837</v>
      </c>
      <c r="D73">
        <f t="shared" si="25"/>
        <v>500.66141082781792</v>
      </c>
      <c r="E73">
        <f t="shared" si="33"/>
        <v>-72.908192323830008</v>
      </c>
      <c r="F73">
        <f t="shared" si="34"/>
        <v>-15.770482228168664</v>
      </c>
      <c r="G73">
        <f t="shared" si="37"/>
        <v>258.15965989513523</v>
      </c>
      <c r="H73">
        <f t="shared" si="35"/>
        <v>-573.56960315164793</v>
      </c>
      <c r="I73">
        <f t="shared" si="36"/>
        <v>-65.767823935415905</v>
      </c>
      <c r="J73">
        <f t="shared" si="21"/>
        <v>119.87256985903352</v>
      </c>
      <c r="K73">
        <f t="shared" si="22"/>
        <v>93.391350071087928</v>
      </c>
      <c r="L73">
        <f t="shared" si="26"/>
        <v>268.25736617118361</v>
      </c>
      <c r="M73">
        <f t="shared" si="27"/>
        <v>628.99006324163088</v>
      </c>
      <c r="N73">
        <f t="shared" si="28"/>
        <v>1214.4673637434894</v>
      </c>
      <c r="O73">
        <f t="shared" si="29"/>
        <v>1054.9397429141704</v>
      </c>
      <c r="P73">
        <f t="shared" si="23"/>
        <v>1083.9566842468723</v>
      </c>
      <c r="Q73">
        <f t="shared" si="30"/>
        <v>1085.120337539626</v>
      </c>
      <c r="R73">
        <f t="shared" si="31"/>
        <v>1056.1033962069241</v>
      </c>
      <c r="S73">
        <f t="shared" si="32"/>
        <v>1215.6310170362431</v>
      </c>
      <c r="U73">
        <f>NISRE!AX76</f>
        <v>5.4235921547034552E-4</v>
      </c>
      <c r="V73">
        <f>NISRE!AY76</f>
        <v>257.76134421847576</v>
      </c>
      <c r="W73">
        <f>NISRE!AZ76</f>
        <v>0.29683428012059621</v>
      </c>
      <c r="X73">
        <f>NISRE!BA76</f>
        <v>4.1486933671344157E-2</v>
      </c>
      <c r="Y73">
        <f>NISRE!BB76</f>
        <v>12.175148313514232</v>
      </c>
      <c r="Z73">
        <f>NISRE!BC76</f>
        <v>389709.94101267401</v>
      </c>
      <c r="AA73">
        <f>NISRE!BD76</f>
        <v>0</v>
      </c>
      <c r="AB73">
        <f>NISRE!BE76</f>
        <v>1085.7177895059081</v>
      </c>
      <c r="AC73">
        <f>NISRE!BF76</f>
        <v>1056.7071068008511</v>
      </c>
      <c r="AD73">
        <f>NISRE!BG76</f>
        <v>1216.9393334244771</v>
      </c>
      <c r="AE73">
        <f>NISRE!BH76</f>
        <v>89756.987941956992</v>
      </c>
      <c r="AF73">
        <f>NISRE!BI76</f>
        <v>0.3799246704803349</v>
      </c>
      <c r="AG73">
        <f>NISRE!BJ76</f>
        <v>1.005430348852542</v>
      </c>
    </row>
    <row r="74" spans="1:33" x14ac:dyDescent="0.25">
      <c r="A74" t="s">
        <v>468</v>
      </c>
      <c r="B74">
        <v>21</v>
      </c>
      <c r="C74">
        <f t="shared" si="24"/>
        <v>0.12029794543324487</v>
      </c>
      <c r="D74">
        <f t="shared" si="25"/>
        <v>503.67470780497382</v>
      </c>
      <c r="E74">
        <f t="shared" si="33"/>
        <v>-71.335384520757088</v>
      </c>
      <c r="F74">
        <f t="shared" si="34"/>
        <v>-15.428571900921376</v>
      </c>
      <c r="G74">
        <f t="shared" si="37"/>
        <v>258.47795245964448</v>
      </c>
      <c r="H74">
        <f t="shared" si="35"/>
        <v>-575.01009232573097</v>
      </c>
      <c r="I74">
        <f t="shared" si="36"/>
        <v>-65.795177883979562</v>
      </c>
      <c r="J74" s="92">
        <f t="shared" si="21"/>
        <v>120.02873033705575</v>
      </c>
      <c r="K74">
        <f t="shared" si="22"/>
        <v>93.345620707340771</v>
      </c>
      <c r="L74">
        <f t="shared" si="26"/>
        <v>268.1409871549937</v>
      </c>
      <c r="M74">
        <f t="shared" si="27"/>
        <v>630.43434089853952</v>
      </c>
      <c r="N74">
        <f t="shared" si="28"/>
        <v>1215.0833638406696</v>
      </c>
      <c r="O74">
        <f t="shared" si="29"/>
        <v>1054.8222919922116</v>
      </c>
      <c r="P74">
        <f t="shared" si="23"/>
        <v>1083.8140617472336</v>
      </c>
      <c r="Q74">
        <f t="shared" si="30"/>
        <v>1085.120337539626</v>
      </c>
      <c r="R74">
        <f t="shared" si="31"/>
        <v>1056.128567784604</v>
      </c>
      <c r="S74">
        <f t="shared" si="32"/>
        <v>1216.389639633062</v>
      </c>
      <c r="U74">
        <f>NISRE!AX77</f>
        <v>0</v>
      </c>
      <c r="V74">
        <f>NISRE!AY77</f>
        <v>0</v>
      </c>
      <c r="W74">
        <f>NISRE!AZ77</f>
        <v>0.29668730903910512</v>
      </c>
      <c r="X74">
        <f>NISRE!BA77</f>
        <v>0</v>
      </c>
      <c r="Y74">
        <f>NISRE!BB77</f>
        <v>0</v>
      </c>
      <c r="Z74">
        <f>NISRE!BC77</f>
        <v>389629.88917538681</v>
      </c>
      <c r="AA74">
        <f>NISRE!BD77</f>
        <v>0</v>
      </c>
      <c r="AB74">
        <f>NISRE!BE77</f>
        <v>1085.7823474392042</v>
      </c>
      <c r="AC74">
        <f>NISRE!BF77</f>
        <v>1056.7981460681453</v>
      </c>
      <c r="AD74">
        <f>NISRE!BG77</f>
        <v>1217.84171295019</v>
      </c>
      <c r="AE74">
        <f>NISRE!BH77</f>
        <v>89720.275779587726</v>
      </c>
      <c r="AF74">
        <f>NISRE!BI77</f>
        <v>0.38574053784053008</v>
      </c>
      <c r="AG74">
        <f>NISRE!BJ77</f>
        <v>1.0079292291914295</v>
      </c>
    </row>
    <row r="75" spans="1:33" x14ac:dyDescent="0.25">
      <c r="W75" t="str">
        <f>NISRE!AZ78</f>
        <v>Deviation stage 02</v>
      </c>
      <c r="X75">
        <f>NISRE!BA78</f>
        <v>0.77610193270671302</v>
      </c>
      <c r="AC75">
        <f>MAX(AC54:AC73)</f>
        <v>1056.7071068008511</v>
      </c>
    </row>
    <row r="76" spans="1:33" x14ac:dyDescent="0.25">
      <c r="X76">
        <f>NISRE!BA79</f>
        <v>0.22497970080538662</v>
      </c>
    </row>
    <row r="77" spans="1:33" x14ac:dyDescent="0.25">
      <c r="W77" t="str">
        <f>NISRE!AZ80</f>
        <v>Massflow real</v>
      </c>
      <c r="X77">
        <f>NISRE!BA80</f>
        <v>0.7774823082743787</v>
      </c>
      <c r="Y77" t="str">
        <f>NISRE!BB80</f>
        <v>Deviatio real %</v>
      </c>
      <c r="Z77">
        <f>NISRE!BC80</f>
        <v>-0.17754430589287926</v>
      </c>
    </row>
    <row r="78" spans="1:33" x14ac:dyDescent="0.25">
      <c r="AE78" s="73"/>
    </row>
    <row r="83" spans="1:18" x14ac:dyDescent="0.25">
      <c r="A83" s="288" t="s">
        <v>467</v>
      </c>
      <c r="B83" t="s">
        <v>158</v>
      </c>
    </row>
    <row r="84" spans="1:18" x14ac:dyDescent="0.25">
      <c r="A84" s="288"/>
      <c r="H84" s="35"/>
      <c r="I84" s="35"/>
    </row>
    <row r="85" spans="1:18" x14ac:dyDescent="0.25">
      <c r="A85" s="288"/>
      <c r="B85" s="40" t="s">
        <v>653</v>
      </c>
      <c r="C85" s="40"/>
      <c r="D85" s="40" t="s">
        <v>644</v>
      </c>
      <c r="E85" s="37" t="s">
        <v>655</v>
      </c>
      <c r="F85" s="37"/>
      <c r="G85" s="37" t="s">
        <v>118</v>
      </c>
      <c r="H85" s="42" t="s">
        <v>656</v>
      </c>
      <c r="I85" s="42"/>
      <c r="J85" s="43" t="s">
        <v>657</v>
      </c>
      <c r="K85" s="43"/>
      <c r="L85" s="43" t="s">
        <v>646</v>
      </c>
      <c r="M85" s="37" t="s">
        <v>658</v>
      </c>
      <c r="N85" s="37"/>
      <c r="O85" s="37" t="s">
        <v>645</v>
      </c>
      <c r="P85" s="41" t="s">
        <v>654</v>
      </c>
      <c r="Q85" s="41"/>
    </row>
    <row r="86" spans="1:18" x14ac:dyDescent="0.25">
      <c r="A86" s="288"/>
      <c r="B86" s="3" t="s">
        <v>159</v>
      </c>
      <c r="C86" s="3" t="s">
        <v>160</v>
      </c>
      <c r="D86" s="34">
        <f>F26</f>
        <v>73.236091227446863</v>
      </c>
      <c r="E86" s="3" t="s">
        <v>159</v>
      </c>
      <c r="F86" s="3" t="s">
        <v>160</v>
      </c>
      <c r="G86" s="34">
        <f>J26</f>
        <v>54.003475476272001</v>
      </c>
      <c r="H86" s="3" t="s">
        <v>159</v>
      </c>
      <c r="I86" s="3" t="s">
        <v>160</v>
      </c>
      <c r="J86" s="3" t="s">
        <v>159</v>
      </c>
      <c r="K86" s="3" t="s">
        <v>160</v>
      </c>
      <c r="L86" s="34">
        <f>F54</f>
        <v>-23.281280019530069</v>
      </c>
      <c r="M86" s="3" t="s">
        <v>159</v>
      </c>
      <c r="N86" s="3" t="s">
        <v>160</v>
      </c>
      <c r="O86" s="34">
        <f>I54</f>
        <v>-65.609514800144183</v>
      </c>
      <c r="P86" s="3" t="s">
        <v>159</v>
      </c>
      <c r="Q86" s="3" t="s">
        <v>160</v>
      </c>
      <c r="R86" s="35">
        <f>K87-R87</f>
        <v>-230.87078363713292</v>
      </c>
    </row>
    <row r="87" spans="1:18" x14ac:dyDescent="0.25">
      <c r="A87" s="288"/>
      <c r="B87" s="3">
        <v>0</v>
      </c>
      <c r="C87" s="34">
        <v>0</v>
      </c>
      <c r="D87" s="3"/>
      <c r="E87" s="3">
        <v>0</v>
      </c>
      <c r="F87" s="34">
        <v>0</v>
      </c>
      <c r="G87" s="3"/>
      <c r="H87" s="34">
        <f>E88</f>
        <v>317.8069103059579</v>
      </c>
      <c r="I87" s="34">
        <f>-I26</f>
        <v>-230.87078363713292</v>
      </c>
      <c r="J87" s="3">
        <v>0</v>
      </c>
      <c r="K87" s="34">
        <v>0</v>
      </c>
      <c r="L87" s="3"/>
      <c r="M87" s="3">
        <v>0</v>
      </c>
      <c r="N87" s="34">
        <v>0</v>
      </c>
      <c r="O87" s="3"/>
      <c r="P87" s="34">
        <f>M88</f>
        <v>-550.88531574494755</v>
      </c>
      <c r="Q87" s="26">
        <f>-G54</f>
        <v>-249.7823633124614</v>
      </c>
      <c r="R87" s="35">
        <f>I26</f>
        <v>230.87078363713292</v>
      </c>
    </row>
    <row r="88" spans="1:18" x14ac:dyDescent="0.25">
      <c r="A88" s="288"/>
      <c r="B88" s="63">
        <f>E26</f>
        <v>766.42539896919243</v>
      </c>
      <c r="C88" s="63">
        <f>-I26</f>
        <v>-230.87078363713292</v>
      </c>
      <c r="D88" s="26"/>
      <c r="E88" s="63">
        <f>K26</f>
        <v>317.8069103059579</v>
      </c>
      <c r="F88" s="63">
        <f>-I26</f>
        <v>-230.87078363713292</v>
      </c>
      <c r="G88" s="26"/>
      <c r="H88" s="63">
        <f>B88</f>
        <v>766.42539896919243</v>
      </c>
      <c r="I88" s="63">
        <f>-I26</f>
        <v>-230.87078363713292</v>
      </c>
      <c r="J88" s="63">
        <f>E54</f>
        <v>-107.47654748309287</v>
      </c>
      <c r="K88" s="26">
        <f>-G54</f>
        <v>-249.7823633124614</v>
      </c>
      <c r="L88" s="26"/>
      <c r="M88" s="63">
        <f>H54</f>
        <v>-550.88531574494755</v>
      </c>
      <c r="N88" s="26">
        <f>-G54</f>
        <v>-249.7823633124614</v>
      </c>
      <c r="O88" s="26"/>
      <c r="P88" s="63">
        <f>J88</f>
        <v>-107.47654748309287</v>
      </c>
      <c r="Q88" s="26">
        <f>-G54</f>
        <v>-249.7823633124614</v>
      </c>
    </row>
    <row r="89" spans="1:18" ht="15.75" thickBot="1" x14ac:dyDescent="0.3">
      <c r="A89" s="28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8" ht="15.75" thickBot="1" x14ac:dyDescent="0.3">
      <c r="A90" s="288"/>
      <c r="B90" s="55" t="s">
        <v>225</v>
      </c>
      <c r="C90" s="56" t="s">
        <v>226</v>
      </c>
      <c r="D90" s="57" t="s">
        <v>233</v>
      </c>
      <c r="E90" s="57" t="s">
        <v>227</v>
      </c>
      <c r="F90" s="57" t="s">
        <v>229</v>
      </c>
      <c r="G90" s="57" t="s">
        <v>228</v>
      </c>
      <c r="H90" s="57" t="s">
        <v>234</v>
      </c>
      <c r="I90" s="58" t="s">
        <v>235</v>
      </c>
      <c r="J90" s="58" t="s">
        <v>230</v>
      </c>
      <c r="K90" s="58" t="s">
        <v>231</v>
      </c>
      <c r="L90" s="58" t="s">
        <v>232</v>
      </c>
      <c r="M90" s="59" t="s">
        <v>236</v>
      </c>
    </row>
    <row r="91" spans="1:18" x14ac:dyDescent="0.25">
      <c r="A91" s="288"/>
      <c r="B91" s="60">
        <v>0</v>
      </c>
      <c r="C91" s="60">
        <f>J3</f>
        <v>93.458610362213591</v>
      </c>
      <c r="D91" s="61">
        <f>D86</f>
        <v>73.236091227446863</v>
      </c>
      <c r="E91" s="61">
        <f>G26</f>
        <v>800.44313409655138</v>
      </c>
      <c r="F91" s="61">
        <f>D26</f>
        <v>448.61848866323453</v>
      </c>
      <c r="G91" s="61">
        <f>L26</f>
        <v>392.81363389709759</v>
      </c>
      <c r="H91" s="61">
        <f>J26</f>
        <v>54.003475476272001</v>
      </c>
      <c r="I91" s="61">
        <f>F54</f>
        <v>-23.281280019530069</v>
      </c>
      <c r="J91" s="61">
        <f>L54</f>
        <v>271.92358720942906</v>
      </c>
      <c r="K91" s="61">
        <f>D54</f>
        <v>443.40876826185462</v>
      </c>
      <c r="L91" s="61">
        <f>M54</f>
        <v>604.86846514376089</v>
      </c>
      <c r="M91" s="61">
        <f>I54</f>
        <v>-65.609514800144183</v>
      </c>
    </row>
    <row r="92" spans="1:18" x14ac:dyDescent="0.25">
      <c r="A92" s="105"/>
      <c r="B92" s="136"/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</row>
    <row r="93" spans="1:18" x14ac:dyDescent="0.25">
      <c r="A93" s="105"/>
      <c r="B93" s="136"/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</row>
    <row r="94" spans="1:18" x14ac:dyDescent="0.25">
      <c r="A94" s="105"/>
      <c r="B94" s="136"/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</row>
    <row r="95" spans="1:18" x14ac:dyDescent="0.25">
      <c r="A95" s="105"/>
      <c r="B95" s="136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</row>
    <row r="96" spans="1:18" x14ac:dyDescent="0.25">
      <c r="A96" s="105"/>
      <c r="B96" s="136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</row>
    <row r="97" spans="1:18" x14ac:dyDescent="0.25">
      <c r="A97" s="105"/>
      <c r="B97" s="13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</row>
    <row r="98" spans="1:18" x14ac:dyDescent="0.25">
      <c r="A98" s="105"/>
      <c r="B98" s="136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</row>
    <row r="100" spans="1:18" x14ac:dyDescent="0.25">
      <c r="A100" s="288" t="s">
        <v>507</v>
      </c>
      <c r="B100" t="s">
        <v>158</v>
      </c>
    </row>
    <row r="101" spans="1:18" x14ac:dyDescent="0.25">
      <c r="A101" s="288"/>
      <c r="H101" s="35"/>
      <c r="I101" s="35"/>
    </row>
    <row r="102" spans="1:18" x14ac:dyDescent="0.25">
      <c r="A102" s="288"/>
      <c r="B102" s="40" t="s">
        <v>647</v>
      </c>
      <c r="C102" s="40"/>
      <c r="D102" s="40" t="s">
        <v>72</v>
      </c>
      <c r="E102" s="37" t="s">
        <v>648</v>
      </c>
      <c r="F102" s="37"/>
      <c r="G102" s="37" t="s">
        <v>118</v>
      </c>
      <c r="H102" s="42" t="s">
        <v>649</v>
      </c>
      <c r="I102" s="42"/>
      <c r="J102" s="43" t="s">
        <v>650</v>
      </c>
      <c r="K102" s="43"/>
      <c r="L102" s="43" t="s">
        <v>188</v>
      </c>
      <c r="M102" s="37" t="s">
        <v>651</v>
      </c>
      <c r="N102" s="37"/>
      <c r="O102" s="37" t="s">
        <v>73</v>
      </c>
      <c r="P102" s="41" t="s">
        <v>652</v>
      </c>
      <c r="Q102" s="41"/>
    </row>
    <row r="103" spans="1:18" x14ac:dyDescent="0.25">
      <c r="A103" s="288"/>
      <c r="B103" s="3" t="s">
        <v>159</v>
      </c>
      <c r="C103" s="3" t="s">
        <v>160</v>
      </c>
      <c r="D103" s="34">
        <f>F36</f>
        <v>75.3</v>
      </c>
      <c r="E103" s="3" t="s">
        <v>159</v>
      </c>
      <c r="F103" s="3" t="s">
        <v>160</v>
      </c>
      <c r="G103" s="34">
        <f>J36</f>
        <v>53.687828419354517</v>
      </c>
      <c r="H103" s="3" t="s">
        <v>159</v>
      </c>
      <c r="I103" s="3" t="s">
        <v>160</v>
      </c>
      <c r="J103" s="3" t="s">
        <v>159</v>
      </c>
      <c r="K103" s="3" t="s">
        <v>160</v>
      </c>
      <c r="L103" s="34">
        <f>F64</f>
        <v>-19.07308460371328</v>
      </c>
      <c r="M103" s="3" t="s">
        <v>159</v>
      </c>
      <c r="N103" s="3" t="s">
        <v>160</v>
      </c>
      <c r="O103" s="34">
        <f>I64</f>
        <v>-65.597568372395116</v>
      </c>
      <c r="P103" s="3" t="s">
        <v>159</v>
      </c>
      <c r="Q103" s="3" t="s">
        <v>160</v>
      </c>
      <c r="R103" s="35">
        <f>K104-R104</f>
        <v>-193.2</v>
      </c>
    </row>
    <row r="104" spans="1:18" x14ac:dyDescent="0.25">
      <c r="A104" s="288"/>
      <c r="B104" s="3">
        <v>0</v>
      </c>
      <c r="C104" s="34">
        <v>0</v>
      </c>
      <c r="D104" s="3"/>
      <c r="E104" s="3">
        <v>0</v>
      </c>
      <c r="F104" s="34">
        <v>0</v>
      </c>
      <c r="G104" s="3"/>
      <c r="H104" s="34">
        <f>E105</f>
        <v>262.89285967765574</v>
      </c>
      <c r="I104" s="34">
        <f>-I36</f>
        <v>-193.2</v>
      </c>
      <c r="J104" s="3">
        <v>0</v>
      </c>
      <c r="K104" s="34">
        <v>0</v>
      </c>
      <c r="L104" s="3"/>
      <c r="M104" s="3">
        <v>0</v>
      </c>
      <c r="N104" s="34">
        <v>0</v>
      </c>
      <c r="O104" s="3"/>
      <c r="P104" s="34">
        <f>M105</f>
        <v>-561.64012250967721</v>
      </c>
      <c r="Q104" s="3">
        <f>-G64</f>
        <v>-254.8</v>
      </c>
      <c r="R104">
        <f>I36</f>
        <v>193.2</v>
      </c>
    </row>
    <row r="105" spans="1:18" x14ac:dyDescent="0.25">
      <c r="A105" s="288"/>
      <c r="B105" s="63">
        <f>E36</f>
        <v>736.43459771106996</v>
      </c>
      <c r="C105" s="63">
        <f>-I36</f>
        <v>-193.2</v>
      </c>
      <c r="D105" s="26"/>
      <c r="E105" s="63">
        <f>K36</f>
        <v>262.89285967765574</v>
      </c>
      <c r="F105" s="63">
        <f>-I36</f>
        <v>-193.2</v>
      </c>
      <c r="G105" s="26"/>
      <c r="H105" s="63">
        <f>B105</f>
        <v>736.43459771106996</v>
      </c>
      <c r="I105" s="63">
        <f>-I36</f>
        <v>-193.2</v>
      </c>
      <c r="J105" s="63">
        <f>E64</f>
        <v>-88.098384476262993</v>
      </c>
      <c r="K105" s="26">
        <f>-G64</f>
        <v>-254.8</v>
      </c>
      <c r="L105" s="26"/>
      <c r="M105" s="63">
        <f>H64</f>
        <v>-561.64012250967721</v>
      </c>
      <c r="N105" s="26">
        <f>-G64</f>
        <v>-254.8</v>
      </c>
      <c r="O105" s="26"/>
      <c r="P105" s="63">
        <f>J105</f>
        <v>-88.098384476262993</v>
      </c>
      <c r="Q105" s="26">
        <f>-G64</f>
        <v>-254.8</v>
      </c>
    </row>
    <row r="106" spans="1:18" ht="15.75" thickBot="1" x14ac:dyDescent="0.3">
      <c r="A106" s="288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8" ht="15.75" thickBot="1" x14ac:dyDescent="0.3">
      <c r="A107" s="288"/>
      <c r="B107" s="55" t="s">
        <v>225</v>
      </c>
      <c r="C107" s="56" t="s">
        <v>226</v>
      </c>
      <c r="D107" s="57" t="s">
        <v>233</v>
      </c>
      <c r="E107" s="57" t="s">
        <v>227</v>
      </c>
      <c r="F107" s="57" t="s">
        <v>229</v>
      </c>
      <c r="G107" s="57" t="s">
        <v>228</v>
      </c>
      <c r="H107" s="57" t="s">
        <v>234</v>
      </c>
      <c r="I107" s="58" t="s">
        <v>235</v>
      </c>
      <c r="J107" s="58" t="s">
        <v>230</v>
      </c>
      <c r="K107" s="58" t="s">
        <v>231</v>
      </c>
      <c r="L107" s="58" t="s">
        <v>232</v>
      </c>
      <c r="M107" s="59" t="s">
        <v>236</v>
      </c>
    </row>
    <row r="108" spans="1:18" x14ac:dyDescent="0.25">
      <c r="A108" s="288"/>
      <c r="B108" s="60">
        <v>0</v>
      </c>
      <c r="C108" s="60">
        <f>J4</f>
        <v>93.458610362213591</v>
      </c>
      <c r="D108" s="61">
        <f>D103</f>
        <v>75.3</v>
      </c>
      <c r="E108" s="61">
        <f>G36</f>
        <v>761.3554732881779</v>
      </c>
      <c r="F108" s="61">
        <f>D36</f>
        <v>473.54173803341422</v>
      </c>
      <c r="G108" s="61">
        <f>L36</f>
        <v>326.24974432096587</v>
      </c>
      <c r="H108" s="61">
        <f>J36</f>
        <v>53.687828419354517</v>
      </c>
      <c r="I108" s="61">
        <f>F64</f>
        <v>-19.07308460371328</v>
      </c>
      <c r="J108" s="61">
        <f>L64</f>
        <v>269.60038083676267</v>
      </c>
      <c r="K108" s="61">
        <f>D64</f>
        <v>473.54173803341422</v>
      </c>
      <c r="L108" s="61">
        <f>M64</f>
        <v>616.73549209745113</v>
      </c>
      <c r="M108" s="61">
        <f>I64</f>
        <v>-65.597568372395116</v>
      </c>
    </row>
    <row r="109" spans="1:18" x14ac:dyDescent="0.25">
      <c r="A109" s="105"/>
      <c r="B109" s="136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</row>
    <row r="110" spans="1:18" x14ac:dyDescent="0.25">
      <c r="A110" s="105"/>
      <c r="B110" s="136"/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</row>
    <row r="111" spans="1:18" x14ac:dyDescent="0.25">
      <c r="A111" s="105"/>
      <c r="B111" s="136"/>
      <c r="C111" s="136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</row>
    <row r="112" spans="1:18" x14ac:dyDescent="0.25">
      <c r="A112" s="105"/>
      <c r="B112" s="136"/>
      <c r="C112" s="136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</row>
    <row r="113" spans="1:18" x14ac:dyDescent="0.25">
      <c r="A113" s="105"/>
      <c r="B113" s="136"/>
      <c r="C113" s="136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</row>
    <row r="114" spans="1:18" x14ac:dyDescent="0.25">
      <c r="A114" s="105"/>
      <c r="B114" s="136"/>
      <c r="C114" s="136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</row>
    <row r="115" spans="1:18" x14ac:dyDescent="0.25">
      <c r="A115" s="105"/>
      <c r="B115" s="136"/>
      <c r="C115" s="136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</row>
    <row r="117" spans="1:18" x14ac:dyDescent="0.25">
      <c r="A117" s="288" t="s">
        <v>508</v>
      </c>
      <c r="B117" t="s">
        <v>158</v>
      </c>
    </row>
    <row r="118" spans="1:18" x14ac:dyDescent="0.25">
      <c r="A118" s="288"/>
      <c r="H118" s="35"/>
      <c r="I118" s="35"/>
    </row>
    <row r="119" spans="1:18" x14ac:dyDescent="0.25">
      <c r="A119" s="288"/>
      <c r="B119" s="40" t="s">
        <v>659</v>
      </c>
      <c r="C119" s="40"/>
      <c r="D119" s="40" t="s">
        <v>72</v>
      </c>
      <c r="E119" s="37" t="s">
        <v>660</v>
      </c>
      <c r="F119" s="37"/>
      <c r="G119" s="37" t="s">
        <v>118</v>
      </c>
      <c r="H119" s="42" t="s">
        <v>661</v>
      </c>
      <c r="I119" s="42"/>
      <c r="J119" s="43" t="s">
        <v>662</v>
      </c>
      <c r="K119" s="43"/>
      <c r="L119" s="43" t="s">
        <v>188</v>
      </c>
      <c r="M119" s="37" t="s">
        <v>663</v>
      </c>
      <c r="N119" s="37"/>
      <c r="O119" s="37" t="s">
        <v>73</v>
      </c>
      <c r="P119" s="41" t="s">
        <v>664</v>
      </c>
      <c r="Q119" s="41"/>
    </row>
    <row r="120" spans="1:18" x14ac:dyDescent="0.25">
      <c r="A120" s="288"/>
      <c r="B120" s="3" t="s">
        <v>159</v>
      </c>
      <c r="C120" s="3" t="s">
        <v>160</v>
      </c>
      <c r="D120" s="34">
        <f>F46</f>
        <v>77.917048806419402</v>
      </c>
      <c r="E120" s="3" t="s">
        <v>159</v>
      </c>
      <c r="F120" s="3" t="s">
        <v>160</v>
      </c>
      <c r="G120" s="34">
        <f>J46</f>
        <v>54.233552453076179</v>
      </c>
      <c r="H120" s="3" t="s">
        <v>159</v>
      </c>
      <c r="I120" s="3" t="s">
        <v>160</v>
      </c>
      <c r="J120" s="3" t="s">
        <v>159</v>
      </c>
      <c r="K120" s="3" t="s">
        <v>160</v>
      </c>
      <c r="L120" s="34">
        <f>F74</f>
        <v>-15.428571900921376</v>
      </c>
      <c r="M120" s="3" t="s">
        <v>159</v>
      </c>
      <c r="N120" s="3" t="s">
        <v>160</v>
      </c>
      <c r="O120" s="34">
        <f>I74</f>
        <v>-65.795177883979562</v>
      </c>
      <c r="P120" s="3" t="s">
        <v>159</v>
      </c>
      <c r="Q120" s="3" t="s">
        <v>160</v>
      </c>
    </row>
    <row r="121" spans="1:18" x14ac:dyDescent="0.25">
      <c r="A121" s="288"/>
      <c r="B121" s="3">
        <v>0</v>
      </c>
      <c r="C121" s="34">
        <f>I46+R121</f>
        <v>0</v>
      </c>
      <c r="D121" s="3"/>
      <c r="E121" s="3">
        <v>0</v>
      </c>
      <c r="F121" s="34">
        <f>I46+R121</f>
        <v>0</v>
      </c>
      <c r="G121" s="3"/>
      <c r="H121" s="34">
        <f>E122</f>
        <v>210.77299240452101</v>
      </c>
      <c r="I121" s="34">
        <f>R121</f>
        <v>-151.82672378164924</v>
      </c>
      <c r="J121" s="3">
        <v>0</v>
      </c>
      <c r="K121" s="34">
        <v>0</v>
      </c>
      <c r="L121" s="3"/>
      <c r="M121" s="3">
        <v>0</v>
      </c>
      <c r="N121" s="34">
        <v>0</v>
      </c>
      <c r="O121" s="3"/>
      <c r="P121" s="34">
        <f>M122</f>
        <v>-575.01009232573097</v>
      </c>
      <c r="Q121" s="3">
        <f>-G74</f>
        <v>-258.47795245964448</v>
      </c>
      <c r="R121" s="35">
        <f>N121-R122</f>
        <v>-151.82672378164924</v>
      </c>
    </row>
    <row r="122" spans="1:18" x14ac:dyDescent="0.25">
      <c r="A122" s="288"/>
      <c r="B122" s="63">
        <f>E46</f>
        <v>709.23797980811491</v>
      </c>
      <c r="C122" s="63">
        <f>R121</f>
        <v>-151.82672378164924</v>
      </c>
      <c r="D122" s="26"/>
      <c r="E122" s="63">
        <f>K46</f>
        <v>210.77299240452101</v>
      </c>
      <c r="F122" s="63">
        <f>R121</f>
        <v>-151.82672378164924</v>
      </c>
      <c r="G122" s="26"/>
      <c r="H122" s="63">
        <f>B122</f>
        <v>709.23797980811491</v>
      </c>
      <c r="I122" s="63">
        <f>R121</f>
        <v>-151.82672378164924</v>
      </c>
      <c r="J122" s="63">
        <f>E74</f>
        <v>-71.335384520757088</v>
      </c>
      <c r="K122" s="26">
        <f>-G74</f>
        <v>-258.47795245964448</v>
      </c>
      <c r="L122" s="26"/>
      <c r="M122" s="63">
        <f>H74</f>
        <v>-575.01009232573097</v>
      </c>
      <c r="N122" s="26">
        <f>-G74</f>
        <v>-258.47795245964448</v>
      </c>
      <c r="O122" s="26"/>
      <c r="P122" s="63">
        <f>J122</f>
        <v>-71.335384520757088</v>
      </c>
      <c r="Q122" s="26">
        <f>-G74</f>
        <v>-258.47795245964448</v>
      </c>
      <c r="R122">
        <f>I46</f>
        <v>151.82672378164924</v>
      </c>
    </row>
    <row r="123" spans="1:18" ht="15.75" thickBot="1" x14ac:dyDescent="0.3">
      <c r="A123" s="28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8" ht="15.75" thickBot="1" x14ac:dyDescent="0.3">
      <c r="A124" s="288"/>
      <c r="B124" s="55" t="s">
        <v>225</v>
      </c>
      <c r="C124" s="56" t="s">
        <v>226</v>
      </c>
      <c r="D124" s="57" t="s">
        <v>233</v>
      </c>
      <c r="E124" s="57" t="s">
        <v>227</v>
      </c>
      <c r="F124" s="57" t="s">
        <v>229</v>
      </c>
      <c r="G124" s="57" t="s">
        <v>228</v>
      </c>
      <c r="H124" s="57" t="s">
        <v>234</v>
      </c>
      <c r="I124" s="58" t="s">
        <v>235</v>
      </c>
      <c r="J124" s="58" t="s">
        <v>230</v>
      </c>
      <c r="K124" s="58" t="s">
        <v>231</v>
      </c>
      <c r="L124" s="58" t="s">
        <v>232</v>
      </c>
      <c r="M124" s="59" t="s">
        <v>236</v>
      </c>
    </row>
    <row r="125" spans="1:18" x14ac:dyDescent="0.25">
      <c r="A125" s="288"/>
      <c r="B125" s="60">
        <v>0</v>
      </c>
      <c r="C125" s="60">
        <f>J4</f>
        <v>93.458610362213591</v>
      </c>
      <c r="D125" s="61">
        <f>D120</f>
        <v>77.917048806419402</v>
      </c>
      <c r="E125" s="61">
        <f>G46</f>
        <v>725.3067392879824</v>
      </c>
      <c r="F125" s="61">
        <f>D46</f>
        <v>498.46498740359391</v>
      </c>
      <c r="G125" s="61">
        <f>L46</f>
        <v>259.76260004362729</v>
      </c>
      <c r="H125" s="61">
        <f>J46</f>
        <v>54.233552453076179</v>
      </c>
      <c r="I125" s="61">
        <f>F74</f>
        <v>-15.428571900921376</v>
      </c>
      <c r="J125" s="61">
        <f>L74</f>
        <v>268.1409871549937</v>
      </c>
      <c r="K125" s="61">
        <f>D74</f>
        <v>503.67470780497382</v>
      </c>
      <c r="L125" s="61">
        <f>M74</f>
        <v>630.43434089853952</v>
      </c>
      <c r="M125" s="61">
        <f>I74</f>
        <v>-65.795177883979562</v>
      </c>
    </row>
  </sheetData>
  <mergeCells count="13">
    <mergeCell ref="A117:A125"/>
    <mergeCell ref="A15:C15"/>
    <mergeCell ref="A16:C16"/>
    <mergeCell ref="AM3:AO3"/>
    <mergeCell ref="AJ3:AL3"/>
    <mergeCell ref="AG3:AI3"/>
    <mergeCell ref="AP3:AR3"/>
    <mergeCell ref="I1:L1"/>
    <mergeCell ref="F1:H1"/>
    <mergeCell ref="A83:A91"/>
    <mergeCell ref="A100:A108"/>
    <mergeCell ref="N52:P52"/>
    <mergeCell ref="Q52:S5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9"/>
  <sheetViews>
    <sheetView topLeftCell="H28" zoomScale="55" zoomScaleNormal="55" workbookViewId="0">
      <selection activeCell="J112" sqref="J112"/>
    </sheetView>
  </sheetViews>
  <sheetFormatPr defaultColWidth="11.42578125" defaultRowHeight="15" x14ac:dyDescent="0.25"/>
  <cols>
    <col min="1" max="1" width="21" customWidth="1"/>
    <col min="2" max="10" width="22.7109375" customWidth="1"/>
    <col min="12" max="24" width="12.28515625" customWidth="1"/>
    <col min="27" max="27" width="24.7109375" customWidth="1"/>
    <col min="28" max="28" width="11.85546875" bestFit="1" customWidth="1"/>
    <col min="35" max="35" width="14.28515625" customWidth="1"/>
    <col min="36" max="36" width="20.5703125" customWidth="1"/>
    <col min="38" max="38" width="20.140625" customWidth="1"/>
    <col min="39" max="42" width="13.5703125" customWidth="1"/>
    <col min="43" max="43" width="14.5703125" customWidth="1"/>
    <col min="44" max="44" width="17.5703125" customWidth="1"/>
    <col min="45" max="45" width="14.28515625" bestFit="1" customWidth="1"/>
    <col min="46" max="46" width="18.5703125" bestFit="1" customWidth="1"/>
    <col min="47" max="47" width="17.42578125" bestFit="1" customWidth="1"/>
    <col min="48" max="48" width="14.42578125" bestFit="1" customWidth="1"/>
    <col min="50" max="50" width="17.140625" bestFit="1" customWidth="1"/>
    <col min="52" max="52" width="13.85546875" customWidth="1"/>
    <col min="53" max="53" width="15.7109375" customWidth="1"/>
    <col min="59" max="59" width="13.5703125" customWidth="1"/>
    <col min="60" max="60" width="22.140625" bestFit="1" customWidth="1"/>
    <col min="61" max="61" width="13.7109375" customWidth="1"/>
    <col min="62" max="62" width="19.85546875" customWidth="1"/>
    <col min="63" max="63" width="15.7109375" bestFit="1" customWidth="1"/>
    <col min="64" max="64" width="15.7109375" customWidth="1"/>
    <col min="65" max="65" width="14.42578125" bestFit="1" customWidth="1"/>
    <col min="66" max="68" width="13" customWidth="1"/>
    <col min="69" max="70" width="13.7109375" customWidth="1"/>
    <col min="71" max="71" width="18" bestFit="1" customWidth="1"/>
    <col min="72" max="72" width="18.5703125" bestFit="1" customWidth="1"/>
    <col min="73" max="73" width="13.7109375" customWidth="1"/>
    <col min="74" max="74" width="17.42578125" bestFit="1" customWidth="1"/>
    <col min="75" max="75" width="17.42578125" customWidth="1"/>
    <col min="76" max="76" width="34.85546875" bestFit="1" customWidth="1"/>
    <col min="77" max="77" width="31.140625" bestFit="1" customWidth="1"/>
    <col min="78" max="78" width="17.85546875" customWidth="1"/>
    <col min="79" max="79" width="18.7109375" customWidth="1"/>
    <col min="80" max="80" width="18.5703125" customWidth="1"/>
    <col min="81" max="81" width="23.42578125" customWidth="1"/>
    <col min="82" max="82" width="14.42578125" customWidth="1"/>
    <col min="83" max="83" width="27.7109375" customWidth="1"/>
    <col min="84" max="84" width="23" customWidth="1"/>
    <col min="85" max="85" width="24.42578125" customWidth="1"/>
    <col min="86" max="86" width="16.5703125" customWidth="1"/>
    <col min="87" max="87" width="16.7109375" customWidth="1"/>
    <col min="93" max="93" width="20" customWidth="1"/>
    <col min="96" max="96" width="19.42578125" bestFit="1" customWidth="1"/>
    <col min="98" max="98" width="13.140625" customWidth="1"/>
    <col min="110" max="110" width="20.5703125" customWidth="1"/>
    <col min="111" max="111" width="17.5703125" customWidth="1"/>
  </cols>
  <sheetData>
    <row r="1" spans="36:95" ht="15.75" thickBot="1" x14ac:dyDescent="0.3">
      <c r="AJ1" s="10" t="s">
        <v>503</v>
      </c>
      <c r="AK1" s="11"/>
      <c r="AL1" s="12"/>
      <c r="AS1" s="269" t="s">
        <v>432</v>
      </c>
      <c r="AT1" s="270"/>
      <c r="AU1" s="271"/>
      <c r="AV1" s="285" t="s">
        <v>422</v>
      </c>
      <c r="AW1" s="286"/>
      <c r="AX1" s="286"/>
      <c r="AY1" s="287"/>
      <c r="BA1" s="108" t="s">
        <v>476</v>
      </c>
      <c r="BB1" s="110">
        <f>'1D Analysis'!N3</f>
        <v>1240</v>
      </c>
      <c r="BC1" s="2"/>
      <c r="BD1" s="2"/>
    </row>
    <row r="2" spans="36:95" x14ac:dyDescent="0.25">
      <c r="AJ2" s="9" t="str">
        <f t="shared" ref="AJ2:AL3" si="0">CF4</f>
        <v>T01</v>
      </c>
      <c r="AK2" s="3">
        <f t="shared" si="0"/>
        <v>1400</v>
      </c>
      <c r="AL2" s="5" t="str">
        <f t="shared" si="0"/>
        <v>[K]</v>
      </c>
      <c r="AS2" s="120" t="s">
        <v>419</v>
      </c>
      <c r="AT2" s="121">
        <f>CG14</f>
        <v>0.11906100719891113</v>
      </c>
      <c r="AU2" s="122" t="s">
        <v>183</v>
      </c>
      <c r="AV2" s="110"/>
      <c r="AW2" s="116">
        <v>1</v>
      </c>
      <c r="AX2" s="117">
        <v>2</v>
      </c>
      <c r="AY2" s="118">
        <v>3</v>
      </c>
      <c r="BA2" s="111" t="s">
        <v>477</v>
      </c>
      <c r="BB2" s="112">
        <f>'1D Analysis'!N2</f>
        <v>1.3</v>
      </c>
      <c r="BC2" s="2"/>
      <c r="BD2" s="2"/>
      <c r="CF2" t="s">
        <v>411</v>
      </c>
    </row>
    <row r="3" spans="36:95" ht="15.75" thickBot="1" x14ac:dyDescent="0.3">
      <c r="AJ3" s="9" t="str">
        <f t="shared" si="0"/>
        <v>P01</v>
      </c>
      <c r="AK3" s="3">
        <f t="shared" si="0"/>
        <v>397194</v>
      </c>
      <c r="AL3" s="5" t="str">
        <f t="shared" si="0"/>
        <v>Pa</v>
      </c>
      <c r="AS3" s="123" t="s">
        <v>421</v>
      </c>
      <c r="AT3" s="42">
        <f>CG15</f>
        <v>0.10715490647902003</v>
      </c>
      <c r="AU3" s="124" t="s">
        <v>183</v>
      </c>
      <c r="AV3" s="119" t="s">
        <v>423</v>
      </c>
      <c r="AW3" s="3">
        <f>CG6</f>
        <v>93.458610362213591</v>
      </c>
      <c r="AX3" s="3">
        <f>CJ6</f>
        <v>778.66728894916071</v>
      </c>
      <c r="AY3" s="3">
        <f>CM8</f>
        <v>263.91731020115793</v>
      </c>
      <c r="BA3" s="111" t="s">
        <v>478</v>
      </c>
      <c r="BB3" s="112">
        <f>'1D Analysis'!Q2</f>
        <v>0.30000000000000004</v>
      </c>
      <c r="BC3" s="2"/>
      <c r="BD3" s="2"/>
      <c r="CF3" s="306" t="s">
        <v>412</v>
      </c>
      <c r="CG3" s="306"/>
      <c r="CH3" s="306"/>
      <c r="CI3" s="293" t="s">
        <v>413</v>
      </c>
      <c r="CJ3" s="293"/>
      <c r="CK3" s="293"/>
      <c r="CL3" s="292" t="s">
        <v>414</v>
      </c>
      <c r="CM3" s="292"/>
      <c r="CN3" s="292"/>
      <c r="CO3" s="305" t="s">
        <v>415</v>
      </c>
      <c r="CP3" s="305"/>
      <c r="CQ3" s="305"/>
    </row>
    <row r="4" spans="36:95" x14ac:dyDescent="0.25">
      <c r="AJ4" s="9" t="str">
        <f t="shared" ref="AJ4:AL8" si="1">CF7</f>
        <v>T1</v>
      </c>
      <c r="AK4" s="3">
        <f t="shared" si="1"/>
        <v>1396.4780194149855</v>
      </c>
      <c r="AL4" s="5" t="str">
        <f t="shared" si="1"/>
        <v>[K]</v>
      </c>
      <c r="AS4" s="123" t="s">
        <v>207</v>
      </c>
      <c r="AT4" s="42">
        <f>CG10</f>
        <v>8.4614068541261512E-3</v>
      </c>
      <c r="AU4" s="124" t="s">
        <v>144</v>
      </c>
      <c r="AV4" s="119" t="s">
        <v>424</v>
      </c>
      <c r="AW4" s="3">
        <f>CG6*COS(RADIANS(CG12))</f>
        <v>93.458610362213591</v>
      </c>
      <c r="AX4" s="3">
        <f>CJ13</f>
        <v>197.59301075916201</v>
      </c>
      <c r="AY4" s="3">
        <f>CM17</f>
        <v>254.08869342764129</v>
      </c>
      <c r="BA4" s="111" t="s">
        <v>479</v>
      </c>
      <c r="BB4" s="112">
        <f>'1D Analysis'!U2</f>
        <v>0.23076923076923078</v>
      </c>
      <c r="BC4" s="2"/>
      <c r="BD4" s="2"/>
      <c r="CF4" s="10" t="str">
        <f>'1D Analysis'!F18</f>
        <v>T01</v>
      </c>
      <c r="CG4" s="11">
        <f>'1D Analysis'!G18</f>
        <v>1400</v>
      </c>
      <c r="CH4" s="12" t="str">
        <f>'1D Analysis'!H18</f>
        <v>[K]</v>
      </c>
      <c r="CI4" s="108" t="str">
        <f>'1D Analysis'!J18</f>
        <v>T02</v>
      </c>
      <c r="CJ4" s="109">
        <f>'1D Analysis'!K18</f>
        <v>1400</v>
      </c>
      <c r="CK4" s="109" t="str">
        <f>'1D Analysis'!L18</f>
        <v>[K]</v>
      </c>
      <c r="CL4" s="108" t="str">
        <f>'1D Analysis'!N18</f>
        <v>M3 impose</v>
      </c>
      <c r="CM4" s="109">
        <f>'1D Analysis'!O18</f>
        <v>0.42</v>
      </c>
      <c r="CN4" s="109" t="str">
        <f>'1D Analysis'!P18</f>
        <v>[-]</v>
      </c>
      <c r="CO4" s="108" t="str">
        <f>'1D Analysis'!R18</f>
        <v>AHT euler based</v>
      </c>
      <c r="CP4" s="109">
        <f>'1D Analysis'!S18</f>
        <v>390450.78145086387</v>
      </c>
      <c r="CQ4" s="110" t="str">
        <f>'1D Analysis'!T18</f>
        <v>J/kg</v>
      </c>
    </row>
    <row r="5" spans="36:95" ht="15.75" thickBot="1" x14ac:dyDescent="0.3">
      <c r="AJ5" s="9" t="str">
        <f t="shared" si="1"/>
        <v>P1</v>
      </c>
      <c r="AK5" s="3">
        <f t="shared" si="1"/>
        <v>392882.16115195543</v>
      </c>
      <c r="AL5" s="5" t="str">
        <f t="shared" si="1"/>
        <v>[Pa]</v>
      </c>
      <c r="AS5" s="123" t="s">
        <v>433</v>
      </c>
      <c r="AT5" s="42">
        <f>0.5*(AT3+AT2)</f>
        <v>0.11310795683896557</v>
      </c>
      <c r="AU5" s="124" t="s">
        <v>183</v>
      </c>
      <c r="AV5" s="119" t="s">
        <v>425</v>
      </c>
      <c r="AW5" s="3">
        <f>AW3*SIN(RADIANS(CG12))</f>
        <v>0</v>
      </c>
      <c r="AX5" s="3">
        <f>CJ14</f>
        <v>753.17975874193894</v>
      </c>
      <c r="AY5" s="3">
        <f>CM18</f>
        <v>-71.353223445394065</v>
      </c>
      <c r="BA5" s="113" t="s">
        <v>480</v>
      </c>
      <c r="BB5" s="115">
        <f>'1D Analysis'!S2</f>
        <v>4.333333333333333</v>
      </c>
      <c r="BC5" s="2"/>
      <c r="BD5" s="2"/>
      <c r="CF5" s="9" t="str">
        <f>'1D Analysis'!F19</f>
        <v>P01</v>
      </c>
      <c r="CG5" s="3">
        <f>'1D Analysis'!G19</f>
        <v>397194</v>
      </c>
      <c r="CH5" s="5" t="str">
        <f>'1D Analysis'!H19</f>
        <v>Pa</v>
      </c>
      <c r="CI5" s="111" t="str">
        <f>'1D Analysis'!J19</f>
        <v>P02</v>
      </c>
      <c r="CJ5" s="2">
        <f>'1D Analysis'!K19</f>
        <v>353263.77245638217</v>
      </c>
      <c r="CK5" s="2" t="str">
        <f>'1D Analysis'!L19</f>
        <v>[Pa]</v>
      </c>
      <c r="CL5" s="111" t="str">
        <f>'1D Analysis'!N19</f>
        <v>P3 impose</v>
      </c>
      <c r="CM5" s="2">
        <f>'1D Analysis'!O19</f>
        <v>90483.171697279278</v>
      </c>
      <c r="CN5" s="2" t="str">
        <f>'1D Analysis'!P19</f>
        <v>[Pa]</v>
      </c>
      <c r="CO5" s="111" t="str">
        <f>'1D Analysis'!R19</f>
        <v>AHT T0 based</v>
      </c>
      <c r="CP5" s="2">
        <f>'1D Analysis'!S19</f>
        <v>390450.78145086375</v>
      </c>
      <c r="CQ5" s="112" t="str">
        <f>'1D Analysis'!T19</f>
        <v>J/kg</v>
      </c>
    </row>
    <row r="6" spans="36:95" x14ac:dyDescent="0.25">
      <c r="AJ6" s="9" t="str">
        <f t="shared" si="1"/>
        <v>rho1</v>
      </c>
      <c r="AK6" s="3">
        <f t="shared" si="1"/>
        <v>0.98316999999999988</v>
      </c>
      <c r="AL6" s="5" t="str">
        <f t="shared" si="1"/>
        <v>[kg/m^3]</v>
      </c>
      <c r="AS6" s="131" t="s">
        <v>257</v>
      </c>
      <c r="AT6" s="2">
        <f>AT2-AT3</f>
        <v>1.1906100719891108E-2</v>
      </c>
      <c r="AU6" s="112"/>
      <c r="AV6" s="119" t="s">
        <v>426</v>
      </c>
      <c r="AW6" s="3">
        <f>CG12</f>
        <v>0</v>
      </c>
      <c r="AX6" s="3">
        <f>CJ12</f>
        <v>75.3</v>
      </c>
      <c r="AY6" s="3">
        <f>CM16</f>
        <v>-15.685811710589164</v>
      </c>
      <c r="BA6" s="141" t="s">
        <v>100</v>
      </c>
      <c r="BB6">
        <f>BB1-BB1/BB2</f>
        <v>286.15384615384619</v>
      </c>
      <c r="CF6" s="9" t="str">
        <f>'1D Analysis'!F20</f>
        <v>V1</v>
      </c>
      <c r="CG6" s="3">
        <f>'1D Analysis'!G20</f>
        <v>93.458610362213591</v>
      </c>
      <c r="CH6" s="5" t="str">
        <f>'1D Analysis'!H20</f>
        <v>[m/s]</v>
      </c>
      <c r="CI6" s="111" t="str">
        <f>'1D Analysis'!J20</f>
        <v>V2</v>
      </c>
      <c r="CJ6" s="2">
        <f>'1D Analysis'!K20</f>
        <v>778.66728894916071</v>
      </c>
      <c r="CK6" s="2" t="str">
        <f>'1D Analysis'!L20</f>
        <v>[m/s]</v>
      </c>
      <c r="CL6" s="111" t="str">
        <f>'1D Analysis'!N20</f>
        <v>T03</v>
      </c>
      <c r="CM6" s="2">
        <f>'1D Analysis'!O20</f>
        <v>1085.120337539626</v>
      </c>
      <c r="CN6" s="2" t="str">
        <f>'1D Analysis'!P20</f>
        <v>[K]</v>
      </c>
      <c r="CO6" s="111" t="str">
        <f>'1D Analysis'!R20</f>
        <v>GRp</v>
      </c>
      <c r="CP6" s="2">
        <f>'1D Analysis'!S20</f>
        <v>0.32</v>
      </c>
      <c r="CQ6" s="112"/>
    </row>
    <row r="7" spans="36:95" x14ac:dyDescent="0.25">
      <c r="AJ7" s="9" t="str">
        <f t="shared" si="1"/>
        <v>A1</v>
      </c>
      <c r="AK7" s="3">
        <f t="shared" si="1"/>
        <v>8.4614068541261512E-3</v>
      </c>
      <c r="AL7" s="5" t="str">
        <f t="shared" si="1"/>
        <v>m2</v>
      </c>
      <c r="AS7" s="123" t="s">
        <v>256</v>
      </c>
      <c r="AT7" s="42">
        <f>CM27</f>
        <v>0.1190536529348208</v>
      </c>
      <c r="AU7" s="124" t="s">
        <v>183</v>
      </c>
      <c r="AV7" s="119" t="s">
        <v>427</v>
      </c>
      <c r="AW7" s="3">
        <v>0</v>
      </c>
      <c r="AX7" s="3">
        <f>CJ23</f>
        <v>473.54173803341428</v>
      </c>
      <c r="AY7" s="3">
        <f>CP27</f>
        <v>473.54173803341428</v>
      </c>
      <c r="CF7" s="9" t="str">
        <f>'1D Analysis'!F21</f>
        <v>T1</v>
      </c>
      <c r="CG7" s="3">
        <f>'1D Analysis'!G21</f>
        <v>1396.4780194149855</v>
      </c>
      <c r="CH7" s="5" t="str">
        <f>'1D Analysis'!H21</f>
        <v>[K]</v>
      </c>
      <c r="CI7" s="111" t="str">
        <f>'1D Analysis'!J21</f>
        <v>T2</v>
      </c>
      <c r="CJ7" s="2">
        <f>'1D Analysis'!K21</f>
        <v>1155.5150214195824</v>
      </c>
      <c r="CK7" s="2" t="str">
        <f>'1D Analysis'!L21</f>
        <v>[K]</v>
      </c>
      <c r="CL7" s="111" t="str">
        <f>'1D Analysis'!N21</f>
        <v>P03</v>
      </c>
      <c r="CM7" s="2">
        <f>'1D Analysis'!O21</f>
        <v>101372.1471611845</v>
      </c>
      <c r="CN7" s="2" t="str">
        <f>'1D Analysis'!P21</f>
        <v>[Pa]</v>
      </c>
      <c r="CO7" s="111" t="str">
        <f>'1D Analysis'!R21</f>
        <v>GrH</v>
      </c>
      <c r="CP7" s="2">
        <f>'1D Analysis'!S21</f>
        <v>0.3287490022899312</v>
      </c>
      <c r="CQ7" s="112"/>
    </row>
    <row r="8" spans="36:95" x14ac:dyDescent="0.25">
      <c r="AJ8" s="9" t="str">
        <f t="shared" si="1"/>
        <v>M1</v>
      </c>
      <c r="AK8" s="3">
        <f t="shared" si="1"/>
        <v>0.12966739831454782</v>
      </c>
      <c r="AL8" s="5" t="str">
        <f t="shared" si="1"/>
        <v>[-]</v>
      </c>
      <c r="AS8" s="123" t="s">
        <v>254</v>
      </c>
      <c r="AT8" s="42">
        <f>CM26</f>
        <v>0.10714828764133873</v>
      </c>
      <c r="AU8" s="124" t="s">
        <v>183</v>
      </c>
      <c r="AV8" s="119" t="s">
        <v>428</v>
      </c>
      <c r="AW8" s="3">
        <v>0</v>
      </c>
      <c r="AX8" s="3">
        <f>CJ15</f>
        <v>342.40388509281195</v>
      </c>
      <c r="AY8" s="3">
        <f>CM19</f>
        <v>601.22506864963464</v>
      </c>
      <c r="CF8" s="9" t="str">
        <f>'1D Analysis'!F22</f>
        <v>P1</v>
      </c>
      <c r="CG8" s="3">
        <f>'1D Analysis'!G22</f>
        <v>392882.16115195543</v>
      </c>
      <c r="CH8" s="5" t="str">
        <f>'1D Analysis'!H22</f>
        <v>[Pa]</v>
      </c>
      <c r="CI8" s="111" t="str">
        <f>'1D Analysis'!J22</f>
        <v>P2 chose</v>
      </c>
      <c r="CJ8" s="2">
        <f>'1D Analysis'!K22</f>
        <v>153781.89040757008</v>
      </c>
      <c r="CK8" s="2" t="str">
        <f>'1D Analysis'!L22</f>
        <v>[Pa]</v>
      </c>
      <c r="CL8" s="111" t="str">
        <f>'1D Analysis'!N22</f>
        <v>V3</v>
      </c>
      <c r="CM8" s="2">
        <f>'1D Analysis'!O22</f>
        <v>263.91731020115793</v>
      </c>
      <c r="CN8" s="2" t="str">
        <f>'1D Analysis'!P22</f>
        <v>[m/s]</v>
      </c>
      <c r="CO8" s="111" t="str">
        <f>'1D Analysis'!R22</f>
        <v>Abetta</v>
      </c>
      <c r="CP8" s="2">
        <f>'1D Analysis'!S22</f>
        <v>119.75486523466353</v>
      </c>
      <c r="CQ8" s="112" t="str">
        <f>'1D Analysis'!T22</f>
        <v>[º]</v>
      </c>
    </row>
    <row r="9" spans="36:95" x14ac:dyDescent="0.25">
      <c r="AJ9" s="9" t="s">
        <v>416</v>
      </c>
      <c r="AK9" s="3">
        <f>CG12</f>
        <v>0</v>
      </c>
      <c r="AL9" s="5" t="s">
        <v>121</v>
      </c>
      <c r="AS9" s="123" t="s">
        <v>208</v>
      </c>
      <c r="AT9" s="42">
        <f>CM25</f>
        <v>8.4603615832992661E-3</v>
      </c>
      <c r="AU9" s="124" t="s">
        <v>144</v>
      </c>
      <c r="AV9" s="119" t="s">
        <v>429</v>
      </c>
      <c r="AW9" s="3">
        <v>0</v>
      </c>
      <c r="AX9" s="3">
        <f>CJ19</f>
        <v>197.59301075916201</v>
      </c>
      <c r="AY9" s="3">
        <f>CM24</f>
        <v>254.08869342764129</v>
      </c>
      <c r="CF9" s="9" t="str">
        <f>'1D Analysis'!F23</f>
        <v>rho1</v>
      </c>
      <c r="CG9" s="3">
        <f>'1D Analysis'!G23</f>
        <v>0.98316999999999988</v>
      </c>
      <c r="CH9" s="5" t="str">
        <f>'1D Analysis'!H23</f>
        <v>[kg/m^3]</v>
      </c>
      <c r="CI9" s="111" t="str">
        <f>'1D Analysis'!J23</f>
        <v>rho2</v>
      </c>
      <c r="CJ9" s="2">
        <f>'1D Analysis'!K23</f>
        <v>0.46508251481598428</v>
      </c>
      <c r="CK9" s="2" t="str">
        <f>'1D Analysis'!L23</f>
        <v>[kg/m3]</v>
      </c>
      <c r="CL9" s="111" t="str">
        <f>'1D Analysis'!N23</f>
        <v>T3</v>
      </c>
      <c r="CM9" s="2">
        <f>'1D Analysis'!O23</f>
        <v>1057.0347139009912</v>
      </c>
      <c r="CN9" s="2" t="str">
        <f>'1D Analysis'!P23</f>
        <v>[K]</v>
      </c>
      <c r="CO9" s="111" t="str">
        <f>'1D Analysis'!R23</f>
        <v>h3/h2</v>
      </c>
      <c r="CP9" s="2">
        <f>'1D Analysis'!S23</f>
        <v>1.2090305450947048</v>
      </c>
      <c r="CQ9" s="112"/>
    </row>
    <row r="10" spans="36:95" x14ac:dyDescent="0.25">
      <c r="AJ10" s="9" t="str">
        <f>CF6</f>
        <v>V1</v>
      </c>
      <c r="AK10" s="3">
        <f>CG6</f>
        <v>93.458610362213591</v>
      </c>
      <c r="AL10" s="5" t="str">
        <f>CH6</f>
        <v>[m/s]</v>
      </c>
      <c r="AS10" s="123" t="s">
        <v>276</v>
      </c>
      <c r="AT10" s="42">
        <f>0.5*(AT8+AT7)</f>
        <v>0.11310097028807976</v>
      </c>
      <c r="AU10" s="124" t="s">
        <v>183</v>
      </c>
      <c r="AV10" s="119" t="s">
        <v>430</v>
      </c>
      <c r="AW10" s="3">
        <v>0</v>
      </c>
      <c r="AX10" s="3">
        <f>CJ20</f>
        <v>279.63802070852466</v>
      </c>
      <c r="AY10" s="3">
        <f>CP25</f>
        <v>-544.89496147880834</v>
      </c>
      <c r="CF10" s="9" t="str">
        <f>'1D Analysis'!F24</f>
        <v>A1</v>
      </c>
      <c r="CG10" s="3">
        <f>'1D Analysis'!G24</f>
        <v>8.4614068541261512E-3</v>
      </c>
      <c r="CH10" s="5" t="str">
        <f>'1D Analysis'!H24</f>
        <v>m2</v>
      </c>
      <c r="CI10" s="111" t="str">
        <f>'1D Analysis'!J24</f>
        <v>T2is</v>
      </c>
      <c r="CJ10" s="2">
        <f>'1D Analysis'!K24</f>
        <v>1124.6790781752054</v>
      </c>
      <c r="CK10" s="2" t="str">
        <f>'1D Analysis'!L24</f>
        <v>[K]</v>
      </c>
      <c r="CL10" s="111" t="str">
        <f>'1D Analysis'!N24</f>
        <v>P3</v>
      </c>
      <c r="CM10" s="2">
        <f>'1D Analysis'!O24</f>
        <v>90483.171697279337</v>
      </c>
      <c r="CN10" s="2" t="str">
        <f>'1D Analysis'!P24</f>
        <v>[Pa]</v>
      </c>
      <c r="CO10" s="111" t="str">
        <f>'1D Analysis'!R24</f>
        <v>A3/A2</v>
      </c>
      <c r="CP10" s="2">
        <f>'1D Analysis'!S24</f>
        <v>1.2090305450947043</v>
      </c>
      <c r="CQ10" s="112"/>
    </row>
    <row r="11" spans="36:95" x14ac:dyDescent="0.25">
      <c r="AJ11" s="9" t="s">
        <v>419</v>
      </c>
      <c r="AK11" s="3">
        <f>CG14</f>
        <v>0.11906100719891113</v>
      </c>
      <c r="AL11" s="5" t="str">
        <f>CH14</f>
        <v>m</v>
      </c>
      <c r="AS11" s="144" t="s">
        <v>257</v>
      </c>
      <c r="AT11" s="2">
        <f>AT7-AT8</f>
        <v>1.1905365293482073E-2</v>
      </c>
      <c r="AU11" s="112"/>
      <c r="AV11" s="119" t="s">
        <v>431</v>
      </c>
      <c r="AW11" s="3">
        <v>0</v>
      </c>
      <c r="AX11" s="3">
        <f>CJ18</f>
        <v>54.754865234663527</v>
      </c>
      <c r="AY11" s="3">
        <f>CM23</f>
        <v>-65</v>
      </c>
      <c r="CF11" s="9" t="str">
        <f>'1D Analysis'!F25</f>
        <v>M1</v>
      </c>
      <c r="CG11" s="3">
        <f>'1D Analysis'!G25</f>
        <v>0.12966739831454782</v>
      </c>
      <c r="CH11" s="5" t="str">
        <f>'1D Analysis'!H25</f>
        <v>[-]</v>
      </c>
      <c r="CI11" s="111" t="str">
        <f>'1D Analysis'!J25</f>
        <v>M2</v>
      </c>
      <c r="CJ11" s="2">
        <f>'1D Analysis'!K25</f>
        <v>1.1876614582508591</v>
      </c>
      <c r="CK11" s="2" t="str">
        <f>'1D Analysis'!L25</f>
        <v>[-]</v>
      </c>
      <c r="CL11" s="111" t="str">
        <f>'1D Analysis'!N25</f>
        <v>rho3</v>
      </c>
      <c r="CM11" s="2">
        <f>'1D Analysis'!O25</f>
        <v>0.29914309162892455</v>
      </c>
      <c r="CN11" s="2" t="str">
        <f>'1D Analysis'!P25</f>
        <v>[kg/m3]</v>
      </c>
      <c r="CO11" s="111" t="str">
        <f>'1D Analysis'!R25</f>
        <v>V2x/v1x</v>
      </c>
      <c r="CP11" s="2">
        <f>'1D Analysis'!S25</f>
        <v>2.1142301388107434</v>
      </c>
      <c r="CQ11" s="112"/>
    </row>
    <row r="12" spans="36:95" ht="15.75" thickBot="1" x14ac:dyDescent="0.3">
      <c r="AJ12" s="13" t="s">
        <v>421</v>
      </c>
      <c r="AK12" s="7">
        <f>CG15</f>
        <v>0.10715490647902003</v>
      </c>
      <c r="AL12" s="8" t="str">
        <f>CH15</f>
        <v>m</v>
      </c>
      <c r="AS12" s="123" t="s">
        <v>156</v>
      </c>
      <c r="AT12" s="42">
        <f>CP32</f>
        <v>0.12029794543324487</v>
      </c>
      <c r="AU12" s="124" t="s">
        <v>183</v>
      </c>
      <c r="CF12" s="9" t="str">
        <f>'1D Analysis'!F26</f>
        <v>Alpha1</v>
      </c>
      <c r="CG12" s="3">
        <f>'1D Analysis'!G26</f>
        <v>0</v>
      </c>
      <c r="CH12" s="5" t="str">
        <f>'1D Analysis'!H26</f>
        <v>[º]</v>
      </c>
      <c r="CI12" s="111" t="str">
        <f>'1D Analysis'!J26</f>
        <v>Alpha2</v>
      </c>
      <c r="CJ12" s="2">
        <f>'1D Analysis'!K26</f>
        <v>75.3</v>
      </c>
      <c r="CK12" s="2" t="str">
        <f>'1D Analysis'!L26</f>
        <v>[º]</v>
      </c>
      <c r="CL12" s="111" t="str">
        <f>'1D Analysis'!N26</f>
        <v>T3is</v>
      </c>
      <c r="CM12" s="2">
        <f>'1D Analysis'!O26</f>
        <v>1022.3999406809887</v>
      </c>
      <c r="CN12" s="2" t="str">
        <f>'1D Analysis'!P26</f>
        <v>[K]</v>
      </c>
      <c r="CO12" s="111" t="str">
        <f>'1D Analysis'!R26</f>
        <v>V3x/v2x</v>
      </c>
      <c r="CP12" s="2">
        <f>'1D Analysis'!S26</f>
        <v>1.2859194384023003</v>
      </c>
      <c r="CQ12" s="112"/>
    </row>
    <row r="13" spans="36:95" x14ac:dyDescent="0.25">
      <c r="AP13" s="3" t="s">
        <v>210</v>
      </c>
      <c r="AQ13" s="3">
        <f>AQ14-AW3^2/2/BB1</f>
        <v>1396.4780194149855</v>
      </c>
      <c r="AS13" s="123" t="s">
        <v>255</v>
      </c>
      <c r="AT13" s="42">
        <f>CP31</f>
        <v>0.10590399514291465</v>
      </c>
      <c r="AU13" s="124" t="s">
        <v>183</v>
      </c>
      <c r="CF13" s="9" t="str">
        <f>'1D Analysis'!F27</f>
        <v>m1</v>
      </c>
      <c r="CG13" s="3">
        <f>'1D Analysis'!G27</f>
        <v>0.7774823082743787</v>
      </c>
      <c r="CH13" s="5" t="str">
        <f>'1D Analysis'!H27</f>
        <v>[kg/s]</v>
      </c>
      <c r="CI13" s="111" t="str">
        <f>'1D Analysis'!J27</f>
        <v>V2x</v>
      </c>
      <c r="CJ13" s="2">
        <f>'1D Analysis'!K27</f>
        <v>197.59301075916201</v>
      </c>
      <c r="CK13" s="2" t="str">
        <f>'1D Analysis'!L27</f>
        <v>[m/s]</v>
      </c>
      <c r="CL13" s="111" t="str">
        <f>'1D Analysis'!N27</f>
        <v>T3iss</v>
      </c>
      <c r="CM13" s="2">
        <f>'1D Analysis'!O27</f>
        <v>995.11629143412597</v>
      </c>
      <c r="CN13" s="2" t="str">
        <f>'1D Analysis'!P27</f>
        <v>[K]</v>
      </c>
      <c r="CO13" s="111" t="str">
        <f>'1D Analysis'!R27</f>
        <v>etaTT</v>
      </c>
      <c r="CP13" s="2">
        <f>'1D Analysis'!S27</f>
        <v>0.8356721412774113</v>
      </c>
      <c r="CQ13" s="112"/>
    </row>
    <row r="14" spans="36:95" x14ac:dyDescent="0.25">
      <c r="AP14" s="3" t="s">
        <v>7</v>
      </c>
      <c r="AQ14" s="3">
        <f>CG4</f>
        <v>1400</v>
      </c>
      <c r="AS14" s="123" t="s">
        <v>154</v>
      </c>
      <c r="AT14" s="42">
        <f>CP30</f>
        <v>1.0228835576754608E-2</v>
      </c>
      <c r="AU14" s="124" t="s">
        <v>144</v>
      </c>
      <c r="CF14" s="9" t="str">
        <f>'1D Analysis'!F28</f>
        <v>Rt1</v>
      </c>
      <c r="CG14" s="3">
        <f>'1D Analysis'!G28</f>
        <v>0.11906100719891113</v>
      </c>
      <c r="CH14" s="5" t="str">
        <f>'1D Analysis'!H28</f>
        <v>m</v>
      </c>
      <c r="CI14" s="111" t="str">
        <f>'1D Analysis'!J28</f>
        <v>V2u</v>
      </c>
      <c r="CJ14" s="2">
        <f>'1D Analysis'!K28</f>
        <v>753.17975874193894</v>
      </c>
      <c r="CK14" s="2" t="str">
        <f>'1D Analysis'!L28</f>
        <v>[m/s]</v>
      </c>
      <c r="CL14" s="111" t="str">
        <f>'1D Analysis'!N28</f>
        <v>M3 achieve</v>
      </c>
      <c r="CM14" s="2">
        <f>'1D Analysis'!O28</f>
        <v>0.42087369356009224</v>
      </c>
      <c r="CN14" s="2" t="str">
        <f>'1D Analysis'!P28</f>
        <v>[-]</v>
      </c>
      <c r="CO14" s="111" t="str">
        <f>'1D Analysis'!R28</f>
        <v>etaTS</v>
      </c>
      <c r="CP14" s="2">
        <f>'1D Analysis'!S28</f>
        <v>0.77770395745410292</v>
      </c>
      <c r="CQ14" s="112"/>
    </row>
    <row r="15" spans="36:95" x14ac:dyDescent="0.25">
      <c r="AJ15" s="265" t="s">
        <v>442</v>
      </c>
      <c r="AK15" s="265"/>
      <c r="AL15" s="265"/>
      <c r="AP15" s="3" t="s">
        <v>35</v>
      </c>
      <c r="AQ15" s="3">
        <f>CJ4</f>
        <v>1400</v>
      </c>
      <c r="AS15" s="123" t="s">
        <v>275</v>
      </c>
      <c r="AT15" s="42">
        <f>0.5*(AT13+AT12)</f>
        <v>0.11310097028807976</v>
      </c>
      <c r="AU15" s="124" t="s">
        <v>183</v>
      </c>
      <c r="CF15" s="9" t="str">
        <f>'1D Analysis'!F29</f>
        <v>Rh1</v>
      </c>
      <c r="CG15" s="3">
        <f>'1D Analysis'!G29</f>
        <v>0.10715490647902003</v>
      </c>
      <c r="CH15" s="5" t="str">
        <f>'1D Analysis'!H29</f>
        <v>m</v>
      </c>
      <c r="CI15" s="111" t="str">
        <f>'1D Analysis'!J29</f>
        <v>W2</v>
      </c>
      <c r="CJ15" s="2">
        <f>'1D Analysis'!K29</f>
        <v>342.40388509281195</v>
      </c>
      <c r="CK15" s="2" t="str">
        <f>'1D Analysis'!L29</f>
        <v>[m/s]</v>
      </c>
      <c r="CL15" s="111" t="str">
        <f>'1D Analysis'!N29</f>
        <v>P3 achieve</v>
      </c>
      <c r="CM15" s="2">
        <f>'1D Analysis'!O29</f>
        <v>90483.171697279337</v>
      </c>
      <c r="CN15" s="2" t="str">
        <f>'1D Analysis'!P29</f>
        <v>[Pa]</v>
      </c>
      <c r="CO15" s="111" t="str">
        <f>'1D Analysis'!R29</f>
        <v>W3/w2</v>
      </c>
      <c r="CP15" s="2">
        <f>'1D Analysis'!S29</f>
        <v>1.7558944124908706</v>
      </c>
      <c r="CQ15" s="112"/>
    </row>
    <row r="16" spans="36:95" x14ac:dyDescent="0.25">
      <c r="AJ16" s="291" t="s">
        <v>443</v>
      </c>
      <c r="AK16" s="291"/>
      <c r="AL16" s="291"/>
      <c r="AM16" t="s">
        <v>444</v>
      </c>
      <c r="AN16" t="s">
        <v>515</v>
      </c>
      <c r="AP16" s="3" t="s">
        <v>10</v>
      </c>
      <c r="AQ16" s="3">
        <f>CM6</f>
        <v>1085.120337539626</v>
      </c>
      <c r="AS16" s="144" t="s">
        <v>155</v>
      </c>
      <c r="AT16" s="2">
        <f>AT12-AT13</f>
        <v>1.4393950290330221E-2</v>
      </c>
      <c r="AU16" s="112"/>
      <c r="CF16" s="9" t="str">
        <f>'1D Analysis'!F30</f>
        <v>h1 blade</v>
      </c>
      <c r="CG16" s="3">
        <f>'1D Analysis'!G30</f>
        <v>1.1906100719891108E-2</v>
      </c>
      <c r="CH16" s="5" t="str">
        <f>'1D Analysis'!H30</f>
        <v>m</v>
      </c>
      <c r="CI16" s="111" t="str">
        <f>'1D Analysis'!J30</f>
        <v>T02r</v>
      </c>
      <c r="CJ16" s="2">
        <f>'1D Analysis'!K30</f>
        <v>1202.7893845351678</v>
      </c>
      <c r="CK16" s="2" t="str">
        <f>'1D Analysis'!L30</f>
        <v>[K]</v>
      </c>
      <c r="CL16" s="111" t="str">
        <f>'1D Analysis'!N30</f>
        <v>Alpha3</v>
      </c>
      <c r="CM16" s="2">
        <f>'1D Analysis'!O30</f>
        <v>-15.685811710589164</v>
      </c>
      <c r="CN16" s="2" t="str">
        <f>'1D Analysis'!P30</f>
        <v>[º]</v>
      </c>
      <c r="CO16" s="111" t="str">
        <f>'1D Analysis'!R30</f>
        <v>loading factor</v>
      </c>
      <c r="CP16" s="2">
        <f>'1D Analysis'!S30</f>
        <v>1.75</v>
      </c>
      <c r="CQ16" s="112"/>
    </row>
    <row r="17" spans="1:133" ht="15.75" thickBot="1" x14ac:dyDescent="0.3">
      <c r="AM17" t="s">
        <v>445</v>
      </c>
      <c r="AN17" t="s">
        <v>447</v>
      </c>
      <c r="AP17" s="3" t="s">
        <v>123</v>
      </c>
      <c r="AQ17" s="3">
        <f>CJ16</f>
        <v>1202.7893845351678</v>
      </c>
      <c r="AS17" s="125" t="s">
        <v>448</v>
      </c>
      <c r="AT17" s="126">
        <f>CP36</f>
        <v>4186.8936829388367</v>
      </c>
      <c r="AU17" s="127" t="s">
        <v>184</v>
      </c>
      <c r="CF17" s="9" t="s">
        <v>71</v>
      </c>
      <c r="CG17" s="3">
        <f>'1D Analysis'!G31</f>
        <v>0.7774823082743787</v>
      </c>
      <c r="CH17" s="5"/>
      <c r="CI17" s="111" t="str">
        <f>'1D Analysis'!J31</f>
        <v>P02r</v>
      </c>
      <c r="CJ17" s="2">
        <f>'1D Analysis'!K31</f>
        <v>182964.07424652783</v>
      </c>
      <c r="CK17" s="2" t="str">
        <f>'1D Analysis'!L31</f>
        <v>[Pa]</v>
      </c>
      <c r="CL17" s="111" t="str">
        <f>'1D Analysis'!N31</f>
        <v>V3x</v>
      </c>
      <c r="CM17" s="2">
        <f>'1D Analysis'!O31</f>
        <v>254.08869342764129</v>
      </c>
      <c r="CN17" s="2" t="str">
        <f>'1D Analysis'!P31</f>
        <v>[m/s]</v>
      </c>
      <c r="CO17" s="111" t="str">
        <f>'1D Analysis'!R31</f>
        <v>flow coefficient</v>
      </c>
      <c r="CP17" s="2">
        <f>'1D Analysis'!S31</f>
        <v>0.536570851141557</v>
      </c>
      <c r="CQ17" s="112"/>
    </row>
    <row r="18" spans="1:133" ht="15.75" thickBot="1" x14ac:dyDescent="0.3">
      <c r="AJ18" s="108" t="s">
        <v>449</v>
      </c>
      <c r="AK18" s="110">
        <f>(AN36+AK19/AL36)/(AL36^(AK20))</f>
        <v>109.01931522044264</v>
      </c>
      <c r="AP18" s="3" t="s">
        <v>124</v>
      </c>
      <c r="AQ18" s="3">
        <f>CM20</f>
        <v>1202.7893845351678</v>
      </c>
      <c r="CF18" s="13"/>
      <c r="CG18" s="7"/>
      <c r="CH18" s="8"/>
      <c r="CI18" s="111" t="str">
        <f>'1D Analysis'!J32</f>
        <v>Beta2</v>
      </c>
      <c r="CJ18" s="2">
        <f>'1D Analysis'!K32</f>
        <v>54.754865234663527</v>
      </c>
      <c r="CK18" s="2" t="str">
        <f>'1D Analysis'!L32</f>
        <v>[º]</v>
      </c>
      <c r="CL18" s="111" t="str">
        <f>'1D Analysis'!N32</f>
        <v>V3u</v>
      </c>
      <c r="CM18" s="2">
        <f>'1D Analysis'!O32</f>
        <v>-71.353223445394065</v>
      </c>
      <c r="CN18" s="2" t="str">
        <f>'1D Analysis'!P32</f>
        <v>[m/s]</v>
      </c>
      <c r="CO18" s="111"/>
      <c r="CP18" s="2"/>
      <c r="CQ18" s="112"/>
    </row>
    <row r="19" spans="1:133" x14ac:dyDescent="0.25">
      <c r="AJ19" s="111" t="s">
        <v>450</v>
      </c>
      <c r="AK19" s="112">
        <f>-CP4/(2*CP36)</f>
        <v>-46.627740159955678</v>
      </c>
      <c r="BY19" t="s">
        <v>274</v>
      </c>
      <c r="BZ19">
        <f>AL36</f>
        <v>0.11310097028807976</v>
      </c>
      <c r="CA19">
        <v>6</v>
      </c>
      <c r="CI19" s="111" t="str">
        <f>'1D Analysis'!J33</f>
        <v>W2x</v>
      </c>
      <c r="CJ19" s="2">
        <f>'1D Analysis'!K33</f>
        <v>197.59301075916201</v>
      </c>
      <c r="CK19" s="2" t="str">
        <f>'1D Analysis'!L33</f>
        <v>[m/s]</v>
      </c>
      <c r="CL19" s="111" t="str">
        <f>'1D Analysis'!N33</f>
        <v>W3</v>
      </c>
      <c r="CM19" s="2">
        <f>'1D Analysis'!O33</f>
        <v>601.22506864963464</v>
      </c>
      <c r="CN19" s="2" t="str">
        <f>'1D Analysis'!P33</f>
        <v>[m/s]</v>
      </c>
      <c r="CO19" s="111"/>
      <c r="CP19" s="2"/>
      <c r="CQ19" s="112"/>
    </row>
    <row r="20" spans="1:133" ht="15.75" thickBot="1" x14ac:dyDescent="0.3">
      <c r="AJ20" s="206" t="s">
        <v>451</v>
      </c>
      <c r="AK20" s="207">
        <v>-0.5</v>
      </c>
      <c r="AL20" t="s">
        <v>502</v>
      </c>
      <c r="BY20" t="s">
        <v>274</v>
      </c>
      <c r="BZ20">
        <f>BZ19</f>
        <v>0.11310097028807976</v>
      </c>
      <c r="CA20">
        <v>10</v>
      </c>
      <c r="CI20" s="111" t="str">
        <f>'1D Analysis'!J34</f>
        <v>W2u</v>
      </c>
      <c r="CJ20" s="2">
        <f>'1D Analysis'!K34</f>
        <v>279.63802070852466</v>
      </c>
      <c r="CK20" s="2" t="str">
        <f>'1D Analysis'!L34</f>
        <v>[m/s]</v>
      </c>
      <c r="CL20" s="111" t="str">
        <f>'1D Analysis'!N34</f>
        <v>T03r</v>
      </c>
      <c r="CM20" s="2">
        <f>'1D Analysis'!O34</f>
        <v>1202.7893845351678</v>
      </c>
      <c r="CN20" s="2" t="str">
        <f>'1D Analysis'!P34</f>
        <v>[K]</v>
      </c>
      <c r="CO20" s="111" t="str">
        <f>'1D Analysis'!R34</f>
        <v xml:space="preserve">Geometrical characteristcs </v>
      </c>
      <c r="CP20" s="2"/>
      <c r="CQ20" s="112"/>
    </row>
    <row r="21" spans="1:133" x14ac:dyDescent="0.25">
      <c r="AJ21" s="108" t="s">
        <v>454</v>
      </c>
      <c r="AK21" s="110">
        <v>21</v>
      </c>
      <c r="CI21" s="111" t="str">
        <f>'1D Analysis'!J35</f>
        <v>Mw2</v>
      </c>
      <c r="CJ21" s="2">
        <f>'1D Analysis'!K35</f>
        <v>0.52225116330350885</v>
      </c>
      <c r="CK21" s="2" t="str">
        <f>'1D Analysis'!L35</f>
        <v>[-]</v>
      </c>
      <c r="CL21" s="111" t="str">
        <f>'1D Analysis'!N35</f>
        <v>P03r</v>
      </c>
      <c r="CM21" s="2">
        <f>'1D Analysis'!O35</f>
        <v>158368.67128707786</v>
      </c>
      <c r="CN21" s="2" t="str">
        <f>'1D Analysis'!P35</f>
        <v>[Pa]</v>
      </c>
      <c r="CO21" s="111" t="str">
        <f>'1D Analysis'!R35</f>
        <v>Chord stator</v>
      </c>
      <c r="CP21" s="2">
        <f>'1D Analysis'!S35</f>
        <v>1.700766470497439E-2</v>
      </c>
      <c r="CQ21" s="112" t="str">
        <f>'1D Analysis'!T35</f>
        <v>[m]</v>
      </c>
    </row>
    <row r="22" spans="1:133" x14ac:dyDescent="0.25">
      <c r="AJ22" s="111" t="s">
        <v>452</v>
      </c>
      <c r="AK22" s="112">
        <f>AT11/20</f>
        <v>5.9526826467410363E-4</v>
      </c>
      <c r="AL22" t="s">
        <v>183</v>
      </c>
      <c r="BY22" t="s">
        <v>274</v>
      </c>
      <c r="BZ22">
        <v>0.11310097028807976</v>
      </c>
      <c r="CA22">
        <v>100</v>
      </c>
      <c r="CI22" s="111" t="str">
        <f>'1D Analysis'!J36</f>
        <v>v2is</v>
      </c>
      <c r="CJ22" s="2">
        <f>'1D Analysis'!K36</f>
        <v>826.31464111771049</v>
      </c>
      <c r="CK22" s="2">
        <f>'1D Analysis'!L36</f>
        <v>0</v>
      </c>
      <c r="CL22" s="111"/>
      <c r="CM22" s="2"/>
      <c r="CN22" s="2"/>
      <c r="CO22" s="111" t="str">
        <f>'1D Analysis'!R36</f>
        <v>Span stator</v>
      </c>
      <c r="CP22" s="2">
        <f>'1D Analysis'!S36</f>
        <v>1.1905365293482073E-2</v>
      </c>
      <c r="CQ22" s="112" t="str">
        <f>'1D Analysis'!T36</f>
        <v>[m]</v>
      </c>
    </row>
    <row r="23" spans="1:133" ht="15.75" thickBot="1" x14ac:dyDescent="0.3">
      <c r="K23" t="s">
        <v>587</v>
      </c>
      <c r="AJ23" s="113" t="s">
        <v>453</v>
      </c>
      <c r="AK23" s="115">
        <f>AT16/20</f>
        <v>7.1969751451651104E-4</v>
      </c>
      <c r="AL23" t="s">
        <v>183</v>
      </c>
      <c r="AS23" s="73"/>
      <c r="AW23" t="s">
        <v>501</v>
      </c>
      <c r="BY23" t="s">
        <v>274</v>
      </c>
      <c r="BZ23">
        <v>0.11310097028807976</v>
      </c>
      <c r="CA23">
        <v>250</v>
      </c>
      <c r="CI23" s="111" t="str">
        <f>'1D Analysis'!J37</f>
        <v>U2</v>
      </c>
      <c r="CJ23" s="2">
        <f>'1D Analysis'!K37</f>
        <v>473.54173803341428</v>
      </c>
      <c r="CK23" s="2" t="str">
        <f>'1D Analysis'!L37</f>
        <v>[m/s]</v>
      </c>
      <c r="CL23" s="111" t="str">
        <f>'1D Analysis'!N37</f>
        <v>Beta3</v>
      </c>
      <c r="CM23" s="2">
        <f>'1D Analysis'!O37</f>
        <v>-65</v>
      </c>
      <c r="CN23" s="2" t="str">
        <f>'1D Analysis'!P37</f>
        <v>[º]</v>
      </c>
      <c r="CO23" s="111" t="str">
        <f>'1D Analysis'!R37</f>
        <v>Pitch stator</v>
      </c>
      <c r="CP23" s="2">
        <f>'1D Analysis'!S37</f>
        <v>1.1686917842638396E-2</v>
      </c>
      <c r="CQ23" s="112" t="str">
        <f>'1D Analysis'!T37</f>
        <v>[m]</v>
      </c>
    </row>
    <row r="24" spans="1:133" x14ac:dyDescent="0.25">
      <c r="G24" t="s">
        <v>100</v>
      </c>
      <c r="H24" t="s">
        <v>605</v>
      </c>
      <c r="J24" t="s">
        <v>587</v>
      </c>
      <c r="K24">
        <f>SUM(K26:K35)</f>
        <v>1.6199999999998101E-2</v>
      </c>
      <c r="AW24">
        <f>AX4</f>
        <v>197.59301075916201</v>
      </c>
      <c r="BB24" t="s">
        <v>636</v>
      </c>
      <c r="BC24">
        <f>$CJ$8</f>
        <v>153781.89040757008</v>
      </c>
      <c r="BD24">
        <f>CJ17</f>
        <v>182964.07424652783</v>
      </c>
      <c r="BK24" t="s">
        <v>617</v>
      </c>
      <c r="BS24" t="s">
        <v>642</v>
      </c>
      <c r="BT24" s="183">
        <f>CJ7</f>
        <v>1155.5150214195824</v>
      </c>
      <c r="BU24" s="208"/>
      <c r="CC24" t="s">
        <v>641</v>
      </c>
      <c r="CD24">
        <f>CJ8</f>
        <v>153781.89040757008</v>
      </c>
      <c r="CE24" t="s">
        <v>638</v>
      </c>
      <c r="CI24" s="111" t="str">
        <f>'1D Analysis'!J38</f>
        <v>Total pressure loss</v>
      </c>
      <c r="CJ24" s="2">
        <f>'1D Analysis'!K38</f>
        <v>0.26595115620062493</v>
      </c>
      <c r="CK24" s="2" t="str">
        <f>'1D Analysis'!L38</f>
        <v>[-]</v>
      </c>
      <c r="CL24" s="111" t="str">
        <f>'1D Analysis'!N38</f>
        <v>W3x</v>
      </c>
      <c r="CM24" s="2">
        <f>'1D Analysis'!O38</f>
        <v>254.08869342764129</v>
      </c>
      <c r="CN24" s="2" t="str">
        <f>'1D Analysis'!P38</f>
        <v>[m/s]</v>
      </c>
      <c r="CO24" s="111" t="str">
        <f>'1D Analysis'!R38</f>
        <v>α1</v>
      </c>
      <c r="CP24" s="2">
        <f>'1D Analysis'!S38</f>
        <v>0</v>
      </c>
      <c r="CQ24" s="112" t="str">
        <f>'1D Analysis'!T38</f>
        <v>[º]</v>
      </c>
      <c r="CT24" s="73"/>
      <c r="CU24" s="73"/>
      <c r="CV24" s="73"/>
      <c r="CW24" s="73"/>
      <c r="CX24" s="73"/>
      <c r="CY24" s="73"/>
      <c r="CZ24" s="73"/>
      <c r="DA24" s="73"/>
      <c r="DB24" s="73"/>
      <c r="DC24" s="73"/>
    </row>
    <row r="25" spans="1:133" ht="18.75" thickBot="1" x14ac:dyDescent="0.4">
      <c r="F25" t="s">
        <v>588</v>
      </c>
      <c r="G25" s="307" t="s">
        <v>585</v>
      </c>
      <c r="H25" s="308"/>
      <c r="I25" s="308"/>
      <c r="J25" s="308"/>
      <c r="K25" s="308"/>
      <c r="Y25" s="291" t="s">
        <v>628</v>
      </c>
      <c r="Z25" s="291"/>
      <c r="AA25" s="1" t="s">
        <v>72</v>
      </c>
      <c r="AB25">
        <f>AB27-90</f>
        <v>-16.334572957215855</v>
      </c>
      <c r="AC25" s="1" t="s">
        <v>72</v>
      </c>
      <c r="AD25">
        <f>AD27-90</f>
        <v>-14.700000000000003</v>
      </c>
      <c r="AE25" s="1" t="s">
        <v>72</v>
      </c>
      <c r="AF25">
        <f>AF27-90</f>
        <v>-12.710664081500056</v>
      </c>
      <c r="AK25" s="43" t="s">
        <v>623</v>
      </c>
      <c r="AL25" s="128" t="s">
        <v>100</v>
      </c>
      <c r="AM25" s="43" t="s">
        <v>140</v>
      </c>
      <c r="AN25" s="128" t="s">
        <v>438</v>
      </c>
      <c r="AO25" s="128" t="s">
        <v>769</v>
      </c>
      <c r="AP25" s="128" t="s">
        <v>97</v>
      </c>
      <c r="AQ25" s="128" t="s">
        <v>91</v>
      </c>
      <c r="AR25" s="128" t="s">
        <v>632</v>
      </c>
      <c r="AS25" s="130" t="s">
        <v>770</v>
      </c>
      <c r="AT25" s="128" t="s">
        <v>439</v>
      </c>
      <c r="AU25" s="128" t="s">
        <v>458</v>
      </c>
      <c r="AV25" s="128" t="s">
        <v>481</v>
      </c>
      <c r="AW25" s="128" t="s">
        <v>434</v>
      </c>
      <c r="AX25" s="128" t="s">
        <v>435</v>
      </c>
      <c r="AY25" s="128" t="s">
        <v>436</v>
      </c>
      <c r="AZ25" s="128" t="s">
        <v>473</v>
      </c>
      <c r="BA25" s="129" t="s">
        <v>690</v>
      </c>
      <c r="BB25" s="128" t="s">
        <v>106</v>
      </c>
      <c r="BC25" s="128" t="s">
        <v>634</v>
      </c>
      <c r="BD25" s="128" t="s">
        <v>125</v>
      </c>
      <c r="BE25" s="42" t="s">
        <v>753</v>
      </c>
      <c r="BF25" s="42" t="s">
        <v>586</v>
      </c>
      <c r="BG25" s="42" t="s">
        <v>754</v>
      </c>
      <c r="BH25" s="42" t="s">
        <v>755</v>
      </c>
      <c r="BI25" s="42" t="s">
        <v>33</v>
      </c>
      <c r="BJ25" s="42" t="s">
        <v>607</v>
      </c>
      <c r="BK25" s="42" t="s">
        <v>610</v>
      </c>
      <c r="BL25" s="42" t="s">
        <v>618</v>
      </c>
      <c r="BM25" s="42" t="s">
        <v>631</v>
      </c>
      <c r="BN25" s="42" t="s">
        <v>612</v>
      </c>
      <c r="BO25" s="42" t="s">
        <v>630</v>
      </c>
      <c r="BP25" s="42" t="s">
        <v>611</v>
      </c>
      <c r="BQ25" s="195" t="s">
        <v>684</v>
      </c>
      <c r="BR25" s="195" t="s">
        <v>97</v>
      </c>
      <c r="BS25" s="195" t="s">
        <v>767</v>
      </c>
      <c r="BT25" s="195" t="s">
        <v>91</v>
      </c>
      <c r="BU25" s="195" t="s">
        <v>122</v>
      </c>
      <c r="BV25" s="196" t="s">
        <v>768</v>
      </c>
      <c r="BW25" s="196" t="s">
        <v>123</v>
      </c>
      <c r="BX25" s="195" t="s">
        <v>756</v>
      </c>
      <c r="BY25" s="195" t="s">
        <v>435</v>
      </c>
      <c r="BZ25" s="195" t="s">
        <v>436</v>
      </c>
      <c r="CA25" s="195" t="s">
        <v>473</v>
      </c>
      <c r="CB25" s="197" t="s">
        <v>689</v>
      </c>
      <c r="CC25" s="128" t="s">
        <v>106</v>
      </c>
      <c r="CD25" s="128" t="s">
        <v>634</v>
      </c>
      <c r="CE25" s="128" t="s">
        <v>125</v>
      </c>
      <c r="CF25" s="220"/>
      <c r="CG25" s="225" t="s">
        <v>778</v>
      </c>
      <c r="CH25" t="e">
        <f ca="1">SUM(CG26:CG46)</f>
        <v>#NAME?</v>
      </c>
      <c r="CL25" s="111" t="str">
        <f>'1D Analysis'!J39</f>
        <v>A2</v>
      </c>
      <c r="CM25" s="2">
        <f>'1D Analysis'!K39</f>
        <v>8.4603615832992661E-3</v>
      </c>
      <c r="CN25" s="2" t="str">
        <f>'1D Analysis'!L39</f>
        <v>[m2]</v>
      </c>
      <c r="CO25" s="111" t="str">
        <f>'1D Analysis'!N39</f>
        <v>W3u</v>
      </c>
      <c r="CP25" s="2">
        <f>'1D Analysis'!O39</f>
        <v>-544.89496147880834</v>
      </c>
      <c r="CQ25" s="112" t="str">
        <f>'1D Analysis'!P39</f>
        <v>[m/s]</v>
      </c>
      <c r="CT25" s="73"/>
      <c r="CU25" s="32"/>
      <c r="CV25" s="219"/>
      <c r="CW25" s="219"/>
      <c r="CX25" s="219"/>
      <c r="CY25" s="219"/>
      <c r="CZ25" s="219"/>
      <c r="DA25" s="219"/>
      <c r="DB25" s="219"/>
      <c r="DC25" s="73"/>
    </row>
    <row r="26" spans="1:133" x14ac:dyDescent="0.25">
      <c r="A26" s="299" t="s">
        <v>532</v>
      </c>
      <c r="B26" s="300"/>
      <c r="C26" s="186"/>
      <c r="D26" s="186"/>
      <c r="E26" s="146"/>
      <c r="F26" s="145">
        <f>ATAN(J26/H26)</f>
        <v>1.5700963875374903</v>
      </c>
      <c r="G26" s="171">
        <f t="shared" ref="G26:G46" si="2">AL26</f>
        <v>0.10714828764133873</v>
      </c>
      <c r="H26" s="171">
        <f>$B$54-G26</f>
        <v>4.7621461173928264E-3</v>
      </c>
      <c r="I26" s="171">
        <f>IF(H26&lt;=0,0,1)</f>
        <v>1</v>
      </c>
      <c r="J26" s="171">
        <f>IF(H26&lt;=0,0,B46/B53)</f>
        <v>6.8036551591025693</v>
      </c>
      <c r="K26" s="3">
        <f>(J26+J27)/2*(G27-G26)</f>
        <v>3.7968749999997302E-3</v>
      </c>
      <c r="AA26" s="302" t="s">
        <v>757</v>
      </c>
      <c r="AB26" s="303"/>
      <c r="AC26" s="302" t="s">
        <v>758</v>
      </c>
      <c r="AD26" s="303"/>
      <c r="AE26" s="302" t="s">
        <v>759</v>
      </c>
      <c r="AF26" s="303"/>
      <c r="AG26" s="146"/>
      <c r="AH26" s="146"/>
      <c r="AJ26" s="201" t="s">
        <v>467</v>
      </c>
      <c r="AK26">
        <v>1</v>
      </c>
      <c r="AL26">
        <f t="shared" ref="AL26:AL46" si="3">$AT$8+(AK26-1)*$AK$22</f>
        <v>0.10714828764133873</v>
      </c>
      <c r="AM26">
        <f>AL26*$AT$17</f>
        <v>448.61848866323453</v>
      </c>
      <c r="AN26">
        <f t="shared" ref="AN26:AN35" si="4">$AK$18*AL26^$AK$20-$AK$19/AL26</f>
        <v>768.22125433469159</v>
      </c>
      <c r="AO26" s="73">
        <f>DEGREES(ASIN(AN26/AP26))</f>
        <v>73.665427042784145</v>
      </c>
      <c r="AP26" s="73">
        <f>SQRT(AN26^2+AR26^2)</f>
        <v>800.53420961357392</v>
      </c>
      <c r="AQ26">
        <f t="shared" ref="AQ26:AQ46" si="5">$AQ$15-(AP26^2/(2*$BB$1))</f>
        <v>1141.5907174348267</v>
      </c>
      <c r="AR26">
        <f t="shared" ref="AR26:AR35" si="6">SQRT($AR$36^2+2*(-$AK$18*(1+$AK$20)*(-$AK$19*((AL26^($AK$20-1)-$AL$36^($AK$20-1))/($AK$20-1))+$AK$18*((AL26^(2*$AK$20)-$AL$36^(2*$AK$20))/(2*$AK$20)))))</f>
        <v>225.14689682530067</v>
      </c>
      <c r="AS26">
        <f t="shared" ref="AS26:AS46" si="7">DEGREES(ASIN(AT26/AU26))</f>
        <v>54.8368921163</v>
      </c>
      <c r="AT26">
        <f t="shared" ref="AT26:AT46" si="8">AN26-AM26</f>
        <v>319.60276567145706</v>
      </c>
      <c r="AU26">
        <f t="shared" ref="AU26:AU46" si="9">SQRT(AT26^2+AR26^2)</f>
        <v>390.94379771893927</v>
      </c>
      <c r="AV26">
        <f>AQ26+((AU26^2)/(2*$BB$1))</f>
        <v>1203.2185613763215</v>
      </c>
      <c r="AW26">
        <v>193.2</v>
      </c>
      <c r="AX26">
        <f t="shared" ref="AX26:AX45" si="10">PI()*(AL27^2-AL26^2)</f>
        <v>4.0186717520671543E-4</v>
      </c>
      <c r="AY26">
        <f>(AR26+AR27)*0.5</f>
        <v>223.56743256852087</v>
      </c>
      <c r="AZ26">
        <f>BC26/($BB$6*AQ26)</f>
        <v>0.44666246268347942</v>
      </c>
      <c r="BA26" s="135">
        <f>AY26*AX26*(AZ26+AZ27)*0.5</f>
        <v>4.0284355462926247E-2</v>
      </c>
      <c r="BB26" s="191">
        <f>AP26/SQRT($BB$6*$BB$2*AQ26)</f>
        <v>1.228437912251483</v>
      </c>
      <c r="BC26" s="2">
        <f t="shared" ref="BC26:BC46" si="11">$CJ$5*(AQ26/$CJ$4)^($BB$5)</f>
        <v>145911.48330468219</v>
      </c>
      <c r="BD26" s="2">
        <f>BC26*(AV26/AQ26)^($BB$5)</f>
        <v>183247.14361821412</v>
      </c>
      <c r="BE26">
        <f>AI41</f>
        <v>4.7010066283311863E-2</v>
      </c>
      <c r="BF26">
        <f t="shared" ref="BF26:BF46" si="12">K26</f>
        <v>3.7968749999997302E-3</v>
      </c>
      <c r="BG26">
        <f>BF26+BE26</f>
        <v>5.0806941283311591E-2</v>
      </c>
      <c r="BH26">
        <f t="shared" ref="BH26:BH46" si="13">BG26*(1+$BB$2*BB26^2/2)</f>
        <v>0.10064290134498242</v>
      </c>
      <c r="BI26">
        <f t="shared" ref="BI26:BI46" si="14">($CG$5+BC26*BH26)/(1+BH26)</f>
        <v>374216.7005447619</v>
      </c>
      <c r="BJ26">
        <f>$CG$5/BI26</f>
        <v>1.0614010529775639</v>
      </c>
      <c r="BK26">
        <f>$BB$6*LOG(BJ26)</f>
        <v>7.4055225081588461</v>
      </c>
      <c r="BL26" t="e">
        <f t="shared" ref="BL26:BL35" ca="1" si="15">(BK26-BK27)</f>
        <v>#NAME?</v>
      </c>
      <c r="BM26">
        <f t="shared" ref="BM26:BM35" si="16">AL26-AL27</f>
        <v>-5.952682646740981E-4</v>
      </c>
      <c r="BN26" t="e">
        <f t="shared" ref="BN26:BN36" ca="1" si="17">(BK26-BK27)/(AL26-AL27)</f>
        <v>#NAME?</v>
      </c>
      <c r="BO26" t="e">
        <f ca="1">BN26*BM26</f>
        <v>#NAME?</v>
      </c>
      <c r="BP26">
        <f t="shared" ref="BP26:BP35" si="18">(AQ26+AQ27)*0.5</f>
        <v>1142.903406853427</v>
      </c>
      <c r="BQ26" t="e">
        <f t="shared" ref="BQ26:BQ35" ca="1" si="19">SQRT(BQ27^2+2*((-$AK$18*(1+$AK$20)*(-$AK$19*((AL26^($AK$20-1)-AL27^($AK$20-1))/($AK$20-1))+$AK$18*((AL26^(2*$AK$20)-AL27^(2*$AK$20))/(2*$AK$20))))-(AL26-AL27)*(BP26*BN26)))</f>
        <v>#NAME?</v>
      </c>
      <c r="BR26" t="e">
        <f t="shared" ref="BR26:BR46" ca="1" si="20">SQRT(BQ26^2+AN26^2)</f>
        <v>#NAME?</v>
      </c>
      <c r="BS26" t="e">
        <f t="shared" ref="BS26:BS46" ca="1" si="21">DEGREES(ASIN(AN26/BR26))</f>
        <v>#NAME?</v>
      </c>
      <c r="BT26" t="e">
        <f t="shared" ref="BT26:BT46" ca="1" si="22">$AQ$15-(BR26^2/(2*$BB$1))</f>
        <v>#NAME?</v>
      </c>
      <c r="BU26" t="e">
        <f t="shared" ref="BU26:BU46" ca="1" si="23">SQRT(AT26^2+BQ26^2)</f>
        <v>#NAME?</v>
      </c>
      <c r="BV26" t="e">
        <f t="shared" ref="BV26:BV46" ca="1" si="24">DEGREES(ASIN(AT26/BU26))</f>
        <v>#NAME?</v>
      </c>
      <c r="BW26" t="e">
        <f ca="1">BT26+BU26^2/(2*$BB$1)</f>
        <v>#NAME?</v>
      </c>
      <c r="BX26">
        <v>183</v>
      </c>
      <c r="BY26">
        <f t="shared" ref="BY26:BY45" si="25">PI()*(AL27^2-AL26^2)</f>
        <v>4.0186717520671543E-4</v>
      </c>
      <c r="BZ26" t="e">
        <f ca="1">(BQ26+BQ27)*0.5</f>
        <v>#NAME?</v>
      </c>
      <c r="CA26" t="e">
        <f ca="1">CD26/(BT26*$BB$6)</f>
        <v>#NAME?</v>
      </c>
      <c r="CB26" s="135" t="e">
        <f ca="1">BZ26*BY26*(CA26+CA27)*0.5</f>
        <v>#NAME?</v>
      </c>
      <c r="CC26" s="191" t="e">
        <f t="shared" ref="CC26:CC46" ca="1" si="26">BR26/SQRT($BB$6*$BB$2*BT26)</f>
        <v>#NAME?</v>
      </c>
      <c r="CD26" s="2" t="e">
        <f t="shared" ref="CD26:CD46" ca="1" si="27">BI26*(BT26/$CJ$4)^($BB$5)</f>
        <v>#NAME?</v>
      </c>
      <c r="CE26" s="2" t="e">
        <f ca="1">CD26*(BW26/BT26)^($BB$5)</f>
        <v>#NAME?</v>
      </c>
      <c r="CG26" t="e">
        <f t="shared" ref="CG26:CG46" ca="1" si="28">(BH27+BH26)/2*CB26</f>
        <v>#NAME?</v>
      </c>
      <c r="CH26" t="e">
        <f ca="1">CH25/CA48</f>
        <v>#NAME?</v>
      </c>
      <c r="CL26" s="111" t="str">
        <f>'1D Analysis'!J40</f>
        <v>rh2</v>
      </c>
      <c r="CM26" s="2">
        <f>'1D Analysis'!K40</f>
        <v>0.10714828764133873</v>
      </c>
      <c r="CN26" s="2" t="str">
        <f>'1D Analysis'!L40</f>
        <v>[m]</v>
      </c>
      <c r="CO26" s="111" t="str">
        <f>'1D Analysis'!N40</f>
        <v>Mw3</v>
      </c>
      <c r="CP26" s="2">
        <f>'1D Analysis'!O40</f>
        <v>0.95878445832380088</v>
      </c>
      <c r="CQ26" s="112" t="str">
        <f>'1D Analysis'!P40</f>
        <v>[-]</v>
      </c>
      <c r="CT26" s="73"/>
      <c r="CU26" s="32"/>
      <c r="CV26" s="32"/>
      <c r="CW26" s="32"/>
      <c r="CX26" s="32"/>
      <c r="CY26" s="32"/>
      <c r="CZ26" s="32"/>
      <c r="DA26" s="32"/>
      <c r="DB26" s="32"/>
      <c r="DC26" s="73"/>
    </row>
    <row r="27" spans="1:133" x14ac:dyDescent="0.25">
      <c r="A27" s="3" t="s">
        <v>525</v>
      </c>
      <c r="B27" s="3">
        <f>CM36</f>
        <v>0.68715594088706455</v>
      </c>
      <c r="C27" s="2"/>
      <c r="D27" s="2"/>
      <c r="G27" s="171">
        <f t="shared" si="2"/>
        <v>0.10774355590601283</v>
      </c>
      <c r="H27" s="171">
        <f t="shared" ref="H27:H36" si="29">$B$54-G27</f>
        <v>4.1668778527187283E-3</v>
      </c>
      <c r="I27" s="171">
        <f t="shared" ref="I27:I46" si="30">IF(H27&lt;=0,0,1)</f>
        <v>1</v>
      </c>
      <c r="J27" s="171">
        <f>IF(H27&lt;=0,0,TAN($F$26)*H27)</f>
        <v>5.953198264213964</v>
      </c>
      <c r="K27" s="3">
        <f t="shared" ref="K27:K35" si="31">(J27+J28)/2*(G28-G27)</f>
        <v>3.2906249999996085E-3</v>
      </c>
      <c r="AA27" s="165" t="s">
        <v>72</v>
      </c>
      <c r="AB27" s="3">
        <f>AO26</f>
        <v>73.665427042784145</v>
      </c>
      <c r="AC27" s="165" t="s">
        <v>72</v>
      </c>
      <c r="AD27" s="3">
        <f>AO36</f>
        <v>75.3</v>
      </c>
      <c r="AE27" s="165" t="s">
        <v>72</v>
      </c>
      <c r="AF27" s="3">
        <f>AO46</f>
        <v>77.289335918499944</v>
      </c>
      <c r="AG27" s="2"/>
      <c r="AH27" s="2"/>
      <c r="AK27">
        <v>2</v>
      </c>
      <c r="AL27">
        <f t="shared" si="3"/>
        <v>0.10774355590601283</v>
      </c>
      <c r="AM27">
        <f t="shared" ref="AM27:AM45" si="32">AL27*$AT$17</f>
        <v>451.11081360025247</v>
      </c>
      <c r="AN27">
        <f t="shared" si="4"/>
        <v>764.89569430752988</v>
      </c>
      <c r="AO27" s="73">
        <f t="shared" ref="AO27:AO34" si="33">DEGREES(ASIN(AN27/AP27))</f>
        <v>73.816218597978789</v>
      </c>
      <c r="AP27" s="73">
        <f t="shared" ref="AP27:AP46" si="34">SQRT(AN27^2+AR27^2)</f>
        <v>796.45720616074084</v>
      </c>
      <c r="AQ27">
        <f t="shared" si="5"/>
        <v>1144.216096272027</v>
      </c>
      <c r="AR27">
        <f t="shared" si="6"/>
        <v>221.98796831174104</v>
      </c>
      <c r="AS27">
        <f t="shared" si="7"/>
        <v>54.722398465806521</v>
      </c>
      <c r="AT27">
        <f t="shared" si="8"/>
        <v>313.78488070727741</v>
      </c>
      <c r="AU27">
        <f t="shared" si="9"/>
        <v>384.36910572476404</v>
      </c>
      <c r="AV27">
        <f t="shared" ref="AV27:AV46" si="35">AQ27+((AU27^2)/(2*$BB$1))</f>
        <v>1203.7885194315652</v>
      </c>
      <c r="AX27">
        <f t="shared" si="10"/>
        <v>4.04093586149692E-4</v>
      </c>
      <c r="AY27">
        <f t="shared" ref="AY27:AY45" si="36">(AR27+AR28)*0.5</f>
        <v>220.4059285381818</v>
      </c>
      <c r="AZ27">
        <f>BC27/($BB$6*AQ27)</f>
        <v>0.45009570623528944</v>
      </c>
      <c r="BA27" s="135">
        <f t="shared" ref="BA27:BA45" si="37">AY27*AX27*(AZ27+AZ28)*0.5</f>
        <v>4.0239145669872051E-2</v>
      </c>
      <c r="BB27" s="191">
        <f t="shared" ref="BB27:BB46" si="38">AP27/SQRT($BB$6*$BB$2*AQ27)</f>
        <v>1.2207787181547485</v>
      </c>
      <c r="BC27" s="2">
        <f t="shared" si="11"/>
        <v>147371.16286207075</v>
      </c>
      <c r="BD27" s="2">
        <f t="shared" ref="BD27:BD46" si="39">BC27*(AV27/AQ27)^($BB$5)</f>
        <v>183623.58776331885</v>
      </c>
      <c r="BE27" t="e">
        <f ca="1">[1]!cercha(AL27,$AH$41:$AI$43)</f>
        <v>#NAME?</v>
      </c>
      <c r="BF27">
        <f t="shared" si="12"/>
        <v>3.2906249999996085E-3</v>
      </c>
      <c r="BG27" t="e">
        <f t="shared" ref="BG27:BG46" ca="1" si="40">BF27+BE27</f>
        <v>#NAME?</v>
      </c>
      <c r="BH27" t="e">
        <f t="shared" ca="1" si="13"/>
        <v>#NAME?</v>
      </c>
      <c r="BI27" t="e">
        <f t="shared" ca="1" si="14"/>
        <v>#NAME?</v>
      </c>
      <c r="BJ27" t="e">
        <f t="shared" ref="BJ27:BJ46" ca="1" si="41">$CG$5/BI27</f>
        <v>#NAME?</v>
      </c>
      <c r="BK27" t="e">
        <f t="shared" ref="BK27:BK45" ca="1" si="42">$BB$6*LOG(BJ27)</f>
        <v>#NAME?</v>
      </c>
      <c r="BL27" t="e">
        <f t="shared" ca="1" si="15"/>
        <v>#NAME?</v>
      </c>
      <c r="BM27">
        <f t="shared" si="16"/>
        <v>-5.9526826467411198E-4</v>
      </c>
      <c r="BN27" t="e">
        <f t="shared" ca="1" si="17"/>
        <v>#NAME?</v>
      </c>
      <c r="BO27" t="e">
        <f t="shared" ref="BO27:BO35" ca="1" si="43">BN27*BM27</f>
        <v>#NAME?</v>
      </c>
      <c r="BP27">
        <f t="shared" si="18"/>
        <v>1145.5103085704668</v>
      </c>
      <c r="BQ27" t="e">
        <f t="shared" ca="1" si="19"/>
        <v>#NAME?</v>
      </c>
      <c r="BR27" t="e">
        <f t="shared" ca="1" si="20"/>
        <v>#NAME?</v>
      </c>
      <c r="BS27" t="e">
        <f t="shared" ca="1" si="21"/>
        <v>#NAME?</v>
      </c>
      <c r="BT27" t="e">
        <f t="shared" ca="1" si="22"/>
        <v>#NAME?</v>
      </c>
      <c r="BU27" t="e">
        <f t="shared" ca="1" si="23"/>
        <v>#NAME?</v>
      </c>
      <c r="BV27" t="e">
        <f t="shared" ca="1" si="24"/>
        <v>#NAME?</v>
      </c>
      <c r="BW27" t="e">
        <f t="shared" ref="BW27:BW46" ca="1" si="44">BT27+BU27^2/(2*$BB$1)</f>
        <v>#NAME?</v>
      </c>
      <c r="BY27">
        <f t="shared" si="25"/>
        <v>4.04093586149692E-4</v>
      </c>
      <c r="BZ27" t="e">
        <f t="shared" ref="BZ27:BZ44" ca="1" si="45">(BQ27+BQ28)*0.5</f>
        <v>#NAME?</v>
      </c>
      <c r="CA27" t="e">
        <f t="shared" ref="CA27:CA46" ca="1" si="46">CD27/(BT27*$BB$6)</f>
        <v>#NAME?</v>
      </c>
      <c r="CB27" s="135" t="e">
        <f t="shared" ref="CB27:CB45" ca="1" si="47">BZ27*BY27*(CA27+CA28)*0.5</f>
        <v>#NAME?</v>
      </c>
      <c r="CC27" s="191" t="e">
        <f t="shared" ca="1" si="26"/>
        <v>#NAME?</v>
      </c>
      <c r="CD27" s="2" t="e">
        <f t="shared" ca="1" si="27"/>
        <v>#NAME?</v>
      </c>
      <c r="CE27" s="2" t="e">
        <f t="shared" ref="CE27:CE46" ca="1" si="48">CD27*(BW27/BT27)^($BB$5)</f>
        <v>#NAME?</v>
      </c>
      <c r="CG27" t="e">
        <f t="shared" ca="1" si="28"/>
        <v>#NAME?</v>
      </c>
      <c r="CL27" s="111" t="str">
        <f>'1D Analysis'!J41</f>
        <v>rt2</v>
      </c>
      <c r="CM27" s="2">
        <f>'1D Analysis'!K41</f>
        <v>0.1190536529348208</v>
      </c>
      <c r="CN27" s="2" t="str">
        <f>'1D Analysis'!L41</f>
        <v>[m]</v>
      </c>
      <c r="CO27" s="111" t="str">
        <f>'1D Analysis'!N41</f>
        <v>U3</v>
      </c>
      <c r="CP27" s="2">
        <f>'1D Analysis'!O41</f>
        <v>473.54173803341428</v>
      </c>
      <c r="CQ27" s="112" t="str">
        <f>'1D Analysis'!P41</f>
        <v>[m/s]</v>
      </c>
      <c r="CT27" s="73"/>
      <c r="CU27" s="73"/>
      <c r="CV27" s="73"/>
      <c r="CW27" s="73"/>
      <c r="CX27" s="73"/>
      <c r="CY27" s="73"/>
      <c r="CZ27" s="73"/>
      <c r="DA27" s="73"/>
      <c r="DB27" s="73"/>
      <c r="DC27" s="73"/>
    </row>
    <row r="28" spans="1:133" x14ac:dyDescent="0.25">
      <c r="A28" s="3" t="str">
        <f>CL37</f>
        <v>chord</v>
      </c>
      <c r="B28" s="3">
        <f>CM37</f>
        <v>1.700766470497439E-2</v>
      </c>
      <c r="C28" s="2" t="s">
        <v>536</v>
      </c>
      <c r="D28" s="2" t="s">
        <v>603</v>
      </c>
      <c r="G28" s="171">
        <f t="shared" si="2"/>
        <v>0.10833882417068694</v>
      </c>
      <c r="H28" s="171">
        <f t="shared" si="29"/>
        <v>3.5716095880446164E-3</v>
      </c>
      <c r="I28" s="171">
        <f t="shared" si="30"/>
        <v>1</v>
      </c>
      <c r="J28" s="171">
        <f t="shared" ref="J28:J35" si="49">IF(H28&lt;=0,0,TAN($F$26)*H28)</f>
        <v>5.1027413693262433</v>
      </c>
      <c r="K28" s="3">
        <f t="shared" si="31"/>
        <v>2.7843749999996023E-3</v>
      </c>
      <c r="AA28" s="1" t="s">
        <v>599</v>
      </c>
      <c r="AB28" s="2">
        <f>1-SIN(RADIANS(90-AB27))/SIN(RADIANS(90-AW6))</f>
        <v>0.71875418424156878</v>
      </c>
      <c r="AC28" s="1" t="s">
        <v>599</v>
      </c>
      <c r="AD28" s="2">
        <f>1-SIN(RADIANS(90-AD27))/SIN(RADIANS(90-AW6))</f>
        <v>0.74624205541519428</v>
      </c>
      <c r="AE28" s="1" t="s">
        <v>599</v>
      </c>
      <c r="AF28" s="2">
        <f>1-SIN(RADIANS(90-AF27))/SIN(RADIANS(90-AW6))</f>
        <v>0.77997222971452396</v>
      </c>
      <c r="AG28" s="2"/>
      <c r="AH28" s="2"/>
      <c r="AK28">
        <v>3</v>
      </c>
      <c r="AL28">
        <f t="shared" si="3"/>
        <v>0.10833882417068694</v>
      </c>
      <c r="AM28">
        <f t="shared" si="32"/>
        <v>453.60313853727047</v>
      </c>
      <c r="AN28">
        <f t="shared" si="4"/>
        <v>761.6041583073453</v>
      </c>
      <c r="AO28" s="73">
        <f t="shared" si="33"/>
        <v>73.969598166617317</v>
      </c>
      <c r="AP28" s="73">
        <f t="shared" si="34"/>
        <v>792.41705448905623</v>
      </c>
      <c r="AQ28">
        <f t="shared" si="5"/>
        <v>1146.8045208689064</v>
      </c>
      <c r="AR28">
        <f t="shared" si="6"/>
        <v>218.82388876462258</v>
      </c>
      <c r="AS28">
        <f t="shared" si="7"/>
        <v>54.607545660124948</v>
      </c>
      <c r="AT28">
        <f t="shared" si="8"/>
        <v>308.00101977007483</v>
      </c>
      <c r="AU28">
        <f t="shared" si="9"/>
        <v>377.82075442394364</v>
      </c>
      <c r="AV28">
        <f t="shared" si="35"/>
        <v>1204.3644089630507</v>
      </c>
      <c r="AX28">
        <f t="shared" si="10"/>
        <v>4.0631999709265766E-4</v>
      </c>
      <c r="AY28">
        <f t="shared" si="36"/>
        <v>217.23878926181112</v>
      </c>
      <c r="AZ28">
        <f>BC28/($BB$6*AQ28)</f>
        <v>0.45349866679202344</v>
      </c>
      <c r="BA28" s="135">
        <f t="shared" si="37"/>
        <v>4.0178492447182509E-2</v>
      </c>
      <c r="BB28" s="191">
        <f t="shared" si="38"/>
        <v>1.2132146496229077</v>
      </c>
      <c r="BC28" s="2">
        <f t="shared" si="11"/>
        <v>148821.26732158655</v>
      </c>
      <c r="BD28" s="2">
        <f t="shared" si="39"/>
        <v>184004.55341388029</v>
      </c>
      <c r="BE28" t="e">
        <f ca="1">[1]!cercha(AL28,$AH$41:$AI$43)</f>
        <v>#NAME?</v>
      </c>
      <c r="BF28">
        <f t="shared" si="12"/>
        <v>2.7843749999996023E-3</v>
      </c>
      <c r="BG28" t="e">
        <f t="shared" ca="1" si="40"/>
        <v>#NAME?</v>
      </c>
      <c r="BH28" t="e">
        <f t="shared" ca="1" si="13"/>
        <v>#NAME?</v>
      </c>
      <c r="BI28" t="e">
        <f t="shared" ca="1" si="14"/>
        <v>#NAME?</v>
      </c>
      <c r="BJ28" t="e">
        <f t="shared" ca="1" si="41"/>
        <v>#NAME?</v>
      </c>
      <c r="BK28" t="e">
        <f t="shared" ca="1" si="42"/>
        <v>#NAME?</v>
      </c>
      <c r="BL28" t="e">
        <f t="shared" ca="1" si="15"/>
        <v>#NAME?</v>
      </c>
      <c r="BM28">
        <f t="shared" si="16"/>
        <v>-5.952682646740981E-4</v>
      </c>
      <c r="BN28" t="e">
        <f t="shared" ca="1" si="17"/>
        <v>#NAME?</v>
      </c>
      <c r="BO28" t="e">
        <f t="shared" ca="1" si="43"/>
        <v>#NAME?</v>
      </c>
      <c r="BP28">
        <f t="shared" si="18"/>
        <v>1148.0806202653389</v>
      </c>
      <c r="BQ28" t="e">
        <f t="shared" ca="1" si="19"/>
        <v>#NAME?</v>
      </c>
      <c r="BR28" t="e">
        <f t="shared" ca="1" si="20"/>
        <v>#NAME?</v>
      </c>
      <c r="BS28" t="e">
        <f t="shared" ca="1" si="21"/>
        <v>#NAME?</v>
      </c>
      <c r="BT28" t="e">
        <f t="shared" ca="1" si="22"/>
        <v>#NAME?</v>
      </c>
      <c r="BU28" t="e">
        <f t="shared" ca="1" si="23"/>
        <v>#NAME?</v>
      </c>
      <c r="BV28" t="e">
        <f t="shared" ca="1" si="24"/>
        <v>#NAME?</v>
      </c>
      <c r="BW28" t="e">
        <f t="shared" ca="1" si="44"/>
        <v>#NAME?</v>
      </c>
      <c r="BY28">
        <f t="shared" si="25"/>
        <v>4.0631999709265766E-4</v>
      </c>
      <c r="BZ28" t="e">
        <f t="shared" ca="1" si="45"/>
        <v>#NAME?</v>
      </c>
      <c r="CA28" t="e">
        <f t="shared" ca="1" si="46"/>
        <v>#NAME?</v>
      </c>
      <c r="CB28" s="135" t="e">
        <f t="shared" ca="1" si="47"/>
        <v>#NAME?</v>
      </c>
      <c r="CC28" s="191" t="e">
        <f t="shared" ca="1" si="26"/>
        <v>#NAME?</v>
      </c>
      <c r="CD28" s="2" t="e">
        <f t="shared" ca="1" si="27"/>
        <v>#NAME?</v>
      </c>
      <c r="CE28" s="2" t="e">
        <f t="shared" ca="1" si="48"/>
        <v>#NAME?</v>
      </c>
      <c r="CG28" t="e">
        <f t="shared" ca="1" si="28"/>
        <v>#NAME?</v>
      </c>
      <c r="CL28" s="111" t="str">
        <f>'1D Analysis'!J42</f>
        <v>rm2</v>
      </c>
      <c r="CM28" s="2">
        <f>'1D Analysis'!K42</f>
        <v>0.11310097028807976</v>
      </c>
      <c r="CN28" s="2" t="str">
        <f>'1D Analysis'!L42</f>
        <v>[m]</v>
      </c>
      <c r="CO28" s="111" t="str">
        <f>'1D Analysis'!N42</f>
        <v>Total pressure loss</v>
      </c>
      <c r="CP28" s="2">
        <f>'1D Analysis'!O42</f>
        <v>0.26595115620062493</v>
      </c>
      <c r="CQ28" s="112" t="str">
        <f>'1D Analysis'!P42</f>
        <v>[-]</v>
      </c>
      <c r="CT28" s="73"/>
      <c r="CU28" s="73"/>
      <c r="CV28" s="73"/>
      <c r="CW28" s="73"/>
      <c r="CX28" s="73"/>
      <c r="CY28" s="73"/>
      <c r="CZ28" s="73"/>
      <c r="DA28" s="73"/>
      <c r="DB28" s="73"/>
      <c r="DC28" s="73"/>
    </row>
    <row r="29" spans="1:133" x14ac:dyDescent="0.25">
      <c r="A29" s="3" t="s">
        <v>519</v>
      </c>
      <c r="B29" s="3">
        <f>1/CM38</f>
        <v>1.4285714285714286</v>
      </c>
      <c r="C29" s="2">
        <f>1/B29*B28</f>
        <v>1.1905365293482073E-2</v>
      </c>
      <c r="D29" s="2">
        <f>B27*B28</f>
        <v>1.1686917842638396E-2</v>
      </c>
      <c r="G29" s="171">
        <f t="shared" si="2"/>
        <v>0.10893409243536104</v>
      </c>
      <c r="H29" s="171">
        <f t="shared" si="29"/>
        <v>2.9763413233705183E-3</v>
      </c>
      <c r="I29" s="171">
        <f t="shared" si="30"/>
        <v>1</v>
      </c>
      <c r="J29" s="171">
        <f t="shared" si="49"/>
        <v>4.2522844744385431</v>
      </c>
      <c r="K29" s="3">
        <f t="shared" si="31"/>
        <v>2.2781249999997261E-3</v>
      </c>
      <c r="AA29" s="203" t="s">
        <v>551</v>
      </c>
      <c r="AB29" s="2">
        <v>2.58</v>
      </c>
      <c r="AC29" s="203" t="s">
        <v>551</v>
      </c>
      <c r="AD29" s="2">
        <v>2.62</v>
      </c>
      <c r="AE29" s="203" t="s">
        <v>551</v>
      </c>
      <c r="AF29" s="2">
        <v>2.85</v>
      </c>
      <c r="AG29" s="2"/>
      <c r="AH29" s="2"/>
      <c r="AK29">
        <v>4</v>
      </c>
      <c r="AL29">
        <f t="shared" si="3"/>
        <v>0.10893409243536104</v>
      </c>
      <c r="AM29">
        <f t="shared" si="32"/>
        <v>456.09546347428847</v>
      </c>
      <c r="AN29">
        <f t="shared" si="4"/>
        <v>758.34610919562101</v>
      </c>
      <c r="AO29" s="73">
        <f t="shared" si="33"/>
        <v>74.125642091753207</v>
      </c>
      <c r="AP29" s="73">
        <f t="shared" si="34"/>
        <v>788.4131754599282</v>
      </c>
      <c r="AQ29">
        <f t="shared" si="5"/>
        <v>1149.3567196617712</v>
      </c>
      <c r="AR29">
        <f t="shared" si="6"/>
        <v>215.65368975899966</v>
      </c>
      <c r="AS29">
        <f t="shared" si="7"/>
        <v>54.492412144598681</v>
      </c>
      <c r="AT29">
        <f t="shared" si="8"/>
        <v>302.25064572133255</v>
      </c>
      <c r="AU29">
        <f t="shared" si="9"/>
        <v>371.29767942398098</v>
      </c>
      <c r="AV29">
        <f t="shared" si="35"/>
        <v>1204.9462223817845</v>
      </c>
      <c r="AX29">
        <f t="shared" si="10"/>
        <v>4.0854640803563965E-4</v>
      </c>
      <c r="AY29">
        <f t="shared" si="36"/>
        <v>214.06502602161802</v>
      </c>
      <c r="AZ29">
        <f t="shared" ref="AZ29:AZ46" si="50">BC29/($BB$6*AQ29)</f>
        <v>0.45687159515029346</v>
      </c>
      <c r="BA29" s="135">
        <f t="shared" si="37"/>
        <v>4.010212099937184E-2</v>
      </c>
      <c r="BB29" s="191">
        <f t="shared" si="38"/>
        <v>1.2057436509690473</v>
      </c>
      <c r="BC29" s="2">
        <f t="shared" si="11"/>
        <v>150261.79915537889</v>
      </c>
      <c r="BD29" s="2">
        <f t="shared" si="39"/>
        <v>184390.05498240088</v>
      </c>
      <c r="BE29" t="e">
        <f ca="1">[1]!cercha(AL29,$AH$41:$AI$43)</f>
        <v>#NAME?</v>
      </c>
      <c r="BF29">
        <f t="shared" si="12"/>
        <v>2.2781249999997261E-3</v>
      </c>
      <c r="BG29" t="e">
        <f t="shared" ca="1" si="40"/>
        <v>#NAME?</v>
      </c>
      <c r="BH29" t="e">
        <f t="shared" ca="1" si="13"/>
        <v>#NAME?</v>
      </c>
      <c r="BI29" t="e">
        <f t="shared" ca="1" si="14"/>
        <v>#NAME?</v>
      </c>
      <c r="BJ29" t="e">
        <f t="shared" ca="1" si="41"/>
        <v>#NAME?</v>
      </c>
      <c r="BK29" t="e">
        <f t="shared" ca="1" si="42"/>
        <v>#NAME?</v>
      </c>
      <c r="BL29" t="e">
        <f t="shared" ca="1" si="15"/>
        <v>#NAME?</v>
      </c>
      <c r="BM29">
        <f t="shared" si="16"/>
        <v>-5.9526826467411198E-4</v>
      </c>
      <c r="BN29" t="e">
        <f t="shared" ca="1" si="17"/>
        <v>#NAME?</v>
      </c>
      <c r="BO29" t="e">
        <f t="shared" ca="1" si="43"/>
        <v>#NAME?</v>
      </c>
      <c r="BP29">
        <f t="shared" si="18"/>
        <v>1150.615061194957</v>
      </c>
      <c r="BQ29" t="e">
        <f t="shared" ca="1" si="19"/>
        <v>#NAME?</v>
      </c>
      <c r="BR29" t="e">
        <f t="shared" ca="1" si="20"/>
        <v>#NAME?</v>
      </c>
      <c r="BS29" t="e">
        <f t="shared" ca="1" si="21"/>
        <v>#NAME?</v>
      </c>
      <c r="BT29" t="e">
        <f t="shared" ca="1" si="22"/>
        <v>#NAME?</v>
      </c>
      <c r="BU29" t="e">
        <f t="shared" ca="1" si="23"/>
        <v>#NAME?</v>
      </c>
      <c r="BV29" t="e">
        <f t="shared" ca="1" si="24"/>
        <v>#NAME?</v>
      </c>
      <c r="BW29" t="e">
        <f t="shared" ca="1" si="44"/>
        <v>#NAME?</v>
      </c>
      <c r="BY29">
        <f t="shared" si="25"/>
        <v>4.0854640803563965E-4</v>
      </c>
      <c r="BZ29" t="e">
        <f t="shared" ca="1" si="45"/>
        <v>#NAME?</v>
      </c>
      <c r="CA29" t="e">
        <f t="shared" ca="1" si="46"/>
        <v>#NAME?</v>
      </c>
      <c r="CB29" s="135" t="e">
        <f t="shared" ca="1" si="47"/>
        <v>#NAME?</v>
      </c>
      <c r="CC29" s="191" t="e">
        <f t="shared" ca="1" si="26"/>
        <v>#NAME?</v>
      </c>
      <c r="CD29" s="2" t="e">
        <f t="shared" ca="1" si="27"/>
        <v>#NAME?</v>
      </c>
      <c r="CE29" s="2" t="e">
        <f t="shared" ca="1" si="48"/>
        <v>#NAME?</v>
      </c>
      <c r="CG29" t="e">
        <f t="shared" ca="1" si="28"/>
        <v>#NAME?</v>
      </c>
      <c r="CL29" s="111"/>
      <c r="CM29" s="2"/>
      <c r="CN29" s="2"/>
      <c r="CO29" s="111"/>
      <c r="CP29" s="2"/>
      <c r="CQ29" s="112"/>
      <c r="CT29" s="73"/>
      <c r="CU29" s="73"/>
      <c r="CV29" s="73"/>
      <c r="CW29" s="73"/>
      <c r="CX29" s="73"/>
      <c r="CY29" s="73"/>
      <c r="CZ29" s="73"/>
      <c r="DA29" s="73"/>
      <c r="DB29" s="73"/>
      <c r="DC29" s="73"/>
    </row>
    <row r="30" spans="1:133" x14ac:dyDescent="0.25">
      <c r="A30" s="3" t="str">
        <f t="shared" ref="A30:B32" si="51">CL39</f>
        <v>Re dh</v>
      </c>
      <c r="B30" s="3" t="e">
        <f t="shared" ca="1" si="51"/>
        <v>#NAME?</v>
      </c>
      <c r="C30" s="2"/>
      <c r="D30" s="2"/>
      <c r="G30" s="171">
        <f t="shared" si="2"/>
        <v>0.10952936070003515</v>
      </c>
      <c r="H30" s="171">
        <f t="shared" si="29"/>
        <v>2.3810730586964063E-3</v>
      </c>
      <c r="I30" s="171">
        <f t="shared" si="30"/>
        <v>1</v>
      </c>
      <c r="J30" s="171">
        <f t="shared" si="49"/>
        <v>3.4018275795508224</v>
      </c>
      <c r="K30" s="3">
        <f t="shared" si="31"/>
        <v>1.7718749999997435E-3</v>
      </c>
      <c r="AA30" s="1"/>
      <c r="AC30" s="1"/>
      <c r="AE30" s="1"/>
      <c r="AK30">
        <v>5</v>
      </c>
      <c r="AL30">
        <f t="shared" si="3"/>
        <v>0.10952936070003515</v>
      </c>
      <c r="AM30">
        <f t="shared" si="32"/>
        <v>458.58778841130646</v>
      </c>
      <c r="AN30">
        <f t="shared" si="4"/>
        <v>755.12102123081127</v>
      </c>
      <c r="AO30" s="73">
        <f t="shared" si="33"/>
        <v>74.284431168794185</v>
      </c>
      <c r="AP30" s="73">
        <f t="shared" si="34"/>
        <v>784.44500204552605</v>
      </c>
      <c r="AQ30">
        <f t="shared" si="5"/>
        <v>1151.873402728143</v>
      </c>
      <c r="AR30">
        <f t="shared" si="6"/>
        <v>212.47636228423639</v>
      </c>
      <c r="AS30">
        <f t="shared" si="7"/>
        <v>54.377087008890193</v>
      </c>
      <c r="AT30">
        <f t="shared" si="8"/>
        <v>296.5332328195048</v>
      </c>
      <c r="AU30">
        <f t="shared" si="9"/>
        <v>364.7987975527451</v>
      </c>
      <c r="AV30">
        <f t="shared" si="35"/>
        <v>1205.5339522023078</v>
      </c>
      <c r="AX30">
        <f t="shared" si="10"/>
        <v>4.1077281897860531E-4</v>
      </c>
      <c r="AY30">
        <f t="shared" si="36"/>
        <v>210.88360755810564</v>
      </c>
      <c r="AZ30">
        <f t="shared" si="50"/>
        <v>0.46021474386270367</v>
      </c>
      <c r="BA30" s="135">
        <f t="shared" si="37"/>
        <v>4.0009740781559541E-2</v>
      </c>
      <c r="BB30" s="191">
        <f t="shared" si="38"/>
        <v>1.198363727593885</v>
      </c>
      <c r="BC30" s="2">
        <f t="shared" si="11"/>
        <v>151692.76442734699</v>
      </c>
      <c r="BD30" s="2">
        <f t="shared" si="39"/>
        <v>184780.1071535823</v>
      </c>
      <c r="BE30" t="e">
        <f ca="1">[1]!cercha(AL30,$AH$41:$AI$43)</f>
        <v>#NAME?</v>
      </c>
      <c r="BF30">
        <f t="shared" si="12"/>
        <v>1.7718749999997435E-3</v>
      </c>
      <c r="BG30" t="e">
        <f t="shared" ca="1" si="40"/>
        <v>#NAME?</v>
      </c>
      <c r="BH30" t="e">
        <f t="shared" ca="1" si="13"/>
        <v>#NAME?</v>
      </c>
      <c r="BI30" t="e">
        <f t="shared" ca="1" si="14"/>
        <v>#NAME?</v>
      </c>
      <c r="BJ30" t="e">
        <f t="shared" ca="1" si="41"/>
        <v>#NAME?</v>
      </c>
      <c r="BK30" t="e">
        <f t="shared" ca="1" si="42"/>
        <v>#NAME?</v>
      </c>
      <c r="BL30" t="e">
        <f t="shared" ca="1" si="15"/>
        <v>#NAME?</v>
      </c>
      <c r="BM30">
        <f t="shared" si="16"/>
        <v>-5.952682646740981E-4</v>
      </c>
      <c r="BN30" t="e">
        <f t="shared" ca="1" si="17"/>
        <v>#NAME?</v>
      </c>
      <c r="BO30" t="e">
        <f t="shared" ca="1" si="43"/>
        <v>#NAME?</v>
      </c>
      <c r="BP30">
        <f t="shared" si="18"/>
        <v>1153.1143325382523</v>
      </c>
      <c r="BQ30" t="e">
        <f t="shared" ca="1" si="19"/>
        <v>#NAME?</v>
      </c>
      <c r="BR30" t="e">
        <f t="shared" ca="1" si="20"/>
        <v>#NAME?</v>
      </c>
      <c r="BS30" t="e">
        <f t="shared" ca="1" si="21"/>
        <v>#NAME?</v>
      </c>
      <c r="BT30" t="e">
        <f t="shared" ca="1" si="22"/>
        <v>#NAME?</v>
      </c>
      <c r="BU30" t="e">
        <f t="shared" ca="1" si="23"/>
        <v>#NAME?</v>
      </c>
      <c r="BV30" t="e">
        <f t="shared" ca="1" si="24"/>
        <v>#NAME?</v>
      </c>
      <c r="BW30" t="e">
        <f t="shared" ca="1" si="44"/>
        <v>#NAME?</v>
      </c>
      <c r="BY30">
        <f t="shared" si="25"/>
        <v>4.1077281897860531E-4</v>
      </c>
      <c r="BZ30" t="e">
        <f t="shared" ca="1" si="45"/>
        <v>#NAME?</v>
      </c>
      <c r="CA30" t="e">
        <f t="shared" ca="1" si="46"/>
        <v>#NAME?</v>
      </c>
      <c r="CB30" s="135" t="e">
        <f t="shared" ca="1" si="47"/>
        <v>#NAME?</v>
      </c>
      <c r="CC30" s="191" t="e">
        <f t="shared" ca="1" si="26"/>
        <v>#NAME?</v>
      </c>
      <c r="CD30" s="2" t="e">
        <f t="shared" ca="1" si="27"/>
        <v>#NAME?</v>
      </c>
      <c r="CE30" s="2" t="e">
        <f t="shared" ca="1" si="48"/>
        <v>#NAME?</v>
      </c>
      <c r="CG30" t="e">
        <f t="shared" ca="1" si="28"/>
        <v>#NAME?</v>
      </c>
      <c r="CL30" s="111" t="str">
        <f>'1D Analysis'!J44</f>
        <v>h2</v>
      </c>
      <c r="CM30" s="2">
        <f>'1D Analysis'!K44</f>
        <v>1.1905365293482073E-2</v>
      </c>
      <c r="CN30" s="2" t="str">
        <f>'1D Analysis'!L44</f>
        <v>[m]</v>
      </c>
      <c r="CO30" s="111" t="str">
        <f>'1D Analysis'!N44</f>
        <v>A3</v>
      </c>
      <c r="CP30" s="2">
        <f>'1D Analysis'!O44</f>
        <v>1.0228835576754608E-2</v>
      </c>
      <c r="CQ30" s="112" t="str">
        <f>'1D Analysis'!P44</f>
        <v>[m2]</v>
      </c>
      <c r="CT30" s="73"/>
      <c r="CU30" s="73"/>
      <c r="CV30" s="73"/>
      <c r="CW30" s="73"/>
      <c r="CX30" s="73"/>
      <c r="CY30" s="73"/>
      <c r="CZ30" s="73"/>
      <c r="DA30" s="73"/>
      <c r="DB30" s="73"/>
      <c r="DC30" s="73"/>
    </row>
    <row r="31" spans="1:133" x14ac:dyDescent="0.25">
      <c r="A31" s="3" t="str">
        <f t="shared" si="51"/>
        <v>dh</v>
      </c>
      <c r="B31" s="3">
        <f t="shared" si="51"/>
        <v>4.748449142037663E-3</v>
      </c>
      <c r="C31" s="2"/>
      <c r="D31" s="2"/>
      <c r="G31" s="171">
        <f t="shared" si="2"/>
        <v>0.11012462896470925</v>
      </c>
      <c r="H31" s="171">
        <f t="shared" si="29"/>
        <v>1.7858047940223082E-3</v>
      </c>
      <c r="I31" s="171">
        <f t="shared" si="30"/>
        <v>1</v>
      </c>
      <c r="J31" s="171">
        <f t="shared" si="49"/>
        <v>2.5513706846631217</v>
      </c>
      <c r="K31" s="3">
        <f t="shared" si="31"/>
        <v>1.2656249999998205E-3</v>
      </c>
      <c r="Y31" s="291" t="s">
        <v>569</v>
      </c>
      <c r="Z31" s="304"/>
      <c r="AA31" s="165" t="s">
        <v>526</v>
      </c>
      <c r="AB31" s="3">
        <v>12.25</v>
      </c>
      <c r="AC31" s="165" t="s">
        <v>526</v>
      </c>
      <c r="AD31" s="3">
        <v>12.25</v>
      </c>
      <c r="AE31" s="165" t="s">
        <v>526</v>
      </c>
      <c r="AF31" s="3">
        <v>12.25</v>
      </c>
      <c r="AG31" t="s">
        <v>513</v>
      </c>
      <c r="AH31">
        <v>0.19</v>
      </c>
      <c r="AK31">
        <v>6</v>
      </c>
      <c r="AL31">
        <f t="shared" si="3"/>
        <v>0.11012462896470925</v>
      </c>
      <c r="AM31">
        <f t="shared" si="32"/>
        <v>461.0801133483244</v>
      </c>
      <c r="AN31">
        <f t="shared" si="4"/>
        <v>751.9283797656052</v>
      </c>
      <c r="AO31" s="73">
        <f t="shared" si="33"/>
        <v>74.44605100897887</v>
      </c>
      <c r="AP31" s="73">
        <f t="shared" si="34"/>
        <v>780.51197900869113</v>
      </c>
      <c r="AQ31">
        <f t="shared" si="5"/>
        <v>1154.3552623483615</v>
      </c>
      <c r="AR31">
        <f t="shared" si="6"/>
        <v>209.29085283197489</v>
      </c>
      <c r="AS31">
        <f t="shared" si="7"/>
        <v>54.261671340315836</v>
      </c>
      <c r="AT31">
        <f t="shared" si="8"/>
        <v>290.8482664172808</v>
      </c>
      <c r="AU31">
        <f t="shared" si="9"/>
        <v>358.32300394626202</v>
      </c>
      <c r="AV31">
        <f t="shared" si="35"/>
        <v>1206.1275910407296</v>
      </c>
      <c r="AX31">
        <f t="shared" si="10"/>
        <v>4.1299922992158188E-4</v>
      </c>
      <c r="AY31">
        <f t="shared" si="36"/>
        <v>207.69345594882111</v>
      </c>
      <c r="AZ31">
        <f t="shared" si="50"/>
        <v>0.46352836696864402</v>
      </c>
      <c r="BA31" s="135">
        <f t="shared" si="37"/>
        <v>3.9901044113301608E-2</v>
      </c>
      <c r="BB31" s="191">
        <f t="shared" si="38"/>
        <v>1.1910729436630985</v>
      </c>
      <c r="BC31" s="2">
        <f t="shared" si="11"/>
        <v>153114.17260982675</v>
      </c>
      <c r="BD31" s="2">
        <f t="shared" si="39"/>
        <v>185174.72488379842</v>
      </c>
      <c r="BE31" t="e">
        <f ca="1">[1]!cercha(AL31,$AH$41:$AI$43)</f>
        <v>#NAME?</v>
      </c>
      <c r="BF31">
        <f t="shared" si="12"/>
        <v>1.2656249999998205E-3</v>
      </c>
      <c r="BG31" t="e">
        <f t="shared" ca="1" si="40"/>
        <v>#NAME?</v>
      </c>
      <c r="BH31" t="e">
        <f t="shared" ca="1" si="13"/>
        <v>#NAME?</v>
      </c>
      <c r="BI31" t="e">
        <f t="shared" ca="1" si="14"/>
        <v>#NAME?</v>
      </c>
      <c r="BJ31" t="e">
        <f t="shared" ca="1" si="41"/>
        <v>#NAME?</v>
      </c>
      <c r="BK31" t="e">
        <f t="shared" ca="1" si="42"/>
        <v>#NAME?</v>
      </c>
      <c r="BL31" t="e">
        <f t="shared" ca="1" si="15"/>
        <v>#NAME?</v>
      </c>
      <c r="BM31">
        <f t="shared" si="16"/>
        <v>-5.952682646740981E-4</v>
      </c>
      <c r="BN31" t="e">
        <f t="shared" ca="1" si="17"/>
        <v>#NAME?</v>
      </c>
      <c r="BO31" t="e">
        <f t="shared" ca="1" si="43"/>
        <v>#NAME?</v>
      </c>
      <c r="BP31">
        <f t="shared" si="18"/>
        <v>1155.5791179476948</v>
      </c>
      <c r="BQ31" t="e">
        <f t="shared" ca="1" si="19"/>
        <v>#NAME?</v>
      </c>
      <c r="BR31" t="e">
        <f t="shared" ca="1" si="20"/>
        <v>#NAME?</v>
      </c>
      <c r="BS31" t="e">
        <f t="shared" ca="1" si="21"/>
        <v>#NAME?</v>
      </c>
      <c r="BT31" t="e">
        <f t="shared" ca="1" si="22"/>
        <v>#NAME?</v>
      </c>
      <c r="BU31" t="e">
        <f t="shared" ca="1" si="23"/>
        <v>#NAME?</v>
      </c>
      <c r="BV31" t="e">
        <f t="shared" ca="1" si="24"/>
        <v>#NAME?</v>
      </c>
      <c r="BW31" t="e">
        <f t="shared" ca="1" si="44"/>
        <v>#NAME?</v>
      </c>
      <c r="BY31">
        <f t="shared" si="25"/>
        <v>4.1299922992158188E-4</v>
      </c>
      <c r="BZ31" t="e">
        <f t="shared" ca="1" si="45"/>
        <v>#NAME?</v>
      </c>
      <c r="CA31" t="e">
        <f t="shared" ca="1" si="46"/>
        <v>#NAME?</v>
      </c>
      <c r="CB31" s="135" t="e">
        <f t="shared" ca="1" si="47"/>
        <v>#NAME?</v>
      </c>
      <c r="CC31" s="191" t="e">
        <f t="shared" ca="1" si="26"/>
        <v>#NAME?</v>
      </c>
      <c r="CD31" s="2" t="e">
        <f t="shared" ca="1" si="27"/>
        <v>#NAME?</v>
      </c>
      <c r="CE31" s="2" t="e">
        <f t="shared" ca="1" si="48"/>
        <v>#NAME?</v>
      </c>
      <c r="CG31" t="e">
        <f t="shared" ca="1" si="28"/>
        <v>#NAME?</v>
      </c>
      <c r="CL31" s="111" t="str">
        <f>'1D Analysis'!J45</f>
        <v>omega</v>
      </c>
      <c r="CM31" s="2">
        <f>'1D Analysis'!K45</f>
        <v>4186.8936829388367</v>
      </c>
      <c r="CN31" s="2" t="str">
        <f>'1D Analysis'!L45</f>
        <v>[rad/s]</v>
      </c>
      <c r="CO31" s="111" t="str">
        <f>'1D Analysis'!N45</f>
        <v>rh3</v>
      </c>
      <c r="CP31" s="2">
        <f>'1D Analysis'!O45</f>
        <v>0.10590399514291465</v>
      </c>
      <c r="CQ31" s="112" t="str">
        <f>'1D Analysis'!P45</f>
        <v>[m]</v>
      </c>
      <c r="CT31" s="73"/>
      <c r="CU31" s="73"/>
      <c r="CV31" s="73"/>
      <c r="CW31" s="73"/>
      <c r="CX31" s="73"/>
      <c r="CY31" s="73"/>
      <c r="CZ31" s="73"/>
      <c r="DA31" s="73"/>
      <c r="DB31" s="73"/>
      <c r="DC31" s="73"/>
    </row>
    <row r="32" spans="1:133" ht="15.75" thickBot="1" x14ac:dyDescent="0.3">
      <c r="A32" s="3" t="str">
        <f t="shared" si="51"/>
        <v>Re c</v>
      </c>
      <c r="B32" s="3" t="e">
        <f t="shared" ca="1" si="51"/>
        <v>#NAME?</v>
      </c>
      <c r="C32" s="2" t="e">
        <f ca="1">B32/100000</f>
        <v>#NAME?</v>
      </c>
      <c r="D32" s="2"/>
      <c r="G32" s="171">
        <f t="shared" si="2"/>
        <v>0.11071989722938334</v>
      </c>
      <c r="H32" s="171">
        <f t="shared" si="29"/>
        <v>1.1905365293482101E-3</v>
      </c>
      <c r="I32" s="171">
        <f t="shared" si="30"/>
        <v>1</v>
      </c>
      <c r="J32" s="171">
        <f t="shared" si="49"/>
        <v>1.7009137897754212</v>
      </c>
      <c r="K32" s="3">
        <f t="shared" si="31"/>
        <v>7.5937499999990867E-4</v>
      </c>
      <c r="AA32" s="165" t="s">
        <v>527</v>
      </c>
      <c r="AB32" s="3">
        <f>AB31*$B$27</f>
        <v>8.41766027586654</v>
      </c>
      <c r="AC32" s="165" t="s">
        <v>527</v>
      </c>
      <c r="AD32" s="3">
        <f>AD31*$B$27</f>
        <v>8.41766027586654</v>
      </c>
      <c r="AE32" s="165" t="s">
        <v>527</v>
      </c>
      <c r="AF32" s="3">
        <f>AF31*$B$27</f>
        <v>8.41766027586654</v>
      </c>
      <c r="AG32" s="2"/>
      <c r="AH32" s="2"/>
      <c r="AK32">
        <v>7</v>
      </c>
      <c r="AL32">
        <f t="shared" si="3"/>
        <v>0.11071989722938334</v>
      </c>
      <c r="AM32">
        <f t="shared" si="32"/>
        <v>463.57243828534234</v>
      </c>
      <c r="AN32">
        <f t="shared" si="4"/>
        <v>748.76768095382636</v>
      </c>
      <c r="AO32" s="73">
        <f t="shared" si="33"/>
        <v>74.610592442600833</v>
      </c>
      <c r="AP32" s="73">
        <f t="shared" si="34"/>
        <v>776.61356259298623</v>
      </c>
      <c r="AQ32">
        <f t="shared" si="5"/>
        <v>1156.8029735470282</v>
      </c>
      <c r="AR32">
        <f t="shared" si="6"/>
        <v>206.09605906566733</v>
      </c>
      <c r="AS32">
        <f t="shared" si="7"/>
        <v>54.146279771647087</v>
      </c>
      <c r="AT32">
        <f t="shared" si="8"/>
        <v>285.19524266848401</v>
      </c>
      <c r="AU32">
        <f t="shared" si="9"/>
        <v>351.86916887265716</v>
      </c>
      <c r="AV32">
        <f t="shared" si="35"/>
        <v>1206.7271316128083</v>
      </c>
      <c r="AX32">
        <f t="shared" si="10"/>
        <v>4.1522564086455844E-4</v>
      </c>
      <c r="AY32">
        <f t="shared" si="36"/>
        <v>204.49344203939012</v>
      </c>
      <c r="AZ32">
        <f t="shared" si="50"/>
        <v>0.46681271974094679</v>
      </c>
      <c r="BA32" s="135">
        <f t="shared" si="37"/>
        <v>3.9775704648336359E-2</v>
      </c>
      <c r="BB32" s="191">
        <f t="shared" si="38"/>
        <v>1.1838694198918527</v>
      </c>
      <c r="BC32" s="2">
        <f t="shared" si="11"/>
        <v>154526.03640796605</v>
      </c>
      <c r="BD32" s="2">
        <f t="shared" si="39"/>
        <v>185573.92340061488</v>
      </c>
      <c r="BE32" t="e">
        <f ca="1">[1]!cercha(AL32,$AH$41:$AI$43)</f>
        <v>#NAME?</v>
      </c>
      <c r="BF32">
        <f t="shared" si="12"/>
        <v>7.5937499999990867E-4</v>
      </c>
      <c r="BG32" t="e">
        <f t="shared" ca="1" si="40"/>
        <v>#NAME?</v>
      </c>
      <c r="BH32" t="e">
        <f t="shared" ca="1" si="13"/>
        <v>#NAME?</v>
      </c>
      <c r="BI32" t="e">
        <f t="shared" ca="1" si="14"/>
        <v>#NAME?</v>
      </c>
      <c r="BJ32" t="e">
        <f t="shared" ca="1" si="41"/>
        <v>#NAME?</v>
      </c>
      <c r="BK32" t="e">
        <f t="shared" ca="1" si="42"/>
        <v>#NAME?</v>
      </c>
      <c r="BL32" t="e">
        <f t="shared" ca="1" si="15"/>
        <v>#NAME?</v>
      </c>
      <c r="BM32">
        <f t="shared" si="16"/>
        <v>-5.9526826467411198E-4</v>
      </c>
      <c r="BN32" t="e">
        <f t="shared" ca="1" si="17"/>
        <v>#NAME?</v>
      </c>
      <c r="BO32" t="e">
        <f t="shared" ca="1" si="43"/>
        <v>#NAME?</v>
      </c>
      <c r="BP32">
        <f t="shared" si="18"/>
        <v>1158.0100840810751</v>
      </c>
      <c r="BQ32" t="e">
        <f t="shared" ca="1" si="19"/>
        <v>#NAME?</v>
      </c>
      <c r="BR32" t="e">
        <f t="shared" ca="1" si="20"/>
        <v>#NAME?</v>
      </c>
      <c r="BS32" t="e">
        <f t="shared" ca="1" si="21"/>
        <v>#NAME?</v>
      </c>
      <c r="BT32" t="e">
        <f t="shared" ca="1" si="22"/>
        <v>#NAME?</v>
      </c>
      <c r="BU32" t="e">
        <f t="shared" ca="1" si="23"/>
        <v>#NAME?</v>
      </c>
      <c r="BV32" t="e">
        <f t="shared" ca="1" si="24"/>
        <v>#NAME?</v>
      </c>
      <c r="BW32" t="e">
        <f t="shared" ca="1" si="44"/>
        <v>#NAME?</v>
      </c>
      <c r="BY32">
        <f t="shared" si="25"/>
        <v>4.1522564086455844E-4</v>
      </c>
      <c r="BZ32" t="e">
        <f t="shared" ca="1" si="45"/>
        <v>#NAME?</v>
      </c>
      <c r="CA32" t="e">
        <f t="shared" ca="1" si="46"/>
        <v>#NAME?</v>
      </c>
      <c r="CB32" s="135" t="e">
        <f t="shared" ca="1" si="47"/>
        <v>#NAME?</v>
      </c>
      <c r="CC32" s="191" t="e">
        <f t="shared" ca="1" si="26"/>
        <v>#NAME?</v>
      </c>
      <c r="CD32" s="2" t="e">
        <f t="shared" ca="1" si="27"/>
        <v>#NAME?</v>
      </c>
      <c r="CE32" s="2" t="e">
        <f t="shared" ca="1" si="48"/>
        <v>#NAME?</v>
      </c>
      <c r="CG32" t="e">
        <f t="shared" ca="1" si="28"/>
        <v>#NAME?</v>
      </c>
      <c r="CL32" s="111" t="str">
        <f>'1D Analysis'!J46</f>
        <v>H01</v>
      </c>
      <c r="CM32" s="2">
        <f>'1D Analysis'!K46</f>
        <v>1736000</v>
      </c>
      <c r="CN32" s="2" t="str">
        <f>'1D Analysis'!L46</f>
        <v>[J/kg]</v>
      </c>
      <c r="CO32" s="111" t="str">
        <f>'1D Analysis'!N46</f>
        <v>rt3</v>
      </c>
      <c r="CP32" s="2">
        <f>'1D Analysis'!O46</f>
        <v>0.12029794543324487</v>
      </c>
      <c r="CQ32" s="112" t="str">
        <f>'1D Analysis'!P46</f>
        <v>[m]</v>
      </c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</row>
    <row r="33" spans="1:143" x14ac:dyDescent="0.25">
      <c r="A33" s="3" t="s">
        <v>524</v>
      </c>
      <c r="B33" s="3">
        <f>(AW3/AX3)^2</f>
        <v>1.4405713616700039E-2</v>
      </c>
      <c r="C33" s="2"/>
      <c r="D33" s="2"/>
      <c r="F33" s="108" t="s">
        <v>578</v>
      </c>
      <c r="G33" s="171">
        <f t="shared" si="2"/>
        <v>0.11131516549405746</v>
      </c>
      <c r="H33" s="171">
        <f t="shared" si="29"/>
        <v>5.952682646740981E-4</v>
      </c>
      <c r="I33" s="171">
        <f t="shared" si="30"/>
        <v>1</v>
      </c>
      <c r="J33" s="171">
        <f t="shared" si="49"/>
        <v>0.8504568948877006</v>
      </c>
      <c r="K33" s="3">
        <f t="shared" si="31"/>
        <v>2.5312499999996171E-4</v>
      </c>
      <c r="AA33" s="165"/>
      <c r="AB33" s="3"/>
      <c r="AC33" s="165"/>
      <c r="AD33" s="3"/>
      <c r="AE33" s="165"/>
      <c r="AF33" s="3"/>
      <c r="AG33" s="2"/>
      <c r="AH33" s="2"/>
      <c r="AK33">
        <v>8</v>
      </c>
      <c r="AL33">
        <f t="shared" si="3"/>
        <v>0.11131516549405746</v>
      </c>
      <c r="AM33">
        <f t="shared" si="32"/>
        <v>466.06476322236034</v>
      </c>
      <c r="AN33">
        <f t="shared" si="4"/>
        <v>745.63843146661634</v>
      </c>
      <c r="AO33" s="73">
        <f t="shared" si="33"/>
        <v>74.778151967428855</v>
      </c>
      <c r="AP33" s="73">
        <f t="shared" si="34"/>
        <v>772.74922022251019</v>
      </c>
      <c r="AQ33">
        <f t="shared" si="5"/>
        <v>1159.217194615122</v>
      </c>
      <c r="AR33">
        <f t="shared" si="6"/>
        <v>202.8908250131129</v>
      </c>
      <c r="AS33">
        <f t="shared" si="7"/>
        <v>54.031042255651485</v>
      </c>
      <c r="AT33">
        <f t="shared" si="8"/>
        <v>279.573668244256</v>
      </c>
      <c r="AU33">
        <f t="shared" si="9"/>
        <v>345.43613425646561</v>
      </c>
      <c r="AV33">
        <f t="shared" si="35"/>
        <v>1207.332566732078</v>
      </c>
      <c r="AX33">
        <f t="shared" si="10"/>
        <v>4.1745205180752953E-4</v>
      </c>
      <c r="AY33">
        <f t="shared" si="36"/>
        <v>201.28238036338229</v>
      </c>
      <c r="AZ33">
        <f t="shared" si="50"/>
        <v>0.47006805844758831</v>
      </c>
      <c r="BA33" s="135">
        <f t="shared" si="37"/>
        <v>3.9633375680025312E-2</v>
      </c>
      <c r="BB33" s="191">
        <f t="shared" si="38"/>
        <v>1.1767513314307085</v>
      </c>
      <c r="BC33" s="2">
        <f t="shared" si="11"/>
        <v>155928.37159149701</v>
      </c>
      <c r="BD33" s="2">
        <f t="shared" si="39"/>
        <v>185977.71820235372</v>
      </c>
      <c r="BE33" t="e">
        <f ca="1">[1]!cercha(AL33,$AH$41:$AI$43)</f>
        <v>#NAME?</v>
      </c>
      <c r="BF33">
        <f t="shared" si="12"/>
        <v>2.5312499999996171E-4</v>
      </c>
      <c r="BG33" t="e">
        <f t="shared" ca="1" si="40"/>
        <v>#NAME?</v>
      </c>
      <c r="BH33" t="e">
        <f t="shared" ca="1" si="13"/>
        <v>#NAME?</v>
      </c>
      <c r="BI33" t="e">
        <f t="shared" ca="1" si="14"/>
        <v>#NAME?</v>
      </c>
      <c r="BJ33" t="e">
        <f t="shared" ca="1" si="41"/>
        <v>#NAME?</v>
      </c>
      <c r="BK33" t="e">
        <f t="shared" ca="1" si="42"/>
        <v>#NAME?</v>
      </c>
      <c r="BL33" t="e">
        <f t="shared" ca="1" si="15"/>
        <v>#NAME?</v>
      </c>
      <c r="BM33">
        <f t="shared" si="16"/>
        <v>-5.952682646740981E-4</v>
      </c>
      <c r="BN33" t="e">
        <f t="shared" ca="1" si="17"/>
        <v>#NAME?</v>
      </c>
      <c r="BO33" t="e">
        <f t="shared" ca="1" si="43"/>
        <v>#NAME?</v>
      </c>
      <c r="BP33">
        <f t="shared" si="18"/>
        <v>1160.4078811143499</v>
      </c>
      <c r="BQ33" t="e">
        <f t="shared" ca="1" si="19"/>
        <v>#NAME?</v>
      </c>
      <c r="BR33" t="e">
        <f t="shared" ca="1" si="20"/>
        <v>#NAME?</v>
      </c>
      <c r="BS33" t="e">
        <f t="shared" ca="1" si="21"/>
        <v>#NAME?</v>
      </c>
      <c r="BT33" t="e">
        <f t="shared" ca="1" si="22"/>
        <v>#NAME?</v>
      </c>
      <c r="BU33" t="e">
        <f t="shared" ca="1" si="23"/>
        <v>#NAME?</v>
      </c>
      <c r="BV33" t="e">
        <f t="shared" ca="1" si="24"/>
        <v>#NAME?</v>
      </c>
      <c r="BW33" t="e">
        <f t="shared" ca="1" si="44"/>
        <v>#NAME?</v>
      </c>
      <c r="BY33">
        <f t="shared" si="25"/>
        <v>4.1745205180752953E-4</v>
      </c>
      <c r="BZ33" t="e">
        <f t="shared" ca="1" si="45"/>
        <v>#NAME?</v>
      </c>
      <c r="CA33" t="e">
        <f t="shared" ca="1" si="46"/>
        <v>#NAME?</v>
      </c>
      <c r="CB33" s="135" t="e">
        <f t="shared" ca="1" si="47"/>
        <v>#NAME?</v>
      </c>
      <c r="CC33" s="191" t="e">
        <f t="shared" ca="1" si="26"/>
        <v>#NAME?</v>
      </c>
      <c r="CD33" s="2" t="e">
        <f t="shared" ca="1" si="27"/>
        <v>#NAME?</v>
      </c>
      <c r="CE33" s="2" t="e">
        <f t="shared" ca="1" si="48"/>
        <v>#NAME?</v>
      </c>
      <c r="CG33" t="e">
        <f t="shared" ca="1" si="28"/>
        <v>#NAME?</v>
      </c>
      <c r="CL33" s="111"/>
      <c r="CM33" s="2"/>
      <c r="CN33" s="2"/>
      <c r="CO33" s="111" t="str">
        <f>'1D Analysis'!N47</f>
        <v>rm3</v>
      </c>
      <c r="CP33" s="2">
        <f>'1D Analysis'!O47</f>
        <v>0.11310097028807976</v>
      </c>
      <c r="CQ33" s="112" t="str">
        <f>'1D Analysis'!P47</f>
        <v>[m]</v>
      </c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</row>
    <row r="34" spans="1:143" ht="15.75" thickBot="1" x14ac:dyDescent="0.3">
      <c r="A34" s="3" t="s">
        <v>403</v>
      </c>
      <c r="B34" s="3">
        <f>AW6</f>
        <v>0</v>
      </c>
      <c r="C34" s="2"/>
      <c r="D34" s="2"/>
      <c r="F34" s="113">
        <f>G34-G26</f>
        <v>4.7621461173928264E-3</v>
      </c>
      <c r="G34" s="171">
        <f t="shared" si="2"/>
        <v>0.11191043375873155</v>
      </c>
      <c r="H34" s="171">
        <f t="shared" si="29"/>
        <v>0</v>
      </c>
      <c r="I34" s="171">
        <f t="shared" si="30"/>
        <v>0</v>
      </c>
      <c r="J34" s="171">
        <f>IF(H34&lt;=0,0,TAN($F$26)*H34)</f>
        <v>0</v>
      </c>
      <c r="K34" s="3">
        <f t="shared" si="31"/>
        <v>0</v>
      </c>
      <c r="Y34" s="291" t="s">
        <v>569</v>
      </c>
      <c r="Z34" s="291"/>
      <c r="AA34" s="166" t="s">
        <v>590</v>
      </c>
      <c r="AB34" s="163">
        <v>0.73</v>
      </c>
      <c r="AC34" s="166" t="s">
        <v>590</v>
      </c>
      <c r="AD34" s="163">
        <v>0.7</v>
      </c>
      <c r="AE34" s="166" t="s">
        <v>590</v>
      </c>
      <c r="AF34" s="163">
        <v>0.67700000000000005</v>
      </c>
      <c r="AG34" s="32"/>
      <c r="AH34" s="32"/>
      <c r="AK34">
        <v>9</v>
      </c>
      <c r="AL34">
        <f t="shared" si="3"/>
        <v>0.11191043375873155</v>
      </c>
      <c r="AM34">
        <f t="shared" si="32"/>
        <v>468.55708815937828</v>
      </c>
      <c r="AN34">
        <f t="shared" si="4"/>
        <v>742.54014821755413</v>
      </c>
      <c r="AO34" s="73">
        <f t="shared" si="33"/>
        <v>74.948832248676567</v>
      </c>
      <c r="AP34" s="73">
        <f t="shared" si="34"/>
        <v>768.91843021111595</v>
      </c>
      <c r="AQ34">
        <f t="shared" si="5"/>
        <v>1161.5985676135779</v>
      </c>
      <c r="AR34">
        <f t="shared" si="6"/>
        <v>199.67393571365164</v>
      </c>
      <c r="AS34">
        <f t="shared" si="7"/>
        <v>53.916106104827733</v>
      </c>
      <c r="AT34">
        <f t="shared" si="8"/>
        <v>273.98306005817585</v>
      </c>
      <c r="AU34">
        <f t="shared" si="9"/>
        <v>339.02270986207031</v>
      </c>
      <c r="AV34">
        <f t="shared" si="35"/>
        <v>1207.9438893080221</v>
      </c>
      <c r="AX34">
        <f t="shared" si="10"/>
        <v>4.1967846275050609E-4</v>
      </c>
      <c r="AY34">
        <f t="shared" si="36"/>
        <v>198.0590234767896</v>
      </c>
      <c r="AZ34">
        <f t="shared" si="50"/>
        <v>0.47329464012763872</v>
      </c>
      <c r="BA34" s="135">
        <f t="shared" si="37"/>
        <v>3.9473688258842496E-2</v>
      </c>
      <c r="BB34" s="191">
        <f t="shared" si="38"/>
        <v>1.1697169058474717</v>
      </c>
      <c r="BC34" s="2">
        <f t="shared" si="11"/>
        <v>157321.19683361464</v>
      </c>
      <c r="BD34" s="2">
        <f t="shared" si="39"/>
        <v>186386.12505770221</v>
      </c>
      <c r="BE34" t="e">
        <f ca="1">[1]!cercha(AL34,$AH$41:$AI$43)</f>
        <v>#NAME?</v>
      </c>
      <c r="BF34">
        <f t="shared" si="12"/>
        <v>0</v>
      </c>
      <c r="BG34" t="e">
        <f t="shared" ca="1" si="40"/>
        <v>#NAME?</v>
      </c>
      <c r="BH34" t="e">
        <f t="shared" ca="1" si="13"/>
        <v>#NAME?</v>
      </c>
      <c r="BI34" t="e">
        <f t="shared" ca="1" si="14"/>
        <v>#NAME?</v>
      </c>
      <c r="BJ34" t="e">
        <f t="shared" ca="1" si="41"/>
        <v>#NAME?</v>
      </c>
      <c r="BK34" t="e">
        <f t="shared" ca="1" si="42"/>
        <v>#NAME?</v>
      </c>
      <c r="BL34" t="e">
        <f t="shared" ca="1" si="15"/>
        <v>#NAME?</v>
      </c>
      <c r="BM34">
        <f t="shared" si="16"/>
        <v>-5.9526826467411198E-4</v>
      </c>
      <c r="BN34" t="e">
        <f t="shared" ca="1" si="17"/>
        <v>#NAME?</v>
      </c>
      <c r="BO34" t="e">
        <f t="shared" ca="1" si="43"/>
        <v>#NAME?</v>
      </c>
      <c r="BP34">
        <f t="shared" si="18"/>
        <v>1162.7731432363294</v>
      </c>
      <c r="BQ34" t="e">
        <f t="shared" ca="1" si="19"/>
        <v>#NAME?</v>
      </c>
      <c r="BR34" t="e">
        <f t="shared" ca="1" si="20"/>
        <v>#NAME?</v>
      </c>
      <c r="BS34" t="e">
        <f t="shared" ca="1" si="21"/>
        <v>#NAME?</v>
      </c>
      <c r="BT34" t="e">
        <f t="shared" ca="1" si="22"/>
        <v>#NAME?</v>
      </c>
      <c r="BU34" t="e">
        <f t="shared" ca="1" si="23"/>
        <v>#NAME?</v>
      </c>
      <c r="BV34" t="e">
        <f t="shared" ca="1" si="24"/>
        <v>#NAME?</v>
      </c>
      <c r="BW34" t="e">
        <f t="shared" ca="1" si="44"/>
        <v>#NAME?</v>
      </c>
      <c r="BY34">
        <f t="shared" si="25"/>
        <v>4.1967846275050609E-4</v>
      </c>
      <c r="BZ34" t="e">
        <f t="shared" ca="1" si="45"/>
        <v>#NAME?</v>
      </c>
      <c r="CA34" t="e">
        <f t="shared" ca="1" si="46"/>
        <v>#NAME?</v>
      </c>
      <c r="CB34" s="135" t="e">
        <f t="shared" ca="1" si="47"/>
        <v>#NAME?</v>
      </c>
      <c r="CC34" s="191" t="e">
        <f t="shared" ca="1" si="26"/>
        <v>#NAME?</v>
      </c>
      <c r="CD34" s="2" t="e">
        <f t="shared" ca="1" si="27"/>
        <v>#NAME?</v>
      </c>
      <c r="CE34" s="2" t="e">
        <f t="shared" ca="1" si="48"/>
        <v>#NAME?</v>
      </c>
      <c r="CG34" t="e">
        <f t="shared" ca="1" si="28"/>
        <v>#NAME?</v>
      </c>
      <c r="CL34" s="111"/>
      <c r="CM34" s="2"/>
      <c r="CN34" s="2"/>
      <c r="CO34" s="111"/>
      <c r="CP34" s="2"/>
      <c r="CQ34" s="112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</row>
    <row r="35" spans="1:143" x14ac:dyDescent="0.25">
      <c r="A35" s="3" t="s">
        <v>72</v>
      </c>
      <c r="B35" s="3">
        <f>AX6</f>
        <v>75.3</v>
      </c>
      <c r="C35">
        <f>90-B35</f>
        <v>14.700000000000003</v>
      </c>
      <c r="D35" s="2"/>
      <c r="G35" s="171">
        <f t="shared" si="2"/>
        <v>0.11250570202340567</v>
      </c>
      <c r="H35" s="171">
        <f t="shared" si="29"/>
        <v>-5.9526826467411198E-4</v>
      </c>
      <c r="I35" s="171">
        <f t="shared" si="30"/>
        <v>0</v>
      </c>
      <c r="J35" s="171">
        <f t="shared" si="49"/>
        <v>0</v>
      </c>
      <c r="K35" s="3">
        <f t="shared" si="31"/>
        <v>0</v>
      </c>
      <c r="AA35" s="1" t="s">
        <v>626</v>
      </c>
      <c r="AB35">
        <f>AB34/B27/SIN(RADIANS(90-AB27))/100</f>
        <v>3.7773000516399771E-2</v>
      </c>
      <c r="AC35" s="1" t="s">
        <v>626</v>
      </c>
      <c r="AD35">
        <f>AD34/B27/SIN(RADIANS(90-AD27))/100</f>
        <v>4.0144225777148046E-2</v>
      </c>
      <c r="AE35" s="1" t="s">
        <v>626</v>
      </c>
      <c r="AF35">
        <f>AF34/B27/SIN(RADIANS(90-AF27))/100</f>
        <v>4.477708993667126E-2</v>
      </c>
      <c r="AI35" s="190"/>
      <c r="AK35">
        <v>10</v>
      </c>
      <c r="AL35">
        <f t="shared" si="3"/>
        <v>0.11250570202340567</v>
      </c>
      <c r="AM35">
        <f t="shared" si="32"/>
        <v>471.04941309639628</v>
      </c>
      <c r="AN35">
        <f t="shared" si="4"/>
        <v>739.47235809638914</v>
      </c>
      <c r="AO35" s="73">
        <f>DEGREES(ASIN(AN35/AP35))</f>
        <v>75.122742677961469</v>
      </c>
      <c r="AP35" s="73">
        <f t="shared" si="34"/>
        <v>765.12068148069261</v>
      </c>
      <c r="AQ35">
        <f t="shared" si="5"/>
        <v>1163.9477188590809</v>
      </c>
      <c r="AR35">
        <f t="shared" si="6"/>
        <v>196.44411123992757</v>
      </c>
      <c r="AS35">
        <f t="shared" si="7"/>
        <v>53.801638342334719</v>
      </c>
      <c r="AT35">
        <f t="shared" si="8"/>
        <v>268.42294499999286</v>
      </c>
      <c r="AU35">
        <f t="shared" si="9"/>
        <v>332.62766908859857</v>
      </c>
      <c r="AV35">
        <f t="shared" si="35"/>
        <v>1208.5610923442882</v>
      </c>
      <c r="AX35">
        <f t="shared" si="10"/>
        <v>4.2190487369347175E-4</v>
      </c>
      <c r="AY35">
        <f t="shared" si="36"/>
        <v>194.82205561996378</v>
      </c>
      <c r="AZ35">
        <f t="shared" si="50"/>
        <v>0.47649272238071794</v>
      </c>
      <c r="BA35" s="135">
        <f t="shared" si="37"/>
        <v>3.9296249094233328E-2</v>
      </c>
      <c r="BB35" s="191">
        <f t="shared" si="38"/>
        <v>1.1627644211998636</v>
      </c>
      <c r="BC35" s="2">
        <f t="shared" si="11"/>
        <v>158704.53355668637</v>
      </c>
      <c r="BD35" s="2">
        <f t="shared" si="39"/>
        <v>186799.16000536483</v>
      </c>
      <c r="BE35" t="e">
        <f ca="1">[1]!cercha(AL35,$AH$41:$AI$43)</f>
        <v>#NAME?</v>
      </c>
      <c r="BF35">
        <f t="shared" si="12"/>
        <v>0</v>
      </c>
      <c r="BG35" t="e">
        <f t="shared" ca="1" si="40"/>
        <v>#NAME?</v>
      </c>
      <c r="BH35" t="e">
        <f t="shared" ca="1" si="13"/>
        <v>#NAME?</v>
      </c>
      <c r="BI35" t="e">
        <f t="shared" ca="1" si="14"/>
        <v>#NAME?</v>
      </c>
      <c r="BJ35" t="e">
        <f t="shared" ca="1" si="41"/>
        <v>#NAME?</v>
      </c>
      <c r="BK35" t="e">
        <f t="shared" ca="1" si="42"/>
        <v>#NAME?</v>
      </c>
      <c r="BL35" t="e">
        <f t="shared" ca="1" si="15"/>
        <v>#NAME?</v>
      </c>
      <c r="BM35">
        <f t="shared" si="16"/>
        <v>-5.952682646740981E-4</v>
      </c>
      <c r="BN35" t="e">
        <f t="shared" ca="1" si="17"/>
        <v>#NAME?</v>
      </c>
      <c r="BO35" t="e">
        <f t="shared" ca="1" si="43"/>
        <v>#NAME?</v>
      </c>
      <c r="BP35">
        <f t="shared" si="18"/>
        <v>1165.1064891259384</v>
      </c>
      <c r="BQ35" t="e">
        <f t="shared" ca="1" si="19"/>
        <v>#NAME?</v>
      </c>
      <c r="BR35" t="e">
        <f t="shared" ca="1" si="20"/>
        <v>#NAME?</v>
      </c>
      <c r="BS35" t="e">
        <f t="shared" ca="1" si="21"/>
        <v>#NAME?</v>
      </c>
      <c r="BT35" t="e">
        <f t="shared" ca="1" si="22"/>
        <v>#NAME?</v>
      </c>
      <c r="BU35" t="e">
        <f t="shared" ca="1" si="23"/>
        <v>#NAME?</v>
      </c>
      <c r="BV35" t="e">
        <f t="shared" ca="1" si="24"/>
        <v>#NAME?</v>
      </c>
      <c r="BW35" t="e">
        <f t="shared" ca="1" si="44"/>
        <v>#NAME?</v>
      </c>
      <c r="BY35">
        <f t="shared" si="25"/>
        <v>4.2190487369347175E-4</v>
      </c>
      <c r="BZ35" t="e">
        <f t="shared" ca="1" si="45"/>
        <v>#NAME?</v>
      </c>
      <c r="CA35" t="e">
        <f t="shared" ca="1" si="46"/>
        <v>#NAME?</v>
      </c>
      <c r="CB35" s="135" t="e">
        <f t="shared" ca="1" si="47"/>
        <v>#NAME?</v>
      </c>
      <c r="CC35" s="191" t="e">
        <f t="shared" ca="1" si="26"/>
        <v>#NAME?</v>
      </c>
      <c r="CD35" s="2" t="e">
        <f t="shared" ca="1" si="27"/>
        <v>#NAME?</v>
      </c>
      <c r="CE35" s="2" t="e">
        <f t="shared" ca="1" si="48"/>
        <v>#NAME?</v>
      </c>
      <c r="CG35" t="e">
        <f t="shared" ca="1" si="28"/>
        <v>#NAME?</v>
      </c>
      <c r="CL35" s="111" t="str">
        <f>'1D Analysis'!J49</f>
        <v>kinetic loss stator</v>
      </c>
      <c r="CM35" s="2">
        <f>'1D Analysis'!K49</f>
        <v>0.24176496962767985</v>
      </c>
      <c r="CN35" s="2" t="str">
        <f>'1D Analysis'!L49</f>
        <v>[-]</v>
      </c>
      <c r="CO35" s="111" t="str">
        <f>'1D Analysis'!N49</f>
        <v>h3</v>
      </c>
      <c r="CP35" s="2">
        <f>'1D Analysis'!O49</f>
        <v>1.439395029033021E-2</v>
      </c>
      <c r="CQ35" s="112" t="str">
        <f>'1D Analysis'!P49</f>
        <v>[m]</v>
      </c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</row>
    <row r="36" spans="1:143" s="132" customFormat="1" ht="15.75" thickBot="1" x14ac:dyDescent="0.3">
      <c r="A36" s="73"/>
      <c r="B36" s="73"/>
      <c r="C36" s="73" t="s">
        <v>600</v>
      </c>
      <c r="D36" s="73"/>
      <c r="E36" s="73"/>
      <c r="F36" s="73"/>
      <c r="G36" s="177">
        <f t="shared" si="2"/>
        <v>0.11310097028807976</v>
      </c>
      <c r="H36" s="171">
        <f t="shared" si="29"/>
        <v>-1.1905365293482101E-3</v>
      </c>
      <c r="I36" s="171">
        <f t="shared" si="30"/>
        <v>0</v>
      </c>
      <c r="J36" s="171">
        <f>IF(H36&lt;=0,0,TAN($F$26)*H36)</f>
        <v>0</v>
      </c>
      <c r="K36" s="38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291" t="s">
        <v>562</v>
      </c>
      <c r="Z36" s="304"/>
      <c r="AA36" s="165" t="s">
        <v>556</v>
      </c>
      <c r="AB36" s="3">
        <f>B44</f>
        <v>0.9</v>
      </c>
      <c r="AC36" s="165" t="s">
        <v>556</v>
      </c>
      <c r="AD36" s="3">
        <f>B44</f>
        <v>0.9</v>
      </c>
      <c r="AE36" s="165" t="s">
        <v>556</v>
      </c>
      <c r="AF36" s="3">
        <f>B44</f>
        <v>0.9</v>
      </c>
      <c r="AG36" s="2"/>
      <c r="AH36" s="2"/>
      <c r="AI36"/>
      <c r="AJ36" s="201" t="s">
        <v>625</v>
      </c>
      <c r="AK36" s="132">
        <v>11</v>
      </c>
      <c r="AL36" s="132">
        <f t="shared" si="3"/>
        <v>0.11310097028807976</v>
      </c>
      <c r="AM36" s="132">
        <f t="shared" si="32"/>
        <v>473.54173803341422</v>
      </c>
      <c r="AN36" s="132">
        <f>TAN(RADIANS(AO36))*AR36</f>
        <v>736.43459771106996</v>
      </c>
      <c r="AO36" s="132">
        <f>AX6</f>
        <v>75.3</v>
      </c>
      <c r="AP36" s="132">
        <f>SQRT(AN36^2+AR36^2)</f>
        <v>761.3554732881779</v>
      </c>
      <c r="AQ36" s="132">
        <f t="shared" si="5"/>
        <v>1166.2652593927962</v>
      </c>
      <c r="AR36" s="132">
        <f>AW26</f>
        <v>193.2</v>
      </c>
      <c r="AS36" s="132">
        <f t="shared" si="7"/>
        <v>53.687828419354517</v>
      </c>
      <c r="AT36" s="132">
        <f t="shared" si="8"/>
        <v>262.89285967765574</v>
      </c>
      <c r="AU36" s="132">
        <f t="shared" si="9"/>
        <v>326.24974432096587</v>
      </c>
      <c r="AV36" s="132">
        <f t="shared" si="35"/>
        <v>1209.1841689369476</v>
      </c>
      <c r="AX36" s="132">
        <f t="shared" si="10"/>
        <v>4.2413128463644832E-4</v>
      </c>
      <c r="AY36" s="132">
        <f t="shared" si="36"/>
        <v>191.57008560424882</v>
      </c>
      <c r="AZ36">
        <f t="shared" si="50"/>
        <v>0.47966256316924794</v>
      </c>
      <c r="BA36" s="198">
        <f t="shared" si="37"/>
        <v>3.9100638208303708E-2</v>
      </c>
      <c r="BB36" s="199">
        <f t="shared" si="38"/>
        <v>1.1558922041942208</v>
      </c>
      <c r="BC36" s="2">
        <f t="shared" si="11"/>
        <v>160078.40578452454</v>
      </c>
      <c r="BD36" s="2">
        <f t="shared" si="39"/>
        <v>187216.83935375686</v>
      </c>
      <c r="BE36" s="132">
        <f>AI42</f>
        <v>5.1355763839319904E-2</v>
      </c>
      <c r="BF36" s="132">
        <f t="shared" si="12"/>
        <v>0</v>
      </c>
      <c r="BG36" s="132">
        <f t="shared" si="40"/>
        <v>5.1355763839319904E-2</v>
      </c>
      <c r="BH36" s="132">
        <f t="shared" si="13"/>
        <v>9.5956006239558425E-2</v>
      </c>
      <c r="BI36">
        <f t="shared" si="14"/>
        <v>376433.43542578351</v>
      </c>
      <c r="BJ36" s="132">
        <f>$CG$5/BI36</f>
        <v>1.0551506923149221</v>
      </c>
      <c r="BK36" s="132">
        <f t="shared" si="42"/>
        <v>6.6715304776474618</v>
      </c>
      <c r="BN36" s="132" t="e">
        <f t="shared" ca="1" si="17"/>
        <v>#NAME?</v>
      </c>
      <c r="BQ36" s="132">
        <f>BX26</f>
        <v>183</v>
      </c>
      <c r="BR36" s="132">
        <f t="shared" si="20"/>
        <v>758.83128342594409</v>
      </c>
      <c r="BS36" s="132">
        <f t="shared" si="21"/>
        <v>76.044966122264526</v>
      </c>
      <c r="BT36" s="132">
        <f t="shared" si="22"/>
        <v>1167.8125335863447</v>
      </c>
      <c r="BU36" s="132">
        <f t="shared" si="23"/>
        <v>320.31493201144337</v>
      </c>
      <c r="BV36" s="132">
        <f t="shared" si="24"/>
        <v>55.158182393829989</v>
      </c>
      <c r="BW36">
        <f t="shared" si="44"/>
        <v>1209.1841689369478</v>
      </c>
      <c r="BY36" s="132">
        <f t="shared" si="25"/>
        <v>4.2413128463644832E-4</v>
      </c>
      <c r="BZ36" s="132" t="e">
        <f t="shared" ca="1" si="45"/>
        <v>#NAME?</v>
      </c>
      <c r="CA36">
        <f t="shared" si="46"/>
        <v>0.51338623773315517</v>
      </c>
      <c r="CB36" s="198" t="e">
        <f t="shared" ca="1" si="47"/>
        <v>#NAME?</v>
      </c>
      <c r="CC36" s="191">
        <f t="shared" si="26"/>
        <v>1.1512965169263265</v>
      </c>
      <c r="CD36" s="2">
        <f t="shared" si="27"/>
        <v>171560.35728794808</v>
      </c>
      <c r="CE36" s="2">
        <f t="shared" si="48"/>
        <v>199495.91071128965</v>
      </c>
      <c r="CF36"/>
      <c r="CG36" t="e">
        <f t="shared" ca="1" si="28"/>
        <v>#NAME?</v>
      </c>
      <c r="CH36"/>
      <c r="CI36" s="73"/>
      <c r="CJ36" s="73"/>
      <c r="CK36" s="73"/>
      <c r="CL36" s="111" t="str">
        <f>'1D Analysis'!J50</f>
        <v>optimim pitch/chord sorderberg</v>
      </c>
      <c r="CM36" s="2">
        <f>'1D Analysis'!K50</f>
        <v>0.68715594088706455</v>
      </c>
      <c r="CN36" s="2"/>
      <c r="CO36" s="141" t="str">
        <f>'1D Analysis'!N50</f>
        <v>omega</v>
      </c>
      <c r="CP36" s="32">
        <f>'1D Analysis'!O50</f>
        <v>4186.8936829388367</v>
      </c>
      <c r="CQ36" s="142" t="str">
        <f>'1D Analysis'!P50</f>
        <v>[rad/s]</v>
      </c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</row>
    <row r="37" spans="1:143" ht="15.75" thickBot="1" x14ac:dyDescent="0.3">
      <c r="B37">
        <f>12.4/1.08</f>
        <v>11.481481481481481</v>
      </c>
      <c r="F37" s="178" t="s">
        <v>578</v>
      </c>
      <c r="G37" s="171">
        <f t="shared" si="2"/>
        <v>0.11369623855275386</v>
      </c>
      <c r="H37" s="171">
        <f t="shared" ref="H37:H46" si="52">G37-$B$55</f>
        <v>-5.9526826467411198E-4</v>
      </c>
      <c r="I37" s="171">
        <f t="shared" si="30"/>
        <v>0</v>
      </c>
      <c r="J37" s="171">
        <f t="shared" ref="J37:J45" si="53">IF(H37&lt;=0,0,TAN($F$46)*H37)</f>
        <v>0</v>
      </c>
      <c r="K37" s="3">
        <f t="shared" ref="K37" si="54">(J37+J36)/2*(G37-G36)*SUM($I$36:$I$46)</f>
        <v>0</v>
      </c>
      <c r="Y37" s="291" t="s">
        <v>568</v>
      </c>
      <c r="Z37" s="304"/>
      <c r="AA37" s="166" t="s">
        <v>557</v>
      </c>
      <c r="AB37" s="163">
        <v>1</v>
      </c>
      <c r="AC37" s="166" t="s">
        <v>557</v>
      </c>
      <c r="AD37" s="163">
        <v>1</v>
      </c>
      <c r="AE37" s="166" t="s">
        <v>557</v>
      </c>
      <c r="AF37" s="163">
        <v>1</v>
      </c>
      <c r="AG37" s="32"/>
      <c r="AH37" s="32"/>
      <c r="AK37">
        <v>12</v>
      </c>
      <c r="AL37">
        <f t="shared" si="3"/>
        <v>0.11369623855275386</v>
      </c>
      <c r="AM37">
        <f t="shared" si="32"/>
        <v>476.03406297043216</v>
      </c>
      <c r="AN37">
        <f t="shared" ref="AN37:AN46" si="55">$AK$18*AL37^$AK$20-$AK$19/AL37</f>
        <v>733.42641313777108</v>
      </c>
      <c r="AO37" s="73">
        <f t="shared" ref="AO37:AO46" si="56">DEGREES(ASIN(AN37/AP37))</f>
        <v>75.480729017361185</v>
      </c>
      <c r="AP37" s="73">
        <f t="shared" si="34"/>
        <v>757.62231496099025</v>
      </c>
      <c r="AQ37">
        <f t="shared" si="5"/>
        <v>1168.5517854327218</v>
      </c>
      <c r="AR37">
        <f>SQRT($AR$36^2+2*(-$AK$18*(1+$AK$20)*(-$AK$19*((AL37^($AK$20-1)-$AL$36^($AK$20-1))/($AK$20-1))+$AK$18*((AL37^(2*$AK$20)-$AL$36^(2*$AK$20))/(2*$AK$20)))))</f>
        <v>189.94017120849765</v>
      </c>
      <c r="AS37">
        <f t="shared" si="7"/>
        <v>53.574891365504747</v>
      </c>
      <c r="AT37">
        <f t="shared" si="8"/>
        <v>257.39235016733892</v>
      </c>
      <c r="AU37">
        <f t="shared" si="9"/>
        <v>319.88762177267722</v>
      </c>
      <c r="AV37">
        <f t="shared" si="35"/>
        <v>1209.8131122727941</v>
      </c>
      <c r="AX37">
        <f t="shared" si="10"/>
        <v>4.263576955794303E-4</v>
      </c>
      <c r="AY37">
        <f t="shared" si="36"/>
        <v>188.30163880161368</v>
      </c>
      <c r="AZ37">
        <f t="shared" si="50"/>
        <v>0.4828044206328243</v>
      </c>
      <c r="BA37" s="135">
        <f t="shared" si="37"/>
        <v>3.8886406302856932E-2</v>
      </c>
      <c r="BB37" s="191">
        <f t="shared" si="38"/>
        <v>1.1490986284257101</v>
      </c>
      <c r="BC37" s="2">
        <f t="shared" si="11"/>
        <v>161442.84000096211</v>
      </c>
      <c r="BD37" s="2">
        <f t="shared" si="39"/>
        <v>187639.17968074069</v>
      </c>
      <c r="BE37" t="e">
        <f ca="1">[1]!cercha(AL37,$AH$41:$AI$43)</f>
        <v>#NAME?</v>
      </c>
      <c r="BF37">
        <f t="shared" si="12"/>
        <v>0</v>
      </c>
      <c r="BG37" t="e">
        <f t="shared" ca="1" si="40"/>
        <v>#NAME?</v>
      </c>
      <c r="BH37" t="e">
        <f t="shared" ca="1" si="13"/>
        <v>#NAME?</v>
      </c>
      <c r="BI37" t="e">
        <f t="shared" ca="1" si="14"/>
        <v>#NAME?</v>
      </c>
      <c r="BJ37" t="e">
        <f t="shared" ca="1" si="41"/>
        <v>#NAME?</v>
      </c>
      <c r="BK37" t="e">
        <f t="shared" ca="1" si="42"/>
        <v>#NAME?</v>
      </c>
      <c r="BL37" t="e">
        <f t="shared" ref="BL37:BL46" ca="1" si="57">(BK37-BK36)</f>
        <v>#NAME?</v>
      </c>
      <c r="BM37">
        <f t="shared" ref="BM37:BM46" si="58">AL37-AL36</f>
        <v>5.952682646740981E-4</v>
      </c>
      <c r="BN37" t="e">
        <f t="shared" ref="BN37:BN46" ca="1" si="59">(-BK36+BK37)/(-AL36+AL37)</f>
        <v>#NAME?</v>
      </c>
      <c r="BO37" t="e">
        <f ca="1">BN37*BM37</f>
        <v>#NAME?</v>
      </c>
      <c r="BP37">
        <f t="shared" ref="BP37:BP46" si="60">(AQ36+AQ37)*0.5</f>
        <v>1167.4085224127589</v>
      </c>
      <c r="BQ37" t="e">
        <f t="shared" ref="BQ37:BQ46" ca="1" si="61">SQRT(BQ36^2+2*((-$AK$18*(1+$AK$20)*(-$AK$19*((AL37^($AK$20-1)-AL36^($AK$20-1))/($AK$20-1))+$AK$18*((AL37^(2*$AK$20)-AL36^(2*$AK$20))/(2*$AK$20))))-BP37*BN37*(AL37-AL36)))</f>
        <v>#NAME?</v>
      </c>
      <c r="BR37" t="e">
        <f t="shared" ca="1" si="20"/>
        <v>#NAME?</v>
      </c>
      <c r="BS37" t="e">
        <f t="shared" ca="1" si="21"/>
        <v>#NAME?</v>
      </c>
      <c r="BT37" t="e">
        <f t="shared" ca="1" si="22"/>
        <v>#NAME?</v>
      </c>
      <c r="BU37" t="e">
        <f t="shared" ca="1" si="23"/>
        <v>#NAME?</v>
      </c>
      <c r="BV37" t="e">
        <f t="shared" ca="1" si="24"/>
        <v>#NAME?</v>
      </c>
      <c r="BW37" t="e">
        <f t="shared" ca="1" si="44"/>
        <v>#NAME?</v>
      </c>
      <c r="BY37">
        <f t="shared" si="25"/>
        <v>4.263576955794303E-4</v>
      </c>
      <c r="BZ37" t="e">
        <f t="shared" ca="1" si="45"/>
        <v>#NAME?</v>
      </c>
      <c r="CA37" t="e">
        <f t="shared" ca="1" si="46"/>
        <v>#NAME?</v>
      </c>
      <c r="CB37" s="135" t="e">
        <f t="shared" ca="1" si="47"/>
        <v>#NAME?</v>
      </c>
      <c r="CC37" s="191" t="e">
        <f t="shared" ca="1" si="26"/>
        <v>#NAME?</v>
      </c>
      <c r="CD37" s="2" t="e">
        <f t="shared" ca="1" si="27"/>
        <v>#NAME?</v>
      </c>
      <c r="CE37" s="2" t="e">
        <f t="shared" ca="1" si="48"/>
        <v>#NAME?</v>
      </c>
      <c r="CG37" t="e">
        <f t="shared" ca="1" si="28"/>
        <v>#NAME?</v>
      </c>
      <c r="CL37" s="111" t="str">
        <f>'1D Analysis'!J51</f>
        <v>chord</v>
      </c>
      <c r="CM37" s="2">
        <f>'1D Analysis'!K51</f>
        <v>1.700766470497439E-2</v>
      </c>
      <c r="CN37" s="2"/>
      <c r="CO37" s="111" t="str">
        <f>'1D Analysis'!N51</f>
        <v>H03</v>
      </c>
      <c r="CP37" s="2">
        <f>'1D Analysis'!O51</f>
        <v>1345549.2185491363</v>
      </c>
      <c r="CQ37" s="112" t="str">
        <f>'1D Analysis'!P51</f>
        <v>[J/kg]</v>
      </c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</row>
    <row r="38" spans="1:143" ht="15.75" thickBot="1" x14ac:dyDescent="0.3">
      <c r="A38" s="299" t="s">
        <v>533</v>
      </c>
      <c r="B38" s="300"/>
      <c r="C38" s="186"/>
      <c r="D38" s="186"/>
      <c r="E38" s="146"/>
      <c r="F38" s="113">
        <f>G46-G38</f>
        <v>4.7621461173928264E-3</v>
      </c>
      <c r="G38" s="171">
        <f t="shared" si="2"/>
        <v>0.11429150681742797</v>
      </c>
      <c r="H38" s="171">
        <f t="shared" si="52"/>
        <v>0</v>
      </c>
      <c r="I38" s="171">
        <f t="shared" si="30"/>
        <v>0</v>
      </c>
      <c r="J38" s="171">
        <f t="shared" si="53"/>
        <v>0</v>
      </c>
      <c r="K38" s="3">
        <f t="shared" ref="K38:K45" si="62">(J38+J37)/2*(G38-G37)</f>
        <v>0</v>
      </c>
      <c r="Y38" s="291" t="s">
        <v>563</v>
      </c>
      <c r="Z38" s="304"/>
      <c r="AA38" s="168" t="s">
        <v>561</v>
      </c>
      <c r="AB38" s="167">
        <v>1E-3</v>
      </c>
      <c r="AC38" s="168" t="s">
        <v>561</v>
      </c>
      <c r="AD38" s="167">
        <v>1E-3</v>
      </c>
      <c r="AE38" s="168" t="s">
        <v>561</v>
      </c>
      <c r="AF38" s="167">
        <v>1E-3</v>
      </c>
      <c r="AG38" s="205"/>
      <c r="AH38" s="205"/>
      <c r="AK38">
        <v>13</v>
      </c>
      <c r="AL38">
        <f t="shared" si="3"/>
        <v>0.11429150681742797</v>
      </c>
      <c r="AM38">
        <f t="shared" si="32"/>
        <v>478.52638790745016</v>
      </c>
      <c r="AN38">
        <f t="shared" si="55"/>
        <v>730.4473596786263</v>
      </c>
      <c r="AO38" s="73">
        <f t="shared" si="56"/>
        <v>75.665063385519318</v>
      </c>
      <c r="AP38" s="73">
        <f t="shared" si="34"/>
        <v>753.92072564057196</v>
      </c>
      <c r="AQ38">
        <f t="shared" si="5"/>
        <v>1170.8078788103198</v>
      </c>
      <c r="AR38">
        <f t="shared" ref="AR38:AR45" si="63">SQRT($AR$36^2+2*(-$AK$18*(1+$AK$20)*(-$AK$19*((AL38^($AK$20-1)-$AL$36^($AK$20-1))/($AK$20-1))+$AK$18*((AL38^(2*$AK$20)-$AL$36^(2*$AK$20))/(2*$AK$20)))))</f>
        <v>186.66310639472971</v>
      </c>
      <c r="AS38">
        <f t="shared" si="7"/>
        <v>53.463071452987478</v>
      </c>
      <c r="AT38">
        <f t="shared" si="8"/>
        <v>251.92097177117614</v>
      </c>
      <c r="AU38">
        <f t="shared" si="9"/>
        <v>313.53993574513584</v>
      </c>
      <c r="AV38">
        <f t="shared" si="35"/>
        <v>1210.4479156276843</v>
      </c>
      <c r="AX38">
        <f t="shared" si="10"/>
        <v>4.2858410652239055E-4</v>
      </c>
      <c r="AY38">
        <f t="shared" si="36"/>
        <v>185.01514809251216</v>
      </c>
      <c r="AZ38">
        <f t="shared" si="50"/>
        <v>0.48591855291407604</v>
      </c>
      <c r="BA38" s="135">
        <f t="shared" si="37"/>
        <v>3.8653071794150451E-2</v>
      </c>
      <c r="BB38" s="191">
        <f t="shared" si="38"/>
        <v>1.1423821126958185</v>
      </c>
      <c r="BC38" s="2">
        <f t="shared" si="11"/>
        <v>162797.86501448491</v>
      </c>
      <c r="BD38" s="2">
        <f t="shared" si="39"/>
        <v>188066.1978334015</v>
      </c>
      <c r="BE38" t="e">
        <f ca="1">[1]!cercha(AL38,$AH$41:$AI$43)</f>
        <v>#NAME?</v>
      </c>
      <c r="BF38">
        <f t="shared" si="12"/>
        <v>0</v>
      </c>
      <c r="BG38" t="e">
        <f t="shared" ca="1" si="40"/>
        <v>#NAME?</v>
      </c>
      <c r="BH38" t="e">
        <f t="shared" ca="1" si="13"/>
        <v>#NAME?</v>
      </c>
      <c r="BI38" t="e">
        <f t="shared" ca="1" si="14"/>
        <v>#NAME?</v>
      </c>
      <c r="BJ38" t="e">
        <f t="shared" ca="1" si="41"/>
        <v>#NAME?</v>
      </c>
      <c r="BK38" t="e">
        <f t="shared" ca="1" si="42"/>
        <v>#NAME?</v>
      </c>
      <c r="BL38" t="e">
        <f t="shared" ca="1" si="57"/>
        <v>#NAME?</v>
      </c>
      <c r="BM38">
        <f t="shared" si="58"/>
        <v>5.9526826467411198E-4</v>
      </c>
      <c r="BN38" t="e">
        <f t="shared" ca="1" si="59"/>
        <v>#NAME?</v>
      </c>
      <c r="BO38" t="e">
        <f t="shared" ref="BO38:BO46" ca="1" si="64">BN38*BM38</f>
        <v>#NAME?</v>
      </c>
      <c r="BP38">
        <f t="shared" si="60"/>
        <v>1169.6798321215208</v>
      </c>
      <c r="BQ38" t="e">
        <f t="shared" ca="1" si="61"/>
        <v>#NAME?</v>
      </c>
      <c r="BR38" t="e">
        <f t="shared" ca="1" si="20"/>
        <v>#NAME?</v>
      </c>
      <c r="BS38" t="e">
        <f t="shared" ca="1" si="21"/>
        <v>#NAME?</v>
      </c>
      <c r="BT38" t="e">
        <f t="shared" ca="1" si="22"/>
        <v>#NAME?</v>
      </c>
      <c r="BU38" t="e">
        <f t="shared" ca="1" si="23"/>
        <v>#NAME?</v>
      </c>
      <c r="BV38" t="e">
        <f t="shared" ca="1" si="24"/>
        <v>#NAME?</v>
      </c>
      <c r="BW38" t="e">
        <f t="shared" ca="1" si="44"/>
        <v>#NAME?</v>
      </c>
      <c r="BY38">
        <f t="shared" si="25"/>
        <v>4.2858410652239055E-4</v>
      </c>
      <c r="BZ38" t="e">
        <f t="shared" ca="1" si="45"/>
        <v>#NAME?</v>
      </c>
      <c r="CA38" t="e">
        <f t="shared" ca="1" si="46"/>
        <v>#NAME?</v>
      </c>
      <c r="CB38" s="135" t="e">
        <f t="shared" ca="1" si="47"/>
        <v>#NAME?</v>
      </c>
      <c r="CC38" s="191" t="e">
        <f t="shared" ca="1" si="26"/>
        <v>#NAME?</v>
      </c>
      <c r="CD38" s="2" t="e">
        <f t="shared" ca="1" si="27"/>
        <v>#NAME?</v>
      </c>
      <c r="CE38" s="2" t="e">
        <f t="shared" ca="1" si="48"/>
        <v>#NAME?</v>
      </c>
      <c r="CG38" t="e">
        <f t="shared" ca="1" si="28"/>
        <v>#NAME?</v>
      </c>
      <c r="CL38" s="111" t="str">
        <f>'1D Analysis'!J52</f>
        <v>h/c</v>
      </c>
      <c r="CM38" s="2">
        <f>'1D Analysis'!K52</f>
        <v>0.7</v>
      </c>
      <c r="CN38" s="2"/>
      <c r="CO38" s="111" t="str">
        <f>'1D Analysis'!N52</f>
        <v>H3ss</v>
      </c>
      <c r="CP38" s="2">
        <f>'1D Analysis'!O52</f>
        <v>1233944.2013783162</v>
      </c>
      <c r="CQ38" s="112" t="str">
        <f>'1D Analysis'!P52</f>
        <v>[J/kg]</v>
      </c>
      <c r="CT38" s="73"/>
      <c r="CU38" s="73"/>
      <c r="CV38" s="73"/>
      <c r="CW38" s="73"/>
      <c r="CX38" s="73"/>
      <c r="CY38" s="73"/>
      <c r="CZ38" s="73"/>
      <c r="DA38" s="73"/>
      <c r="DB38" s="73"/>
      <c r="DC38" s="73"/>
    </row>
    <row r="39" spans="1:143" x14ac:dyDescent="0.25">
      <c r="A39" s="3" t="s">
        <v>526</v>
      </c>
      <c r="B39" s="3">
        <v>12.25</v>
      </c>
      <c r="C39" t="s">
        <v>601</v>
      </c>
      <c r="G39" s="171">
        <f t="shared" si="2"/>
        <v>0.11488677508210207</v>
      </c>
      <c r="H39" s="171">
        <f t="shared" si="52"/>
        <v>5.952682646740981E-4</v>
      </c>
      <c r="I39" s="171">
        <f t="shared" si="30"/>
        <v>1</v>
      </c>
      <c r="J39" s="171">
        <f t="shared" si="53"/>
        <v>0.8504568948877006</v>
      </c>
      <c r="K39" s="3">
        <f t="shared" si="62"/>
        <v>2.5312499999996171E-4</v>
      </c>
      <c r="Y39" s="291" t="s">
        <v>565</v>
      </c>
      <c r="Z39" s="304"/>
      <c r="AA39" s="165" t="s">
        <v>567</v>
      </c>
      <c r="AB39" s="164">
        <f>AB38/$B$27/$B$28</f>
        <v>8.5565759378543174E-2</v>
      </c>
      <c r="AC39" s="165" t="s">
        <v>567</v>
      </c>
      <c r="AD39" s="3">
        <f>AD38/$B$27/$B$28</f>
        <v>8.5565759378543174E-2</v>
      </c>
      <c r="AE39" s="165" t="s">
        <v>567</v>
      </c>
      <c r="AF39" s="164">
        <f>AF38/$B$27/$B$28</f>
        <v>8.5565759378543174E-2</v>
      </c>
      <c r="AG39" s="202"/>
      <c r="AH39" s="301" t="s">
        <v>760</v>
      </c>
      <c r="AI39" s="301"/>
      <c r="AJ39" s="73"/>
      <c r="AK39">
        <v>14</v>
      </c>
      <c r="AL39">
        <f t="shared" si="3"/>
        <v>0.11488677508210207</v>
      </c>
      <c r="AM39">
        <f t="shared" si="32"/>
        <v>481.0187128444681</v>
      </c>
      <c r="AN39">
        <f t="shared" si="55"/>
        <v>727.49700162689442</v>
      </c>
      <c r="AO39" s="73">
        <f t="shared" si="56"/>
        <v>75.853146512783681</v>
      </c>
      <c r="AP39" s="73">
        <f t="shared" si="34"/>
        <v>750.25023403375997</v>
      </c>
      <c r="AQ39">
        <f t="shared" si="5"/>
        <v>1173.0341073920517</v>
      </c>
      <c r="AR39">
        <f t="shared" si="63"/>
        <v>183.36718979029465</v>
      </c>
      <c r="AS39">
        <f t="shared" si="7"/>
        <v>53.352646472658272</v>
      </c>
      <c r="AT39">
        <f t="shared" si="8"/>
        <v>246.47828878242632</v>
      </c>
      <c r="AU39">
        <f t="shared" si="9"/>
        <v>307.20526221518907</v>
      </c>
      <c r="AV39">
        <f t="shared" si="35"/>
        <v>1211.0885723649158</v>
      </c>
      <c r="AX39">
        <f t="shared" si="10"/>
        <v>4.3081051746537801E-4</v>
      </c>
      <c r="AY39">
        <f t="shared" si="36"/>
        <v>181.70894359891747</v>
      </c>
      <c r="AZ39">
        <f t="shared" si="50"/>
        <v>0.48900521799539992</v>
      </c>
      <c r="BA39" s="135">
        <f t="shared" si="37"/>
        <v>3.8400117460935003E-2</v>
      </c>
      <c r="BB39" s="191">
        <f t="shared" si="38"/>
        <v>1.1357411194031386</v>
      </c>
      <c r="BC39" s="2">
        <f t="shared" si="11"/>
        <v>164143.51182867674</v>
      </c>
      <c r="BD39" s="2">
        <f t="shared" si="39"/>
        <v>188497.91092786199</v>
      </c>
      <c r="BE39" t="e">
        <f ca="1">[1]!cercha(AL39,$AH$41:$AI$43)</f>
        <v>#NAME?</v>
      </c>
      <c r="BF39">
        <f t="shared" si="12"/>
        <v>2.5312499999996171E-4</v>
      </c>
      <c r="BG39" t="e">
        <f t="shared" ca="1" si="40"/>
        <v>#NAME?</v>
      </c>
      <c r="BH39" t="e">
        <f t="shared" ca="1" si="13"/>
        <v>#NAME?</v>
      </c>
      <c r="BI39" t="e">
        <f t="shared" ca="1" si="14"/>
        <v>#NAME?</v>
      </c>
      <c r="BJ39" t="e">
        <f t="shared" ca="1" si="41"/>
        <v>#NAME?</v>
      </c>
      <c r="BK39" t="e">
        <f t="shared" ca="1" si="42"/>
        <v>#NAME?</v>
      </c>
      <c r="BL39" t="e">
        <f t="shared" ca="1" si="57"/>
        <v>#NAME?</v>
      </c>
      <c r="BM39">
        <f t="shared" si="58"/>
        <v>5.952682646740981E-4</v>
      </c>
      <c r="BN39" t="e">
        <f t="shared" ca="1" si="59"/>
        <v>#NAME?</v>
      </c>
      <c r="BO39" t="e">
        <f t="shared" ca="1" si="64"/>
        <v>#NAME?</v>
      </c>
      <c r="BP39">
        <f t="shared" si="60"/>
        <v>1171.9209931011858</v>
      </c>
      <c r="BQ39" t="e">
        <f t="shared" ca="1" si="61"/>
        <v>#NAME?</v>
      </c>
      <c r="BR39" t="e">
        <f t="shared" ca="1" si="20"/>
        <v>#NAME?</v>
      </c>
      <c r="BS39" t="e">
        <f t="shared" ca="1" si="21"/>
        <v>#NAME?</v>
      </c>
      <c r="BT39" t="e">
        <f t="shared" ca="1" si="22"/>
        <v>#NAME?</v>
      </c>
      <c r="BU39" t="e">
        <f t="shared" ca="1" si="23"/>
        <v>#NAME?</v>
      </c>
      <c r="BV39" t="e">
        <f t="shared" ca="1" si="24"/>
        <v>#NAME?</v>
      </c>
      <c r="BW39" t="e">
        <f t="shared" ca="1" si="44"/>
        <v>#NAME?</v>
      </c>
      <c r="BY39">
        <f t="shared" si="25"/>
        <v>4.3081051746537801E-4</v>
      </c>
      <c r="BZ39" t="e">
        <f t="shared" ca="1" si="45"/>
        <v>#NAME?</v>
      </c>
      <c r="CA39" t="e">
        <f t="shared" ca="1" si="46"/>
        <v>#NAME?</v>
      </c>
      <c r="CB39" s="135" t="e">
        <f t="shared" ca="1" si="47"/>
        <v>#NAME?</v>
      </c>
      <c r="CC39" s="191" t="e">
        <f t="shared" ca="1" si="26"/>
        <v>#NAME?</v>
      </c>
      <c r="CD39" s="2" t="e">
        <f t="shared" ca="1" si="27"/>
        <v>#NAME?</v>
      </c>
      <c r="CE39" s="2" t="e">
        <f t="shared" ca="1" si="48"/>
        <v>#NAME?</v>
      </c>
      <c r="CG39" t="e">
        <f t="shared" ca="1" si="28"/>
        <v>#NAME?</v>
      </c>
      <c r="CL39" s="111" t="str">
        <f>'1D Analysis'!J53</f>
        <v>Re dh</v>
      </c>
      <c r="CM39" s="2" t="e">
        <f ca="1">'1D Analysis'!K53</f>
        <v>#NAME?</v>
      </c>
      <c r="CN39" s="2"/>
      <c r="CO39" s="111" t="str">
        <f>'1D Analysis'!N53</f>
        <v>epspp</v>
      </c>
      <c r="CP39" s="2">
        <f>'1D Analysis'!O53</f>
        <v>0.23762376237623822</v>
      </c>
      <c r="CQ39" s="112" t="str">
        <f>'1D Analysis'!P53</f>
        <v>[-]</v>
      </c>
      <c r="CT39" s="73"/>
      <c r="CU39" s="73"/>
      <c r="CV39" s="73"/>
      <c r="CW39" s="73"/>
      <c r="CX39" s="73"/>
      <c r="CY39" s="73"/>
      <c r="CZ39" s="73"/>
      <c r="DA39" s="73"/>
      <c r="DB39" s="73"/>
      <c r="DC39" s="73"/>
    </row>
    <row r="40" spans="1:143" x14ac:dyDescent="0.25">
      <c r="A40" s="3" t="s">
        <v>527</v>
      </c>
      <c r="B40" s="3">
        <f>B39*B27</f>
        <v>8.41766027586654</v>
      </c>
      <c r="G40" s="171">
        <f t="shared" si="2"/>
        <v>0.11548204334677618</v>
      </c>
      <c r="H40" s="171">
        <f t="shared" si="52"/>
        <v>1.1905365293482101E-3</v>
      </c>
      <c r="I40" s="171">
        <f t="shared" si="30"/>
        <v>1</v>
      </c>
      <c r="J40" s="171">
        <f t="shared" si="53"/>
        <v>1.7009137897754212</v>
      </c>
      <c r="K40" s="3">
        <f t="shared" si="62"/>
        <v>7.5937499999990867E-4</v>
      </c>
      <c r="Y40" s="181"/>
      <c r="Z40" s="181"/>
      <c r="AA40" s="165" t="s">
        <v>558</v>
      </c>
      <c r="AB40" s="3">
        <v>1.5</v>
      </c>
      <c r="AC40" s="165" t="s">
        <v>558</v>
      </c>
      <c r="AD40" s="3">
        <v>1.6</v>
      </c>
      <c r="AE40" s="165" t="s">
        <v>558</v>
      </c>
      <c r="AF40" s="3">
        <v>1.8</v>
      </c>
      <c r="AG40" s="2"/>
      <c r="AH40" s="301"/>
      <c r="AI40" s="301"/>
      <c r="AK40">
        <v>15</v>
      </c>
      <c r="AL40">
        <f t="shared" si="3"/>
        <v>0.11548204334677618</v>
      </c>
      <c r="AM40">
        <f t="shared" si="32"/>
        <v>483.5110377814861</v>
      </c>
      <c r="AN40">
        <f t="shared" si="55"/>
        <v>724.57491203929021</v>
      </c>
      <c r="AO40" s="73">
        <f t="shared" si="56"/>
        <v>76.045132582554587</v>
      </c>
      <c r="AP40" s="73">
        <f t="shared" si="34"/>
        <v>746.61037817169858</v>
      </c>
      <c r="AQ40">
        <f t="shared" si="5"/>
        <v>1175.2310254864167</v>
      </c>
      <c r="AR40">
        <f t="shared" si="63"/>
        <v>180.0506974075403</v>
      </c>
      <c r="AS40">
        <f t="shared" si="7"/>
        <v>53.243932742073149</v>
      </c>
      <c r="AT40">
        <f t="shared" si="8"/>
        <v>241.06387425780412</v>
      </c>
      <c r="AU40">
        <f t="shared" si="9"/>
        <v>300.88211164694394</v>
      </c>
      <c r="AV40">
        <f t="shared" si="35"/>
        <v>1211.7350759336441</v>
      </c>
      <c r="AX40">
        <f t="shared" si="10"/>
        <v>4.330369284083382E-4</v>
      </c>
      <c r="AY40">
        <f t="shared" si="36"/>
        <v>178.38124099462536</v>
      </c>
      <c r="AZ40">
        <f t="shared" si="50"/>
        <v>0.49206467354600214</v>
      </c>
      <c r="BA40" s="135">
        <f t="shared" si="37"/>
        <v>3.8126986640486582E-2</v>
      </c>
      <c r="BB40" s="191">
        <f t="shared" si="38"/>
        <v>1.1291741530036923</v>
      </c>
      <c r="BC40" s="2">
        <f t="shared" si="11"/>
        <v>165479.81351824908</v>
      </c>
      <c r="BD40" s="2">
        <f t="shared" si="39"/>
        <v>188934.33634913879</v>
      </c>
      <c r="BE40" t="e">
        <f ca="1">[1]!cercha(AL40,$AH$41:$AI$43)</f>
        <v>#NAME?</v>
      </c>
      <c r="BF40">
        <f t="shared" si="12"/>
        <v>7.5937499999990867E-4</v>
      </c>
      <c r="BG40" t="e">
        <f t="shared" ca="1" si="40"/>
        <v>#NAME?</v>
      </c>
      <c r="BH40" t="e">
        <f t="shared" ca="1" si="13"/>
        <v>#NAME?</v>
      </c>
      <c r="BI40" t="e">
        <f t="shared" ca="1" si="14"/>
        <v>#NAME?</v>
      </c>
      <c r="BJ40" t="e">
        <f t="shared" ca="1" si="41"/>
        <v>#NAME?</v>
      </c>
      <c r="BK40" t="e">
        <f t="shared" ca="1" si="42"/>
        <v>#NAME?</v>
      </c>
      <c r="BL40" t="e">
        <f t="shared" ca="1" si="57"/>
        <v>#NAME?</v>
      </c>
      <c r="BM40">
        <f t="shared" si="58"/>
        <v>5.9526826467411198E-4</v>
      </c>
      <c r="BN40" t="e">
        <f t="shared" ca="1" si="59"/>
        <v>#NAME?</v>
      </c>
      <c r="BO40" t="e">
        <f t="shared" ca="1" si="64"/>
        <v>#NAME?</v>
      </c>
      <c r="BP40">
        <f t="shared" si="60"/>
        <v>1174.1325664392343</v>
      </c>
      <c r="BQ40" t="e">
        <f t="shared" ca="1" si="61"/>
        <v>#NAME?</v>
      </c>
      <c r="BR40" t="e">
        <f t="shared" ca="1" si="20"/>
        <v>#NAME?</v>
      </c>
      <c r="BS40" t="e">
        <f t="shared" ca="1" si="21"/>
        <v>#NAME?</v>
      </c>
      <c r="BT40" t="e">
        <f t="shared" ca="1" si="22"/>
        <v>#NAME?</v>
      </c>
      <c r="BU40" t="e">
        <f t="shared" ca="1" si="23"/>
        <v>#NAME?</v>
      </c>
      <c r="BV40" t="e">
        <f t="shared" ca="1" si="24"/>
        <v>#NAME?</v>
      </c>
      <c r="BW40" t="e">
        <f t="shared" ca="1" si="44"/>
        <v>#NAME?</v>
      </c>
      <c r="BY40">
        <f t="shared" si="25"/>
        <v>4.330369284083382E-4</v>
      </c>
      <c r="BZ40" t="e">
        <f t="shared" ca="1" si="45"/>
        <v>#NAME?</v>
      </c>
      <c r="CA40" t="e">
        <f t="shared" ca="1" si="46"/>
        <v>#NAME?</v>
      </c>
      <c r="CB40" s="135" t="e">
        <f t="shared" ca="1" si="47"/>
        <v>#NAME?</v>
      </c>
      <c r="CC40" s="191" t="e">
        <f t="shared" ca="1" si="26"/>
        <v>#NAME?</v>
      </c>
      <c r="CD40" s="2" t="e">
        <f t="shared" ca="1" si="27"/>
        <v>#NAME?</v>
      </c>
      <c r="CE40" s="2" t="e">
        <f t="shared" ca="1" si="48"/>
        <v>#NAME?</v>
      </c>
      <c r="CG40" t="e">
        <f t="shared" ca="1" si="28"/>
        <v>#NAME?</v>
      </c>
      <c r="CL40" s="111" t="str">
        <f>'1D Analysis'!J54</f>
        <v>dh</v>
      </c>
      <c r="CM40" s="2">
        <f>'1D Analysis'!K54</f>
        <v>4.748449142037663E-3</v>
      </c>
      <c r="CN40" s="2"/>
      <c r="CO40" s="111" t="str">
        <f>'1D Analysis'!N54</f>
        <v>kinetic loss rotor</v>
      </c>
      <c r="CP40" s="2">
        <f>'1D Analysis'!O54</f>
        <v>0.37960965490458437</v>
      </c>
      <c r="CQ40" s="112" t="str">
        <f>'1D Analysis'!P54</f>
        <v>[-]</v>
      </c>
      <c r="CT40" s="73"/>
      <c r="CU40" s="73"/>
      <c r="CV40" s="73"/>
      <c r="CW40" s="73"/>
      <c r="CX40" s="73"/>
      <c r="CY40" s="73"/>
      <c r="CZ40" s="73"/>
      <c r="DA40" s="73"/>
      <c r="DB40" s="73"/>
      <c r="DC40" s="73"/>
    </row>
    <row r="41" spans="1:143" ht="15.75" customHeight="1" x14ac:dyDescent="0.25">
      <c r="A41" s="3" t="s">
        <v>555</v>
      </c>
      <c r="B41" s="3">
        <v>0.03</v>
      </c>
      <c r="C41" s="2" t="s">
        <v>602</v>
      </c>
      <c r="D41" s="2"/>
      <c r="G41" s="171">
        <f t="shared" si="2"/>
        <v>0.11607731161145028</v>
      </c>
      <c r="H41" s="171">
        <f t="shared" si="52"/>
        <v>1.7858047940223082E-3</v>
      </c>
      <c r="I41" s="171">
        <f t="shared" si="30"/>
        <v>1</v>
      </c>
      <c r="J41" s="171">
        <f t="shared" si="53"/>
        <v>2.5513706846631217</v>
      </c>
      <c r="K41" s="3">
        <f t="shared" si="62"/>
        <v>1.2656249999998205E-3</v>
      </c>
      <c r="Y41" s="180" t="s">
        <v>566</v>
      </c>
      <c r="Z41" s="188"/>
      <c r="AA41" s="165" t="s">
        <v>559</v>
      </c>
      <c r="AB41" s="3">
        <v>8.0000000000000002E-3</v>
      </c>
      <c r="AC41" s="165" t="s">
        <v>559</v>
      </c>
      <c r="AD41" s="3">
        <v>8.0000000000000002E-3</v>
      </c>
      <c r="AE41" s="165" t="s">
        <v>559</v>
      </c>
      <c r="AF41" s="3">
        <v>8.0000000000000002E-3</v>
      </c>
      <c r="AG41" s="2"/>
      <c r="AH41" s="3">
        <f>AL26</f>
        <v>0.10714828764133873</v>
      </c>
      <c r="AI41" s="3">
        <f>AB44</f>
        <v>4.7010066283311863E-2</v>
      </c>
      <c r="AK41">
        <v>16</v>
      </c>
      <c r="AL41">
        <f t="shared" si="3"/>
        <v>0.11607731161145028</v>
      </c>
      <c r="AM41">
        <f t="shared" si="32"/>
        <v>486.00336271850409</v>
      </c>
      <c r="AN41">
        <f t="shared" si="55"/>
        <v>721.68067251522825</v>
      </c>
      <c r="AO41" s="73">
        <f t="shared" si="56"/>
        <v>76.241187718897294</v>
      </c>
      <c r="AP41" s="73">
        <f t="shared" si="34"/>
        <v>743.00070517603478</v>
      </c>
      <c r="AQ41">
        <f t="shared" si="5"/>
        <v>1177.3991742370627</v>
      </c>
      <c r="AR41">
        <f t="shared" si="63"/>
        <v>176.71178458171042</v>
      </c>
      <c r="AS41">
        <f t="shared" si="7"/>
        <v>53.137290993076789</v>
      </c>
      <c r="AT41">
        <f t="shared" si="8"/>
        <v>235.67730979672416</v>
      </c>
      <c r="AU41">
        <f t="shared" si="9"/>
        <v>294.56892090489436</v>
      </c>
      <c r="AV41">
        <f t="shared" si="35"/>
        <v>1212.3874198673343</v>
      </c>
      <c r="AX41">
        <f t="shared" si="10"/>
        <v>4.3526333935131476E-4</v>
      </c>
      <c r="AY41">
        <f t="shared" si="36"/>
        <v>175.03012814170739</v>
      </c>
      <c r="AZ41">
        <f t="shared" si="50"/>
        <v>0.49509717677869414</v>
      </c>
      <c r="BA41" s="135">
        <f t="shared" si="37"/>
        <v>3.7833078894045663E-2</v>
      </c>
      <c r="BB41" s="191">
        <f t="shared" si="38"/>
        <v>1.1226797585372701</v>
      </c>
      <c r="BC41" s="2">
        <f t="shared" si="11"/>
        <v>166806.80511042834</v>
      </c>
      <c r="BD41" s="2">
        <f t="shared" si="39"/>
        <v>189375.49175103256</v>
      </c>
      <c r="BE41" t="e">
        <f ca="1">[1]!cercha(AL41,$AH$41:$AI$43)</f>
        <v>#NAME?</v>
      </c>
      <c r="BF41">
        <f t="shared" si="12"/>
        <v>1.2656249999998205E-3</v>
      </c>
      <c r="BG41" t="e">
        <f t="shared" ca="1" si="40"/>
        <v>#NAME?</v>
      </c>
      <c r="BH41" t="e">
        <f t="shared" ca="1" si="13"/>
        <v>#NAME?</v>
      </c>
      <c r="BI41" t="e">
        <f t="shared" ca="1" si="14"/>
        <v>#NAME?</v>
      </c>
      <c r="BJ41" t="e">
        <f t="shared" ca="1" si="41"/>
        <v>#NAME?</v>
      </c>
      <c r="BK41" t="e">
        <f t="shared" ca="1" si="42"/>
        <v>#NAME?</v>
      </c>
      <c r="BL41" t="e">
        <f t="shared" ca="1" si="57"/>
        <v>#NAME?</v>
      </c>
      <c r="BM41">
        <f t="shared" si="58"/>
        <v>5.952682646740981E-4</v>
      </c>
      <c r="BN41" t="e">
        <f t="shared" ca="1" si="59"/>
        <v>#NAME?</v>
      </c>
      <c r="BO41" t="e">
        <f t="shared" ca="1" si="64"/>
        <v>#NAME?</v>
      </c>
      <c r="BP41">
        <f t="shared" si="60"/>
        <v>1176.3150998617398</v>
      </c>
      <c r="BQ41" t="e">
        <f t="shared" ca="1" si="61"/>
        <v>#NAME?</v>
      </c>
      <c r="BR41" t="e">
        <f t="shared" ca="1" si="20"/>
        <v>#NAME?</v>
      </c>
      <c r="BS41" t="e">
        <f t="shared" ca="1" si="21"/>
        <v>#NAME?</v>
      </c>
      <c r="BT41" t="e">
        <f t="shared" ca="1" si="22"/>
        <v>#NAME?</v>
      </c>
      <c r="BU41" t="e">
        <f t="shared" ca="1" si="23"/>
        <v>#NAME?</v>
      </c>
      <c r="BV41" t="e">
        <f t="shared" ca="1" si="24"/>
        <v>#NAME?</v>
      </c>
      <c r="BW41" t="e">
        <f t="shared" ca="1" si="44"/>
        <v>#NAME?</v>
      </c>
      <c r="BY41">
        <f t="shared" si="25"/>
        <v>4.3526333935131476E-4</v>
      </c>
      <c r="BZ41" t="e">
        <f t="shared" ca="1" si="45"/>
        <v>#NAME?</v>
      </c>
      <c r="CA41" t="e">
        <f t="shared" ca="1" si="46"/>
        <v>#NAME?</v>
      </c>
      <c r="CB41" s="135" t="e">
        <f t="shared" ca="1" si="47"/>
        <v>#NAME?</v>
      </c>
      <c r="CC41" s="191" t="e">
        <f t="shared" ca="1" si="26"/>
        <v>#NAME?</v>
      </c>
      <c r="CD41" s="2" t="e">
        <f t="shared" ca="1" si="27"/>
        <v>#NAME?</v>
      </c>
      <c r="CE41" s="2" t="e">
        <f t="shared" ca="1" si="48"/>
        <v>#NAME?</v>
      </c>
      <c r="CG41" t="e">
        <f t="shared" ca="1" si="28"/>
        <v>#NAME?</v>
      </c>
      <c r="CL41" s="111" t="str">
        <f>'1D Analysis'!J55</f>
        <v>Re c</v>
      </c>
      <c r="CM41" s="2" t="e">
        <f ca="1">'1D Analysis'!K55</f>
        <v>#NAME?</v>
      </c>
      <c r="CN41" s="2"/>
      <c r="CO41" s="111" t="str">
        <f>'1D Analysis'!N55</f>
        <v>optimim pitch/chord sorderberg</v>
      </c>
      <c r="CP41" s="2">
        <f>'1D Analysis'!O55</f>
        <v>0.63700645701635905</v>
      </c>
      <c r="CQ41" s="112"/>
      <c r="CT41" s="73"/>
      <c r="CU41" s="73"/>
      <c r="CV41" s="73"/>
      <c r="CW41" s="73"/>
      <c r="CX41" s="73"/>
      <c r="CY41" s="73"/>
      <c r="CZ41" s="73"/>
      <c r="DA41" s="73"/>
      <c r="DB41" s="73"/>
      <c r="DC41" s="73"/>
    </row>
    <row r="42" spans="1:143" ht="15.75" thickBot="1" x14ac:dyDescent="0.3">
      <c r="A42" s="32" t="s">
        <v>555</v>
      </c>
      <c r="B42">
        <f>B41</f>
        <v>0.03</v>
      </c>
      <c r="G42" s="171">
        <f t="shared" si="2"/>
        <v>0.11667257987612438</v>
      </c>
      <c r="H42" s="171">
        <f t="shared" si="52"/>
        <v>2.3810730586964063E-3</v>
      </c>
      <c r="I42" s="171">
        <f t="shared" si="30"/>
        <v>1</v>
      </c>
      <c r="J42" s="171">
        <f t="shared" si="53"/>
        <v>3.4018275795508224</v>
      </c>
      <c r="K42" s="3">
        <f t="shared" si="62"/>
        <v>1.7718749999997435E-3</v>
      </c>
      <c r="AA42" s="165" t="s">
        <v>550</v>
      </c>
      <c r="AB42" s="3">
        <f>AB27</f>
        <v>73.665427042784145</v>
      </c>
      <c r="AC42" s="165" t="s">
        <v>550</v>
      </c>
      <c r="AD42" s="3">
        <f>AD27</f>
        <v>75.3</v>
      </c>
      <c r="AE42" s="165" t="s">
        <v>550</v>
      </c>
      <c r="AF42" s="3">
        <f>AF27</f>
        <v>77.289335918499944</v>
      </c>
      <c r="AG42" s="2"/>
      <c r="AH42" s="3">
        <f>AL36</f>
        <v>0.11310097028807976</v>
      </c>
      <c r="AI42" s="3">
        <f>AD44</f>
        <v>5.1355763839319904E-2</v>
      </c>
      <c r="AK42">
        <v>17</v>
      </c>
      <c r="AL42">
        <f t="shared" si="3"/>
        <v>0.11667257987612438</v>
      </c>
      <c r="AM42">
        <f t="shared" si="32"/>
        <v>488.49568765552203</v>
      </c>
      <c r="AN42">
        <f t="shared" si="55"/>
        <v>718.81387298273285</v>
      </c>
      <c r="AO42" s="73">
        <f t="shared" si="56"/>
        <v>76.441491320829144</v>
      </c>
      <c r="AP42" s="73">
        <f t="shared" si="34"/>
        <v>739.42077103213228</v>
      </c>
      <c r="AQ42">
        <f t="shared" si="5"/>
        <v>1179.5390820025189</v>
      </c>
      <c r="AR42">
        <f t="shared" si="63"/>
        <v>173.34847170170434</v>
      </c>
      <c r="AS42">
        <f t="shared" si="7"/>
        <v>53.033133321291757</v>
      </c>
      <c r="AT42">
        <f t="shared" si="8"/>
        <v>230.31818532721081</v>
      </c>
      <c r="AU42">
        <f t="shared" si="9"/>
        <v>288.26404412228732</v>
      </c>
      <c r="AV42">
        <f t="shared" si="35"/>
        <v>1213.0455977822512</v>
      </c>
      <c r="AX42">
        <f t="shared" si="10"/>
        <v>4.3748975029429674E-4</v>
      </c>
      <c r="AY42">
        <f t="shared" si="36"/>
        <v>171.65354974807536</v>
      </c>
      <c r="AZ42">
        <f t="shared" si="50"/>
        <v>0.4981029843159353</v>
      </c>
      <c r="BA42" s="135">
        <f t="shared" si="37"/>
        <v>3.7517745046276023E-2</v>
      </c>
      <c r="BB42" s="191">
        <f t="shared" si="38"/>
        <v>1.1162565202164534</v>
      </c>
      <c r="BC42" s="2">
        <f t="shared" si="11"/>
        <v>168124.52347148987</v>
      </c>
      <c r="BD42" s="2">
        <f t="shared" si="39"/>
        <v>189821.39505606005</v>
      </c>
      <c r="BE42" t="e">
        <f ca="1">[1]!cercha(AL42,$AH$41:$AI$43)</f>
        <v>#NAME?</v>
      </c>
      <c r="BF42">
        <f t="shared" si="12"/>
        <v>1.7718749999997435E-3</v>
      </c>
      <c r="BG42" t="e">
        <f t="shared" ca="1" si="40"/>
        <v>#NAME?</v>
      </c>
      <c r="BH42" t="e">
        <f t="shared" ca="1" si="13"/>
        <v>#NAME?</v>
      </c>
      <c r="BI42" t="e">
        <f t="shared" ca="1" si="14"/>
        <v>#NAME?</v>
      </c>
      <c r="BJ42" t="e">
        <f t="shared" ca="1" si="41"/>
        <v>#NAME?</v>
      </c>
      <c r="BK42" t="e">
        <f t="shared" ca="1" si="42"/>
        <v>#NAME?</v>
      </c>
      <c r="BL42" t="e">
        <f t="shared" ca="1" si="57"/>
        <v>#NAME?</v>
      </c>
      <c r="BM42">
        <f t="shared" si="58"/>
        <v>5.952682646740981E-4</v>
      </c>
      <c r="BN42" t="e">
        <f t="shared" ca="1" si="59"/>
        <v>#NAME?</v>
      </c>
      <c r="BO42" t="e">
        <f t="shared" ca="1" si="64"/>
        <v>#NAME?</v>
      </c>
      <c r="BP42">
        <f t="shared" si="60"/>
        <v>1178.4691281197906</v>
      </c>
      <c r="BQ42" t="e">
        <f t="shared" ca="1" si="61"/>
        <v>#NAME?</v>
      </c>
      <c r="BR42" t="e">
        <f t="shared" ca="1" si="20"/>
        <v>#NAME?</v>
      </c>
      <c r="BS42" t="e">
        <f t="shared" ca="1" si="21"/>
        <v>#NAME?</v>
      </c>
      <c r="BT42" t="e">
        <f t="shared" ca="1" si="22"/>
        <v>#NAME?</v>
      </c>
      <c r="BU42" t="e">
        <f t="shared" ca="1" si="23"/>
        <v>#NAME?</v>
      </c>
      <c r="BV42" t="e">
        <f t="shared" ca="1" si="24"/>
        <v>#NAME?</v>
      </c>
      <c r="BW42" t="e">
        <f t="shared" ca="1" si="44"/>
        <v>#NAME?</v>
      </c>
      <c r="BY42">
        <f t="shared" si="25"/>
        <v>4.3748975029429674E-4</v>
      </c>
      <c r="BZ42" t="e">
        <f t="shared" ca="1" si="45"/>
        <v>#NAME?</v>
      </c>
      <c r="CA42" t="e">
        <f t="shared" ca="1" si="46"/>
        <v>#NAME?</v>
      </c>
      <c r="CB42" s="135" t="e">
        <f t="shared" ca="1" si="47"/>
        <v>#NAME?</v>
      </c>
      <c r="CC42" s="191" t="e">
        <f t="shared" ca="1" si="26"/>
        <v>#NAME?</v>
      </c>
      <c r="CD42" s="2" t="e">
        <f t="shared" ca="1" si="27"/>
        <v>#NAME?</v>
      </c>
      <c r="CE42" s="2" t="e">
        <f t="shared" ca="1" si="48"/>
        <v>#NAME?</v>
      </c>
      <c r="CG42" t="e">
        <f t="shared" ca="1" si="28"/>
        <v>#NAME?</v>
      </c>
      <c r="CL42" s="113" t="str">
        <f>'1D Analysis'!J56</f>
        <v>nblades</v>
      </c>
      <c r="CM42" s="114">
        <f>'1D Analysis'!K56</f>
        <v>60.805968203964667</v>
      </c>
      <c r="CN42" s="114"/>
      <c r="CO42" s="111" t="str">
        <f>'1D Analysis'!N56</f>
        <v>chord</v>
      </c>
      <c r="CP42" s="2">
        <f>'1D Analysis'!O56</f>
        <v>1.0281393064521579E-2</v>
      </c>
      <c r="CQ42" s="112"/>
      <c r="CT42" s="73"/>
      <c r="CU42" s="73"/>
      <c r="CV42" s="73"/>
      <c r="CW42" s="73"/>
      <c r="CX42" s="73"/>
      <c r="CY42" s="73"/>
      <c r="CZ42" s="73"/>
      <c r="DA42" s="73"/>
      <c r="DB42" s="73"/>
      <c r="DC42" s="73"/>
    </row>
    <row r="43" spans="1:143" x14ac:dyDescent="0.25">
      <c r="A43" s="3" t="s">
        <v>528</v>
      </c>
      <c r="B43" s="3">
        <v>1.2</v>
      </c>
      <c r="C43" s="2"/>
      <c r="D43" s="2"/>
      <c r="G43" s="171">
        <f t="shared" si="2"/>
        <v>0.11726784814079849</v>
      </c>
      <c r="H43" s="171">
        <f t="shared" si="52"/>
        <v>2.9763413233705183E-3</v>
      </c>
      <c r="I43" s="171">
        <f t="shared" si="30"/>
        <v>1</v>
      </c>
      <c r="J43" s="171">
        <f t="shared" si="53"/>
        <v>4.2522844744385431</v>
      </c>
      <c r="K43" s="3">
        <f t="shared" si="62"/>
        <v>2.2781249999997261E-3</v>
      </c>
      <c r="Y43" s="291" t="s">
        <v>564</v>
      </c>
      <c r="Z43" s="304"/>
      <c r="AA43" s="165" t="s">
        <v>560</v>
      </c>
      <c r="AB43" s="3">
        <v>0.76500000000000001</v>
      </c>
      <c r="AC43" s="165" t="s">
        <v>560</v>
      </c>
      <c r="AD43" s="3">
        <v>0.75</v>
      </c>
      <c r="AE43" s="165" t="s">
        <v>560</v>
      </c>
      <c r="AF43" s="3">
        <v>0.74</v>
      </c>
      <c r="AG43" s="2"/>
      <c r="AH43" s="3">
        <f>AL46</f>
        <v>0.1190536529348208</v>
      </c>
      <c r="AI43" s="3">
        <f>AF44</f>
        <v>6.1678775416081508E-2</v>
      </c>
      <c r="AK43">
        <v>18</v>
      </c>
      <c r="AL43">
        <f t="shared" si="3"/>
        <v>0.11726784814079849</v>
      </c>
      <c r="AM43">
        <f t="shared" si="32"/>
        <v>490.98801259254003</v>
      </c>
      <c r="AN43">
        <f t="shared" si="55"/>
        <v>715.97411149078118</v>
      </c>
      <c r="AO43" s="73">
        <f t="shared" si="56"/>
        <v>76.64623759621513</v>
      </c>
      <c r="AP43" s="73">
        <f t="shared" si="34"/>
        <v>735.87014036906317</v>
      </c>
      <c r="AQ43">
        <f t="shared" si="5"/>
        <v>1181.6512647230707</v>
      </c>
      <c r="AR43">
        <f t="shared" si="63"/>
        <v>169.95862779444641</v>
      </c>
      <c r="AS43">
        <f t="shared" si="7"/>
        <v>52.931931424173499</v>
      </c>
      <c r="AT43">
        <f t="shared" si="8"/>
        <v>224.98609889824115</v>
      </c>
      <c r="AU43">
        <f t="shared" si="9"/>
        <v>281.96574235041447</v>
      </c>
      <c r="AV43">
        <f t="shared" si="35"/>
        <v>1213.7096033759822</v>
      </c>
      <c r="AX43">
        <f t="shared" si="10"/>
        <v>4.3971616123726241E-4</v>
      </c>
      <c r="AY43">
        <f t="shared" si="36"/>
        <v>168.24928967339031</v>
      </c>
      <c r="AZ43">
        <f t="shared" si="50"/>
        <v>0.50108235206462282</v>
      </c>
      <c r="BA43" s="135">
        <f t="shared" si="37"/>
        <v>3.7180281482559772E-2</v>
      </c>
      <c r="BB43" s="191">
        <f t="shared" si="38"/>
        <v>1.1099030600751889</v>
      </c>
      <c r="BC43" s="2">
        <f t="shared" si="11"/>
        <v>169433.00719822844</v>
      </c>
      <c r="BD43" s="2">
        <f t="shared" si="39"/>
        <v>190272.06445541925</v>
      </c>
      <c r="BE43" t="e">
        <f ca="1">[1]!cercha(AL43,$AH$41:$AI$43)</f>
        <v>#NAME?</v>
      </c>
      <c r="BF43">
        <f t="shared" si="12"/>
        <v>2.2781249999997261E-3</v>
      </c>
      <c r="BG43" t="e">
        <f t="shared" ca="1" si="40"/>
        <v>#NAME?</v>
      </c>
      <c r="BH43" t="e">
        <f t="shared" ca="1" si="13"/>
        <v>#NAME?</v>
      </c>
      <c r="BI43" t="e">
        <f t="shared" ca="1" si="14"/>
        <v>#NAME?</v>
      </c>
      <c r="BJ43" t="e">
        <f t="shared" ca="1" si="41"/>
        <v>#NAME?</v>
      </c>
      <c r="BK43" t="e">
        <f t="shared" ca="1" si="42"/>
        <v>#NAME?</v>
      </c>
      <c r="BL43" t="e">
        <f t="shared" ca="1" si="57"/>
        <v>#NAME?</v>
      </c>
      <c r="BM43">
        <f t="shared" si="58"/>
        <v>5.9526826467411198E-4</v>
      </c>
      <c r="BN43" t="e">
        <f t="shared" ca="1" si="59"/>
        <v>#NAME?</v>
      </c>
      <c r="BO43" t="e">
        <f t="shared" ca="1" si="64"/>
        <v>#NAME?</v>
      </c>
      <c r="BP43">
        <f t="shared" si="60"/>
        <v>1180.5951733627949</v>
      </c>
      <c r="BQ43" t="e">
        <f t="shared" ca="1" si="61"/>
        <v>#NAME?</v>
      </c>
      <c r="BR43" t="e">
        <f t="shared" ca="1" si="20"/>
        <v>#NAME?</v>
      </c>
      <c r="BS43" t="e">
        <f t="shared" ca="1" si="21"/>
        <v>#NAME?</v>
      </c>
      <c r="BT43" t="e">
        <f t="shared" ca="1" si="22"/>
        <v>#NAME?</v>
      </c>
      <c r="BU43" t="e">
        <f t="shared" ca="1" si="23"/>
        <v>#NAME?</v>
      </c>
      <c r="BV43" t="e">
        <f t="shared" ca="1" si="24"/>
        <v>#NAME?</v>
      </c>
      <c r="BW43" t="e">
        <f t="shared" ca="1" si="44"/>
        <v>#NAME?</v>
      </c>
      <c r="BY43">
        <f t="shared" si="25"/>
        <v>4.3971616123726241E-4</v>
      </c>
      <c r="BZ43" t="e">
        <f t="shared" ca="1" si="45"/>
        <v>#NAME?</v>
      </c>
      <c r="CA43" t="e">
        <f t="shared" ca="1" si="46"/>
        <v>#NAME?</v>
      </c>
      <c r="CB43" s="135" t="e">
        <f t="shared" ca="1" si="47"/>
        <v>#NAME?</v>
      </c>
      <c r="CC43" s="191" t="e">
        <f t="shared" ca="1" si="26"/>
        <v>#NAME?</v>
      </c>
      <c r="CD43" s="2" t="e">
        <f t="shared" ca="1" si="27"/>
        <v>#NAME?</v>
      </c>
      <c r="CE43" s="2" t="e">
        <f t="shared" ca="1" si="48"/>
        <v>#NAME?</v>
      </c>
      <c r="CG43" t="e">
        <f t="shared" ca="1" si="28"/>
        <v>#NAME?</v>
      </c>
      <c r="CO43" s="111" t="str">
        <f>'1D Analysis'!N57</f>
        <v>h/c</v>
      </c>
      <c r="CP43" s="2">
        <f>'1D Analysis'!O57</f>
        <v>1.4</v>
      </c>
      <c r="CQ43" s="112"/>
    </row>
    <row r="44" spans="1:143" x14ac:dyDescent="0.25">
      <c r="A44" s="3" t="s">
        <v>529</v>
      </c>
      <c r="B44" s="3">
        <v>0.9</v>
      </c>
      <c r="C44" s="2"/>
      <c r="D44" s="2"/>
      <c r="E44" s="146"/>
      <c r="F44" s="145"/>
      <c r="G44" s="171">
        <f t="shared" si="2"/>
        <v>0.11786311640547259</v>
      </c>
      <c r="H44" s="171">
        <f t="shared" si="52"/>
        <v>3.5716095880446164E-3</v>
      </c>
      <c r="I44" s="171">
        <f t="shared" si="30"/>
        <v>1</v>
      </c>
      <c r="J44" s="171">
        <f t="shared" si="53"/>
        <v>5.1027413693262433</v>
      </c>
      <c r="K44" s="3">
        <f t="shared" si="62"/>
        <v>2.7843749999996023E-3</v>
      </c>
      <c r="Z44" s="73"/>
      <c r="AA44" s="104"/>
      <c r="AB44" s="23">
        <f>AB43*AB40*AB37*AB36*AB35+AB41</f>
        <v>4.7010066283311863E-2</v>
      </c>
      <c r="AC44" s="104"/>
      <c r="AD44" s="23">
        <f>AD43*AD40*AD37*AD36*AD35+AD41</f>
        <v>5.1355763839319904E-2</v>
      </c>
      <c r="AE44" s="104"/>
      <c r="AF44" s="23">
        <f>AF43*AF40*AF37*AF36*AF35+AF41</f>
        <v>6.1678775416081508E-2</v>
      </c>
      <c r="AG44" s="32"/>
      <c r="AH44" s="32"/>
      <c r="AK44">
        <v>19</v>
      </c>
      <c r="AL44">
        <f t="shared" si="3"/>
        <v>0.11786311640547259</v>
      </c>
      <c r="AM44">
        <f t="shared" si="32"/>
        <v>493.48033752955797</v>
      </c>
      <c r="AN44">
        <f t="shared" si="55"/>
        <v>713.16099400785561</v>
      </c>
      <c r="AO44" s="73">
        <f t="shared" si="56"/>
        <v>76.855637333096652</v>
      </c>
      <c r="AP44" s="73">
        <f t="shared" si="34"/>
        <v>732.34838624614065</v>
      </c>
      <c r="AQ44">
        <f t="shared" si="5"/>
        <v>1183.7362262752715</v>
      </c>
      <c r="AR44">
        <f t="shared" si="63"/>
        <v>166.53995155233417</v>
      </c>
      <c r="AS44">
        <f t="shared" si="7"/>
        <v>52.834226411092374</v>
      </c>
      <c r="AT44">
        <f t="shared" si="8"/>
        <v>219.68065647829764</v>
      </c>
      <c r="AU44">
        <f t="shared" si="9"/>
        <v>275.67217177979649</v>
      </c>
      <c r="AV44">
        <f t="shared" si="35"/>
        <v>1214.3794304259932</v>
      </c>
      <c r="AX44">
        <f t="shared" si="10"/>
        <v>4.4194257218024445E-4</v>
      </c>
      <c r="AY44">
        <f t="shared" si="36"/>
        <v>164.81495042484764</v>
      </c>
      <c r="AZ44">
        <f t="shared" si="50"/>
        <v>0.50403553509916488</v>
      </c>
      <c r="BA44" s="135">
        <f t="shared" si="37"/>
        <v>3.6819923561467363E-2</v>
      </c>
      <c r="BB44" s="191">
        <f t="shared" si="38"/>
        <v>1.1036180366739714</v>
      </c>
      <c r="BC44" s="2">
        <f t="shared" si="11"/>
        <v>170732.29651416556</v>
      </c>
      <c r="BD44" s="2">
        <f t="shared" si="39"/>
        <v>190727.51840899195</v>
      </c>
      <c r="BE44" t="e">
        <f ca="1">[1]!cercha(AL44,$AH$41:$AI$43)</f>
        <v>#NAME?</v>
      </c>
      <c r="BF44">
        <f t="shared" si="12"/>
        <v>2.7843749999996023E-3</v>
      </c>
      <c r="BG44" t="e">
        <f t="shared" ca="1" si="40"/>
        <v>#NAME?</v>
      </c>
      <c r="BH44" t="e">
        <f t="shared" ca="1" si="13"/>
        <v>#NAME?</v>
      </c>
      <c r="BI44" t="e">
        <f t="shared" ca="1" si="14"/>
        <v>#NAME?</v>
      </c>
      <c r="BJ44" t="e">
        <f t="shared" ca="1" si="41"/>
        <v>#NAME?</v>
      </c>
      <c r="BK44" t="e">
        <f t="shared" ca="1" si="42"/>
        <v>#NAME?</v>
      </c>
      <c r="BL44" t="e">
        <f t="shared" ca="1" si="57"/>
        <v>#NAME?</v>
      </c>
      <c r="BM44">
        <f t="shared" si="58"/>
        <v>5.952682646740981E-4</v>
      </c>
      <c r="BN44" t="e">
        <f t="shared" ca="1" si="59"/>
        <v>#NAME?</v>
      </c>
      <c r="BO44" t="e">
        <f t="shared" ca="1" si="64"/>
        <v>#NAME?</v>
      </c>
      <c r="BP44">
        <f t="shared" si="60"/>
        <v>1182.6937454991712</v>
      </c>
      <c r="BQ44" t="e">
        <f t="shared" ca="1" si="61"/>
        <v>#NAME?</v>
      </c>
      <c r="BR44" t="e">
        <f t="shared" ca="1" si="20"/>
        <v>#NAME?</v>
      </c>
      <c r="BS44" t="e">
        <f t="shared" ca="1" si="21"/>
        <v>#NAME?</v>
      </c>
      <c r="BT44" t="e">
        <f t="shared" ca="1" si="22"/>
        <v>#NAME?</v>
      </c>
      <c r="BU44" t="e">
        <f t="shared" ca="1" si="23"/>
        <v>#NAME?</v>
      </c>
      <c r="BV44" t="e">
        <f t="shared" ca="1" si="24"/>
        <v>#NAME?</v>
      </c>
      <c r="BW44" t="e">
        <f t="shared" ca="1" si="44"/>
        <v>#NAME?</v>
      </c>
      <c r="BY44">
        <f t="shared" si="25"/>
        <v>4.4194257218024445E-4</v>
      </c>
      <c r="BZ44" t="e">
        <f t="shared" ca="1" si="45"/>
        <v>#NAME?</v>
      </c>
      <c r="CA44" t="e">
        <f t="shared" ca="1" si="46"/>
        <v>#NAME?</v>
      </c>
      <c r="CB44" s="135" t="e">
        <f t="shared" ca="1" si="47"/>
        <v>#NAME?</v>
      </c>
      <c r="CC44" s="191" t="e">
        <f t="shared" ca="1" si="26"/>
        <v>#NAME?</v>
      </c>
      <c r="CD44" s="2" t="e">
        <f t="shared" ca="1" si="27"/>
        <v>#NAME?</v>
      </c>
      <c r="CE44" s="2" t="e">
        <f t="shared" ca="1" si="48"/>
        <v>#NAME?</v>
      </c>
      <c r="CG44" t="e">
        <f t="shared" ca="1" si="28"/>
        <v>#NAME?</v>
      </c>
      <c r="CO44" s="111" t="str">
        <f>'1D Analysis'!N58</f>
        <v>Re dh</v>
      </c>
      <c r="CP44" s="2" t="e">
        <f ca="1">'1D Analysis'!O58</f>
        <v>#NAME?</v>
      </c>
      <c r="CQ44" s="112"/>
    </row>
    <row r="45" spans="1:143" ht="15.75" thickBot="1" x14ac:dyDescent="0.3">
      <c r="A45" s="157" t="s">
        <v>534</v>
      </c>
      <c r="B45" s="158"/>
      <c r="C45" s="186"/>
      <c r="D45" s="186"/>
      <c r="F45" t="s">
        <v>588</v>
      </c>
      <c r="G45" s="171">
        <f t="shared" si="2"/>
        <v>0.1184583846701467</v>
      </c>
      <c r="H45" s="171">
        <f t="shared" si="52"/>
        <v>4.1668778527187283E-3</v>
      </c>
      <c r="I45" s="171">
        <f t="shared" si="30"/>
        <v>1</v>
      </c>
      <c r="J45" s="171">
        <f t="shared" si="53"/>
        <v>5.953198264213964</v>
      </c>
      <c r="K45" s="3">
        <f t="shared" si="62"/>
        <v>3.2906249999996085E-3</v>
      </c>
      <c r="AA45" s="1"/>
      <c r="AK45">
        <v>20</v>
      </c>
      <c r="AL45">
        <f t="shared" si="3"/>
        <v>0.1184583846701467</v>
      </c>
      <c r="AM45">
        <f t="shared" si="32"/>
        <v>495.97266246657597</v>
      </c>
      <c r="AN45">
        <f t="shared" si="55"/>
        <v>710.37413422648569</v>
      </c>
      <c r="AO45" s="73">
        <f t="shared" si="56"/>
        <v>77.069919955062574</v>
      </c>
      <c r="AP45" s="73">
        <f t="shared" si="34"/>
        <v>728.85508994576207</v>
      </c>
      <c r="AQ45">
        <f t="shared" si="5"/>
        <v>1185.7944588145788</v>
      </c>
      <c r="AR45">
        <f t="shared" si="63"/>
        <v>163.0899492973611</v>
      </c>
      <c r="AS45">
        <f t="shared" si="7"/>
        <v>52.740640542245892</v>
      </c>
      <c r="AT45">
        <f t="shared" si="8"/>
        <v>214.40147175990973</v>
      </c>
      <c r="AU45">
        <f t="shared" si="9"/>
        <v>269.38137028130063</v>
      </c>
      <c r="AV45">
        <f t="shared" si="35"/>
        <v>1215.0550727882203</v>
      </c>
      <c r="AX45">
        <f t="shared" si="10"/>
        <v>4.4416898312320464E-4</v>
      </c>
      <c r="AY45">
        <f t="shared" si="36"/>
        <v>161.3479292751189</v>
      </c>
      <c r="AZ45">
        <f t="shared" si="50"/>
        <v>0.50696278755240287</v>
      </c>
      <c r="BA45" s="135">
        <f t="shared" si="37"/>
        <v>3.6435837966128731E-2</v>
      </c>
      <c r="BB45" s="191">
        <f t="shared" si="38"/>
        <v>1.0974001438588299</v>
      </c>
      <c r="BC45" s="2">
        <f t="shared" si="11"/>
        <v>172022.43317030574</v>
      </c>
      <c r="BD45" s="2">
        <f t="shared" si="39"/>
        <v>191187.77564538244</v>
      </c>
      <c r="BE45" t="e">
        <f ca="1">[1]!cercha(AL45,$AH$41:$AI$43)</f>
        <v>#NAME?</v>
      </c>
      <c r="BF45">
        <f t="shared" si="12"/>
        <v>3.2906249999996085E-3</v>
      </c>
      <c r="BG45" t="e">
        <f t="shared" ca="1" si="40"/>
        <v>#NAME?</v>
      </c>
      <c r="BH45" t="e">
        <f t="shared" ca="1" si="13"/>
        <v>#NAME?</v>
      </c>
      <c r="BI45" t="e">
        <f t="shared" ca="1" si="14"/>
        <v>#NAME?</v>
      </c>
      <c r="BJ45" t="e">
        <f t="shared" ca="1" si="41"/>
        <v>#NAME?</v>
      </c>
      <c r="BK45" t="e">
        <f t="shared" ca="1" si="42"/>
        <v>#NAME?</v>
      </c>
      <c r="BL45" t="e">
        <f t="shared" ca="1" si="57"/>
        <v>#NAME?</v>
      </c>
      <c r="BM45">
        <f t="shared" si="58"/>
        <v>5.9526826467411198E-4</v>
      </c>
      <c r="BN45" t="e">
        <f t="shared" ca="1" si="59"/>
        <v>#NAME?</v>
      </c>
      <c r="BO45" t="e">
        <f t="shared" ca="1" si="64"/>
        <v>#NAME?</v>
      </c>
      <c r="BP45">
        <f t="shared" si="60"/>
        <v>1184.7653425449253</v>
      </c>
      <c r="BQ45" t="e">
        <f t="shared" ca="1" si="61"/>
        <v>#NAME?</v>
      </c>
      <c r="BR45" t="e">
        <f t="shared" ca="1" si="20"/>
        <v>#NAME?</v>
      </c>
      <c r="BS45" t="e">
        <f t="shared" ca="1" si="21"/>
        <v>#NAME?</v>
      </c>
      <c r="BT45" t="e">
        <f t="shared" ca="1" si="22"/>
        <v>#NAME?</v>
      </c>
      <c r="BU45" t="e">
        <f t="shared" ca="1" si="23"/>
        <v>#NAME?</v>
      </c>
      <c r="BV45" t="e">
        <f t="shared" ca="1" si="24"/>
        <v>#NAME?</v>
      </c>
      <c r="BW45" t="e">
        <f t="shared" ca="1" si="44"/>
        <v>#NAME?</v>
      </c>
      <c r="BY45">
        <f t="shared" si="25"/>
        <v>4.4416898312320464E-4</v>
      </c>
      <c r="BZ45" t="e">
        <f ca="1">(BQ45+BQ46)*0.5</f>
        <v>#NAME?</v>
      </c>
      <c r="CA45" t="e">
        <f t="shared" ca="1" si="46"/>
        <v>#NAME?</v>
      </c>
      <c r="CB45" s="135" t="e">
        <f t="shared" ca="1" si="47"/>
        <v>#NAME?</v>
      </c>
      <c r="CC45" s="191" t="e">
        <f t="shared" ca="1" si="26"/>
        <v>#NAME?</v>
      </c>
      <c r="CD45" s="2" t="e">
        <f t="shared" ca="1" si="27"/>
        <v>#NAME?</v>
      </c>
      <c r="CE45" s="2" t="e">
        <f t="shared" ca="1" si="48"/>
        <v>#NAME?</v>
      </c>
      <c r="CG45" t="e">
        <f t="shared" ca="1" si="28"/>
        <v>#NAME?</v>
      </c>
      <c r="CO45" s="111" t="str">
        <f>'1D Analysis'!N59</f>
        <v>dh</v>
      </c>
      <c r="CP45" s="2">
        <f>'1D Analysis'!O59</f>
        <v>4.6429174727589699E-3</v>
      </c>
      <c r="CQ45" s="112"/>
    </row>
    <row r="46" spans="1:143" ht="15.75" thickBot="1" x14ac:dyDescent="0.3">
      <c r="A46" s="140" t="s">
        <v>534</v>
      </c>
      <c r="B46" s="140">
        <f>B44*B43*B41</f>
        <v>3.2399999999999998E-2</v>
      </c>
      <c r="C46" s="140"/>
      <c r="D46" s="140"/>
      <c r="E46" s="136"/>
      <c r="F46">
        <f>ATAN(J46/H46)</f>
        <v>1.5700963875374903</v>
      </c>
      <c r="G46" s="171">
        <f t="shared" si="2"/>
        <v>0.1190536529348208</v>
      </c>
      <c r="H46" s="171">
        <f t="shared" si="52"/>
        <v>4.7621461173928264E-3</v>
      </c>
      <c r="I46" s="171">
        <f t="shared" si="30"/>
        <v>1</v>
      </c>
      <c r="J46" s="171">
        <f>IF(H46&lt;=0,0,B46/B53)</f>
        <v>6.8036551591025693</v>
      </c>
      <c r="K46" s="3">
        <f>(J46+J45)/2*(G46-G45)</f>
        <v>3.7968749999997302E-3</v>
      </c>
      <c r="AJ46" s="201" t="s">
        <v>468</v>
      </c>
      <c r="AK46">
        <v>21</v>
      </c>
      <c r="AL46">
        <f t="shared" si="3"/>
        <v>0.1190536529348208</v>
      </c>
      <c r="AM46">
        <f>AL46*$AT$17</f>
        <v>498.46498740359391</v>
      </c>
      <c r="AN46">
        <f t="shared" si="55"/>
        <v>707.61315337357701</v>
      </c>
      <c r="AO46" s="73">
        <f t="shared" si="56"/>
        <v>77.289335918499944</v>
      </c>
      <c r="AP46" s="73">
        <f t="shared" si="34"/>
        <v>725.38984077234977</v>
      </c>
      <c r="AQ46">
        <f t="shared" si="5"/>
        <v>1187.8264431065586</v>
      </c>
      <c r="AR46">
        <f>SQRT($AR$36^2+2*(-$AK$18*(1+$AK$20)*(-$AK$19*((AL46^($AK$20-1)-$AL$36^($AK$20-1))/($AK$20-1))+$AK$18*((AL46^(2*$AK$20)-$AL$36^(2*$AK$20))/(2*$AK$20)))))</f>
        <v>159.6059092528767</v>
      </c>
      <c r="AS46">
        <f t="shared" si="7"/>
        <v>52.651891348638038</v>
      </c>
      <c r="AT46">
        <f t="shared" si="8"/>
        <v>209.1481659699831</v>
      </c>
      <c r="AU46">
        <f t="shared" si="9"/>
        <v>263.09124196188117</v>
      </c>
      <c r="AV46">
        <f t="shared" si="35"/>
        <v>1215.7365243956897</v>
      </c>
      <c r="AZ46">
        <f t="shared" si="50"/>
        <v>0.5098643625139514</v>
      </c>
      <c r="BB46" s="191">
        <f t="shared" si="38"/>
        <v>1.0912481095715107</v>
      </c>
      <c r="BC46" s="2">
        <f t="shared" si="11"/>
        <v>173303.46035025173</v>
      </c>
      <c r="BD46" s="2">
        <f t="shared" si="39"/>
        <v>191652.85516198783</v>
      </c>
      <c r="BE46">
        <f>AI43</f>
        <v>6.1678775416081508E-2</v>
      </c>
      <c r="BF46">
        <f t="shared" si="12"/>
        <v>3.7968749999997302E-3</v>
      </c>
      <c r="BG46">
        <f t="shared" si="40"/>
        <v>6.5475650416081235E-2</v>
      </c>
      <c r="BH46">
        <f t="shared" si="13"/>
        <v>0.11615606823611911</v>
      </c>
      <c r="BI46">
        <f t="shared" si="14"/>
        <v>373894.1716506583</v>
      </c>
      <c r="BJ46">
        <f t="shared" si="41"/>
        <v>1.0623166396161732</v>
      </c>
      <c r="BK46">
        <f>$BB$6*LOG(BJ46)</f>
        <v>7.5126785301201089</v>
      </c>
      <c r="BL46" t="e">
        <f t="shared" ca="1" si="57"/>
        <v>#NAME?</v>
      </c>
      <c r="BM46">
        <f t="shared" si="58"/>
        <v>5.952682646740981E-4</v>
      </c>
      <c r="BN46" t="e">
        <f t="shared" ca="1" si="59"/>
        <v>#NAME?</v>
      </c>
      <c r="BO46" t="e">
        <f t="shared" ca="1" si="64"/>
        <v>#NAME?</v>
      </c>
      <c r="BP46">
        <f t="shared" si="60"/>
        <v>1186.8104509605687</v>
      </c>
      <c r="BQ46" t="e">
        <f t="shared" ca="1" si="61"/>
        <v>#NAME?</v>
      </c>
      <c r="BR46" t="e">
        <f t="shared" ca="1" si="20"/>
        <v>#NAME?</v>
      </c>
      <c r="BS46" t="e">
        <f t="shared" ca="1" si="21"/>
        <v>#NAME?</v>
      </c>
      <c r="BT46" t="e">
        <f t="shared" ca="1" si="22"/>
        <v>#NAME?</v>
      </c>
      <c r="BU46" t="e">
        <f t="shared" ca="1" si="23"/>
        <v>#NAME?</v>
      </c>
      <c r="BV46" t="e">
        <f t="shared" ca="1" si="24"/>
        <v>#NAME?</v>
      </c>
      <c r="BW46" t="e">
        <f t="shared" ca="1" si="44"/>
        <v>#NAME?</v>
      </c>
      <c r="CA46" t="e">
        <f t="shared" ca="1" si="46"/>
        <v>#NAME?</v>
      </c>
      <c r="CC46" s="191" t="e">
        <f t="shared" ca="1" si="26"/>
        <v>#NAME?</v>
      </c>
      <c r="CD46" s="2" t="e">
        <f t="shared" ca="1" si="27"/>
        <v>#NAME?</v>
      </c>
      <c r="CE46" s="2" t="e">
        <f t="shared" ca="1" si="48"/>
        <v>#NAME?</v>
      </c>
      <c r="CG46">
        <f t="shared" si="28"/>
        <v>0</v>
      </c>
      <c r="CO46" s="111" t="str">
        <f>'1D Analysis'!N60</f>
        <v>RE c</v>
      </c>
      <c r="CP46" s="2" t="e">
        <f ca="1">'1D Analysis'!O60</f>
        <v>#NAME?</v>
      </c>
      <c r="CQ46" s="112"/>
    </row>
    <row r="47" spans="1:143" ht="15.75" thickBot="1" x14ac:dyDescent="0.3">
      <c r="A47" s="155" t="s">
        <v>548</v>
      </c>
      <c r="B47" s="156"/>
      <c r="C47" s="186"/>
      <c r="D47" s="186"/>
      <c r="G47" s="146"/>
      <c r="H47" s="146"/>
      <c r="I47" s="146"/>
      <c r="J47" s="146"/>
      <c r="K47">
        <f>SUM(K36:K46)</f>
        <v>1.6199999999998101E-2</v>
      </c>
      <c r="CJ47" s="135"/>
      <c r="CO47" s="113" t="str">
        <f>'1D Analysis'!N61</f>
        <v>M3r</v>
      </c>
      <c r="CP47" s="114">
        <f>'1D Analysis'!O61</f>
        <v>0.95878445832380088</v>
      </c>
      <c r="CQ47" s="115"/>
    </row>
    <row r="48" spans="1:143" x14ac:dyDescent="0.25">
      <c r="A48" s="3" t="s">
        <v>550</v>
      </c>
      <c r="B48" s="3">
        <f>RADIANS(AX6)</f>
        <v>1.3142329267517301</v>
      </c>
      <c r="C48" s="2"/>
      <c r="D48" s="2"/>
      <c r="G48" s="149" t="s">
        <v>576</v>
      </c>
      <c r="H48" s="153"/>
      <c r="I48" s="153"/>
      <c r="J48" s="153"/>
      <c r="AZ48" t="s">
        <v>595</v>
      </c>
      <c r="BA48" s="135">
        <f>SUM(BA26:BA45)</f>
        <v>0.7778480045128614</v>
      </c>
      <c r="BZ48" s="108" t="s">
        <v>621</v>
      </c>
      <c r="CA48" s="194" t="e">
        <f ca="1">SUM(CB26:CB45)</f>
        <v>#NAME?</v>
      </c>
      <c r="CB48" s="109"/>
      <c r="CC48" s="110"/>
      <c r="CO48" s="2"/>
      <c r="CP48" s="2"/>
      <c r="CQ48" s="2"/>
    </row>
    <row r="49" spans="1:105" ht="15.75" thickBot="1" x14ac:dyDescent="0.3">
      <c r="A49" s="3" t="s">
        <v>551</v>
      </c>
      <c r="B49" s="3">
        <f>AD29</f>
        <v>2.62</v>
      </c>
      <c r="C49" s="2"/>
      <c r="D49" s="2"/>
      <c r="G49" s="150">
        <f>B46/2*2/F34</f>
        <v>6.8036551591025747</v>
      </c>
      <c r="H49" s="153"/>
      <c r="I49" s="153"/>
      <c r="J49" s="153"/>
      <c r="AZ49" t="s">
        <v>474</v>
      </c>
      <c r="BA49">
        <f>CG17</f>
        <v>0.7774823082743787</v>
      </c>
      <c r="BZ49" s="113" t="s">
        <v>475</v>
      </c>
      <c r="CA49" s="114">
        <f>CG13</f>
        <v>0.7774823082743787</v>
      </c>
      <c r="CB49" s="114" t="s">
        <v>506</v>
      </c>
      <c r="CC49" s="193" t="e">
        <f ca="1">(CA48-CA49)/CA49*100</f>
        <v>#NAME?</v>
      </c>
      <c r="CO49" s="2"/>
      <c r="CP49" s="2"/>
      <c r="CQ49" s="2"/>
    </row>
    <row r="50" spans="1:105" x14ac:dyDescent="0.25">
      <c r="A50" s="3" t="s">
        <v>570</v>
      </c>
      <c r="B50" s="3">
        <f>B48/SQRT(B49)</f>
        <v>0.81193581369259005</v>
      </c>
      <c r="C50" s="2"/>
      <c r="D50" s="2"/>
      <c r="G50" s="152" t="s">
        <v>577</v>
      </c>
      <c r="H50" s="154"/>
      <c r="I50" s="154"/>
      <c r="J50" s="154"/>
      <c r="AL50" s="185"/>
      <c r="AZ50" t="s">
        <v>504</v>
      </c>
      <c r="BA50">
        <f>(BA48-BA49)/BA48*100</f>
        <v>4.7013842853749696E-2</v>
      </c>
      <c r="CO50" s="2"/>
      <c r="CP50" s="2"/>
      <c r="CQ50" s="2"/>
    </row>
    <row r="51" spans="1:105" ht="15.75" thickBot="1" x14ac:dyDescent="0.3">
      <c r="A51" s="3" t="s">
        <v>554</v>
      </c>
      <c r="B51" s="3">
        <v>0.05</v>
      </c>
      <c r="C51" s="2"/>
      <c r="D51" s="2"/>
      <c r="G51" s="151">
        <f>B46/2*2/F38</f>
        <v>6.8036551591025747</v>
      </c>
      <c r="H51" s="153"/>
      <c r="I51" s="153"/>
      <c r="J51" s="153"/>
      <c r="AL51" s="185"/>
      <c r="BJ51" s="179"/>
      <c r="BK51" s="179"/>
      <c r="BL51" s="179"/>
      <c r="BM51" s="179"/>
      <c r="BN51" s="179"/>
      <c r="BO51" s="179"/>
      <c r="BP51" s="179"/>
      <c r="CA51" s="179"/>
      <c r="CB51" s="179"/>
      <c r="CC51" s="73"/>
    </row>
    <row r="52" spans="1:105" x14ac:dyDescent="0.25">
      <c r="A52" s="3" t="s">
        <v>552</v>
      </c>
      <c r="B52" s="3">
        <v>0.3</v>
      </c>
      <c r="C52" t="s">
        <v>575</v>
      </c>
      <c r="D52">
        <f>B53*B29/B28</f>
        <v>0.40000000000000008</v>
      </c>
      <c r="E52" t="s">
        <v>198</v>
      </c>
      <c r="BJ52" s="179"/>
      <c r="BK52" s="179"/>
      <c r="BL52" s="179"/>
      <c r="BM52" s="179"/>
      <c r="BN52" s="179"/>
      <c r="BO52" s="179"/>
      <c r="BP52" s="179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179"/>
      <c r="CB52" s="179"/>
      <c r="CC52" s="73"/>
      <c r="CD52" s="73"/>
      <c r="CE52" s="73"/>
      <c r="CF52" s="73"/>
      <c r="CG52" s="73"/>
      <c r="CH52" s="73"/>
      <c r="CI52" s="73"/>
      <c r="CJ52" s="73"/>
    </row>
    <row r="53" spans="1:105" x14ac:dyDescent="0.25">
      <c r="A53" s="3" t="s">
        <v>571</v>
      </c>
      <c r="B53" s="3">
        <f>D53/B29*B28</f>
        <v>4.7621461173928299E-3</v>
      </c>
      <c r="C53" s="2" t="s">
        <v>604</v>
      </c>
      <c r="D53" s="2">
        <v>0.4</v>
      </c>
      <c r="BJ53" s="179"/>
      <c r="BK53" s="179"/>
      <c r="BL53" s="179"/>
      <c r="BM53" s="179"/>
      <c r="BN53" s="179"/>
      <c r="BO53" s="179"/>
      <c r="BP53" s="179"/>
      <c r="BQ53" s="73"/>
      <c r="BR53" s="73"/>
      <c r="BS53" s="73"/>
      <c r="BT53" s="73"/>
      <c r="BU53" s="73"/>
      <c r="BV53" s="73"/>
      <c r="BW53" s="73"/>
      <c r="BX53" s="179"/>
      <c r="BY53" s="179"/>
      <c r="BZ53" s="73"/>
      <c r="CA53" s="73"/>
      <c r="CB53" s="73"/>
      <c r="CC53" s="73"/>
      <c r="CD53" s="73"/>
      <c r="CE53" s="73"/>
      <c r="CF53" s="73"/>
      <c r="CG53" s="73"/>
    </row>
    <row r="54" spans="1:105" x14ac:dyDescent="0.25">
      <c r="A54" s="3" t="s">
        <v>573</v>
      </c>
      <c r="B54" s="3">
        <f>AL26+B53</f>
        <v>0.11191043375873155</v>
      </c>
      <c r="C54" s="2"/>
      <c r="D54" s="2"/>
      <c r="BJ54" s="179"/>
      <c r="BK54" s="179"/>
      <c r="BL54" s="179"/>
      <c r="BM54" s="73"/>
      <c r="BN54" s="73"/>
      <c r="BO54" s="73"/>
      <c r="BP54" s="73"/>
      <c r="BQ54" s="73"/>
      <c r="BR54" s="179"/>
      <c r="BS54" s="179"/>
      <c r="BT54" s="73" t="s">
        <v>777</v>
      </c>
      <c r="BU54" s="73"/>
      <c r="BV54" s="73"/>
      <c r="BW54" s="73"/>
      <c r="BX54" s="73"/>
      <c r="BY54" s="73"/>
      <c r="BZ54" s="73"/>
      <c r="CA54" s="73"/>
      <c r="CW54" s="291"/>
      <c r="CX54" s="291"/>
      <c r="CY54" s="291"/>
      <c r="CZ54" s="291"/>
      <c r="DA54" s="291"/>
    </row>
    <row r="55" spans="1:105" x14ac:dyDescent="0.25">
      <c r="A55" s="3" t="s">
        <v>574</v>
      </c>
      <c r="B55" s="3">
        <f>AL46-B53</f>
        <v>0.11429150681742797</v>
      </c>
      <c r="C55" s="2"/>
      <c r="D55" s="2"/>
      <c r="K55">
        <f>SUM(K57:K64)</f>
        <v>3.6112999999992262E-2</v>
      </c>
      <c r="U55" t="s">
        <v>579</v>
      </c>
      <c r="V55" t="s">
        <v>761</v>
      </c>
      <c r="Y55" s="288" t="s">
        <v>627</v>
      </c>
      <c r="Z55" s="288"/>
      <c r="AA55" s="1" t="s">
        <v>118</v>
      </c>
      <c r="AB55">
        <f>90-AB58</f>
        <v>35.1631078837</v>
      </c>
      <c r="AC55" s="1" t="s">
        <v>118</v>
      </c>
      <c r="AD55">
        <f>90-AD58</f>
        <v>36.312171580645483</v>
      </c>
      <c r="AE55" s="1" t="s">
        <v>118</v>
      </c>
      <c r="AF55">
        <f>90-AF58</f>
        <v>37.348108651361962</v>
      </c>
      <c r="AW55">
        <f>AY9</f>
        <v>254.08869342764129</v>
      </c>
      <c r="BE55" s="253" t="s">
        <v>622</v>
      </c>
      <c r="BF55" s="253"/>
      <c r="BG55" s="209"/>
      <c r="BH55" s="210" t="s">
        <v>637</v>
      </c>
      <c r="BM55" s="73"/>
      <c r="BN55" s="73"/>
      <c r="BO55" s="73"/>
      <c r="BP55" s="73"/>
      <c r="BQ55" s="73"/>
      <c r="BR55" s="73"/>
      <c r="BS55" s="73"/>
      <c r="BT55" s="73" t="s">
        <v>773</v>
      </c>
      <c r="BZ55" s="73"/>
      <c r="CA55" s="73"/>
      <c r="CG55">
        <f>ISRE!T54</f>
        <v>254.8</v>
      </c>
      <c r="CQ55" t="s">
        <v>640</v>
      </c>
      <c r="CR55">
        <f>CM10</f>
        <v>90483.171697279337</v>
      </c>
      <c r="CY55" s="200"/>
    </row>
    <row r="56" spans="1:105" ht="18.75" thickBot="1" x14ac:dyDescent="0.4">
      <c r="A56" s="3" t="s">
        <v>581</v>
      </c>
      <c r="B56" s="3">
        <f>B53/AK22</f>
        <v>8.0000000000000018</v>
      </c>
      <c r="C56" s="2"/>
      <c r="D56" s="2"/>
      <c r="F56" t="s">
        <v>588</v>
      </c>
      <c r="G56" s="309" t="s">
        <v>584</v>
      </c>
      <c r="H56" s="310"/>
      <c r="I56" s="310"/>
      <c r="J56" s="310"/>
      <c r="K56" s="310"/>
      <c r="R56" s="309" t="s">
        <v>583</v>
      </c>
      <c r="S56" s="310"/>
      <c r="T56" s="310"/>
      <c r="U56" s="310"/>
      <c r="V56" s="310"/>
      <c r="Y56" s="288"/>
      <c r="Z56" s="288"/>
      <c r="AA56" s="1" t="s">
        <v>73</v>
      </c>
      <c r="AB56">
        <f>90+AB59</f>
        <v>24.552379667844292</v>
      </c>
      <c r="AC56" s="1" t="s">
        <v>73</v>
      </c>
      <c r="AD56">
        <f>90+AD59</f>
        <v>24.402431627604884</v>
      </c>
      <c r="AE56" s="1" t="s">
        <v>73</v>
      </c>
      <c r="AF56">
        <f>90+AF59</f>
        <v>24.084470804612451</v>
      </c>
      <c r="AK56" s="43" t="s">
        <v>623</v>
      </c>
      <c r="AL56" s="43" t="s">
        <v>624</v>
      </c>
      <c r="AM56" s="128" t="s">
        <v>437</v>
      </c>
      <c r="AN56" s="128" t="s">
        <v>459</v>
      </c>
      <c r="AO56" s="128" t="s">
        <v>771</v>
      </c>
      <c r="AP56" s="128" t="s">
        <v>633</v>
      </c>
      <c r="AQ56" s="128" t="s">
        <v>462</v>
      </c>
      <c r="AR56" s="128" t="s">
        <v>772</v>
      </c>
      <c r="AS56" s="130" t="s">
        <v>687</v>
      </c>
      <c r="AT56" s="128" t="s">
        <v>688</v>
      </c>
      <c r="AU56" s="128" t="s">
        <v>464</v>
      </c>
      <c r="AV56" s="128" t="s">
        <v>465</v>
      </c>
      <c r="AW56" s="128" t="s">
        <v>466</v>
      </c>
      <c r="AX56" s="128" t="s">
        <v>435</v>
      </c>
      <c r="AY56" s="128" t="s">
        <v>436</v>
      </c>
      <c r="AZ56" s="128" t="s">
        <v>129</v>
      </c>
      <c r="BA56" s="129" t="s">
        <v>690</v>
      </c>
      <c r="BB56" s="128" t="s">
        <v>472</v>
      </c>
      <c r="BC56" s="128" t="s">
        <v>593</v>
      </c>
      <c r="BD56" s="128"/>
      <c r="BE56" s="128" t="s">
        <v>327</v>
      </c>
      <c r="BF56" s="128" t="s">
        <v>594</v>
      </c>
      <c r="BG56" s="128" t="s">
        <v>635</v>
      </c>
      <c r="BH56" s="128" t="s">
        <v>84</v>
      </c>
      <c r="BI56" s="43" t="s">
        <v>692</v>
      </c>
      <c r="BJ56" s="128" t="s">
        <v>619</v>
      </c>
      <c r="BK56" s="128" t="s">
        <v>693</v>
      </c>
      <c r="BL56" s="128" t="s">
        <v>694</v>
      </c>
      <c r="BM56" s="42" t="s">
        <v>753</v>
      </c>
      <c r="BN56" s="42" t="s">
        <v>586</v>
      </c>
      <c r="BO56" s="42" t="s">
        <v>762</v>
      </c>
      <c r="BP56" s="42" t="s">
        <v>606</v>
      </c>
      <c r="BQ56" s="42"/>
      <c r="BR56" s="42" t="s">
        <v>763</v>
      </c>
      <c r="BS56" s="42" t="s">
        <v>614</v>
      </c>
      <c r="BT56" s="42" t="s">
        <v>132</v>
      </c>
      <c r="BU56" s="42" t="s">
        <v>615</v>
      </c>
      <c r="BV56" s="42" t="s">
        <v>609</v>
      </c>
      <c r="BW56" s="42" t="s">
        <v>629</v>
      </c>
      <c r="BX56" s="42" t="s">
        <v>616</v>
      </c>
      <c r="BY56" s="42" t="s">
        <v>611</v>
      </c>
      <c r="BZ56" s="195" t="s">
        <v>683</v>
      </c>
      <c r="CA56" s="195" t="s">
        <v>464</v>
      </c>
      <c r="CB56" s="195" t="s">
        <v>465</v>
      </c>
      <c r="CC56" s="195" t="s">
        <v>766</v>
      </c>
      <c r="CD56" s="195" t="s">
        <v>765</v>
      </c>
      <c r="CE56" s="196" t="s">
        <v>685</v>
      </c>
      <c r="CF56" s="195" t="s">
        <v>686</v>
      </c>
      <c r="CG56" s="195" t="s">
        <v>466</v>
      </c>
      <c r="CH56" s="195" t="s">
        <v>435</v>
      </c>
      <c r="CI56" s="195" t="s">
        <v>436</v>
      </c>
      <c r="CJ56" s="195" t="s">
        <v>129</v>
      </c>
      <c r="CK56" s="197" t="s">
        <v>689</v>
      </c>
      <c r="CL56" s="195" t="s">
        <v>472</v>
      </c>
      <c r="CM56" s="195" t="s">
        <v>593</v>
      </c>
      <c r="CN56" s="195" t="s">
        <v>327</v>
      </c>
      <c r="CO56" s="195" t="s">
        <v>594</v>
      </c>
      <c r="CP56" s="42" t="s">
        <v>691</v>
      </c>
      <c r="CQ56" s="211" t="s">
        <v>639</v>
      </c>
      <c r="CR56" s="128" t="s">
        <v>84</v>
      </c>
      <c r="CS56" s="211" t="s">
        <v>163</v>
      </c>
      <c r="CT56" s="42" t="s">
        <v>691</v>
      </c>
      <c r="CV56" t="s">
        <v>695</v>
      </c>
      <c r="CW56" t="s">
        <v>696</v>
      </c>
      <c r="CY56" s="225" t="s">
        <v>778</v>
      </c>
    </row>
    <row r="57" spans="1:105" ht="15.75" thickBot="1" x14ac:dyDescent="0.3">
      <c r="E57" s="146"/>
      <c r="F57" s="146">
        <f>ATAN(J57/H57)</f>
        <v>1.5704449261903637</v>
      </c>
      <c r="G57" s="171">
        <f>AL57</f>
        <v>0.10590399514291465</v>
      </c>
      <c r="H57" s="171">
        <f>$B$86-G57</f>
        <v>5.0378826016155703E-3</v>
      </c>
      <c r="I57" s="171">
        <f t="shared" ref="I57:I65" si="65">IF(H57&lt;=0,0,1)</f>
        <v>1</v>
      </c>
      <c r="J57" s="171">
        <f>IF(H57&lt;=0,0,B78/B85)</f>
        <v>14.336578620716214</v>
      </c>
      <c r="K57" s="3">
        <f>(J57+J58)/2*(G58-G57)</f>
        <v>9.5809999999988179E-3</v>
      </c>
      <c r="N57" s="295" t="s">
        <v>764</v>
      </c>
      <c r="O57" s="296"/>
      <c r="R57" s="171">
        <f>AL57</f>
        <v>0.10590399514291465</v>
      </c>
      <c r="S57" s="171">
        <f t="shared" ref="S57:S65" si="66">$O$78-R57</f>
        <v>5.7575801161320883E-3</v>
      </c>
      <c r="T57" s="171"/>
      <c r="U57" s="173"/>
      <c r="V57" s="3">
        <f>V58</f>
        <v>0</v>
      </c>
      <c r="AA57" s="297" t="s">
        <v>757</v>
      </c>
      <c r="AB57" s="298"/>
      <c r="AC57" s="297" t="s">
        <v>758</v>
      </c>
      <c r="AD57" s="298"/>
      <c r="AE57" s="297" t="s">
        <v>759</v>
      </c>
      <c r="AF57" s="298"/>
      <c r="AG57" s="204"/>
      <c r="AH57" s="204"/>
      <c r="AJ57" s="201" t="s">
        <v>467</v>
      </c>
      <c r="AK57">
        <v>1</v>
      </c>
      <c r="AL57">
        <f t="shared" ref="AL57:AL77" si="67">$AT$13+(AK57-1)*$AK$23</f>
        <v>0.10590399514291465</v>
      </c>
      <c r="AM57">
        <f>$AT$17*AL57</f>
        <v>443.40876826185462</v>
      </c>
      <c r="AN57">
        <f t="shared" ref="AN57:AN77" si="68">$AK$18*AL57^$AK$20+$AK$19/AL57</f>
        <v>-105.28120235220393</v>
      </c>
      <c r="AO57">
        <f>DEGREES(ATAN(AN57/AP57))</f>
        <v>-22.783308483448621</v>
      </c>
      <c r="AP57">
        <f t="shared" ref="AP57:AP65" si="69">SQRT($AP$67^2+2*(-$AK$18*(1+$AK$20)*(+$AK$19*((AL57^($AK$20-1)-$AL$67^($AK$20-1))/($AK$20-1))+$AK$18*((AL57^(2*$AK$20)-$AL$67^(2*$AK$20))/(2*$AK$20)))))</f>
        <v>250.6584673178767</v>
      </c>
      <c r="AQ57">
        <f t="shared" ref="AQ57:AQ77" si="70">AN57-AM57</f>
        <v>-548.68997061405855</v>
      </c>
      <c r="AR57">
        <f t="shared" ref="AR57:AR77" si="71">DEGREES(ATAN(AQ57/AP57))</f>
        <v>-65.447620332155708</v>
      </c>
      <c r="AS57" s="92">
        <f t="shared" ref="AS57:AS77" si="72">AS26-AR57</f>
        <v>120.2845124484557</v>
      </c>
      <c r="AT57">
        <f t="shared" ref="AT57:AT77" si="73">AO26-AO57</f>
        <v>96.448735526232767</v>
      </c>
      <c r="AU57">
        <f>SQRT(AP57^2+AN57^2)</f>
        <v>271.87092306253123</v>
      </c>
      <c r="AV57">
        <f t="shared" ref="AV57:AV77" si="74">SQRT(AQ57^2+AP57^2)</f>
        <v>603.23324766677399</v>
      </c>
      <c r="AW57">
        <v>254.8</v>
      </c>
      <c r="AX57">
        <f t="shared" ref="AX57:AX76" si="75">PI()*(AL58^2-AL57^2)</f>
        <v>4.8052434220510829E-4</v>
      </c>
      <c r="AY57">
        <f t="shared" ref="AY57:AY76" si="76">(AP57+AP58)/2</f>
        <v>250.89400748230261</v>
      </c>
      <c r="AZ57">
        <f>BH57/($BB$6*BF57)</f>
        <v>0.29887809230460449</v>
      </c>
      <c r="BA57">
        <f t="shared" ref="BA57:BA76" si="77">AY57*AX57*(AZ57+AZ58)*0.5</f>
        <v>3.6028886526540911E-2</v>
      </c>
      <c r="BB57">
        <f t="shared" ref="BB57:BB76" si="78">ABS((BA57-BA26)/BA57*100)</f>
        <v>11.81126964123778</v>
      </c>
      <c r="BC57">
        <f t="shared" ref="BC57:BC77" si="79">AM26*AN26-AM57*AN57</f>
        <v>391320.86633472145</v>
      </c>
      <c r="BE57">
        <f>$AK$2-BC57/$BB$1</f>
        <v>1084.4186561816762</v>
      </c>
      <c r="BF57">
        <f t="shared" ref="BF57:BF77" si="80">BE57-AU57^2/2/$BB$1</f>
        <v>1054.6147050498726</v>
      </c>
      <c r="BG57">
        <f t="shared" ref="BG57:BG77" si="81">BF57+AV57^2/(2*$BB$1)</f>
        <v>1201.3446853283417</v>
      </c>
      <c r="BH57">
        <f t="shared" ref="BH57:BH77" si="82">BD26*($CM$21/$CJ$17)*(BF57/BG57)^$BB$5</f>
        <v>90196.04460934487</v>
      </c>
      <c r="BI57">
        <f t="shared" ref="BI57:BI77" si="83">(AQ26-BF57)/($AQ$13-BF57)</f>
        <v>0.25441750761259818</v>
      </c>
      <c r="BJ57" s="191">
        <f t="shared" ref="BJ57:BJ77" si="84">AV57/SQRT($BB$2*$BB$6*BF57)</f>
        <v>0.96309003379990665</v>
      </c>
      <c r="BK57" s="2">
        <f t="shared" ref="BK57:BK77" si="85">AV26-AV57^2/(2*$BB$1)</f>
        <v>1056.4885810978524</v>
      </c>
      <c r="BL57" s="2">
        <f t="shared" ref="BL57:BL77" si="86">(AQ26-BK57)/($AQ$13-BK57)</f>
        <v>0.25030817650751064</v>
      </c>
      <c r="BM57">
        <f>AI72</f>
        <v>7.3834754904693309E-2</v>
      </c>
      <c r="BN57">
        <f t="shared" ref="BN57:BN77" si="87">K57</f>
        <v>9.5809999999988179E-3</v>
      </c>
      <c r="BO57">
        <f t="shared" ref="BO57:BO77" si="88">V57</f>
        <v>0</v>
      </c>
      <c r="BP57">
        <f t="shared" ref="BP57:BP77" si="89">BN57+BM57</f>
        <v>8.3415754904692122E-2</v>
      </c>
      <c r="BR57">
        <f t="shared" ref="BR57:BR77" si="90">BP57*(1+$BB$2*BJ57^2/2)</f>
        <v>0.13370732779702585</v>
      </c>
      <c r="BS57">
        <f>BR57+BO57</f>
        <v>0.13370732779702585</v>
      </c>
      <c r="BT57" t="e">
        <f t="shared" ref="BT57:BT77" ca="1" si="91">(CE26+BH57*BS57)/(1+BS57)</f>
        <v>#NAME?</v>
      </c>
      <c r="BU57" t="e">
        <f t="shared" ref="BU57:BU77" ca="1" si="92">CE26/BT57</f>
        <v>#NAME?</v>
      </c>
      <c r="BV57" t="e">
        <f ca="1">$BB$6*LOG(BU57)</f>
        <v>#NAME?</v>
      </c>
      <c r="BW57" t="e">
        <f t="shared" ref="BW57:BW77" ca="1" si="93">BV57+BK26</f>
        <v>#NAME?</v>
      </c>
      <c r="BX57" t="e">
        <f t="shared" ref="BX57:BX67" ca="1" si="94">(BW57-BW58)/(AL57-AL58)</f>
        <v>#NAME?</v>
      </c>
      <c r="BY57">
        <f t="shared" ref="BY57:BY66" si="95">(BF57+BF58)*0.5</f>
        <v>1054.680503051396</v>
      </c>
      <c r="BZ57" t="e">
        <f t="shared" ref="BZ57:BZ66" ca="1" si="96">SQRT(BZ58^2+2*((-$AK$18*(1+$AK$20)*(+$AK$19*((AL57^($AK$20-1)-AL58^($AK$20-1))/($AK$20-1))+$AK$18*((AL57^(2*$AK$20)-AL58^(2*$AK$20))/(2*$AK$20))))-BX57*BY57*(AL57-AL58)))</f>
        <v>#NAME?</v>
      </c>
      <c r="CA57" t="e">
        <f t="shared" ref="CA57:CA77" ca="1" si="97">SQRT(BZ57^2+AN57^2)</f>
        <v>#NAME?</v>
      </c>
      <c r="CB57" t="e">
        <f t="shared" ref="CB57:CB77" ca="1" si="98">SQRT(BZ57^2+AQ57^2)</f>
        <v>#NAME?</v>
      </c>
      <c r="CC57" t="e">
        <f t="shared" ref="CC57:CC77" ca="1" si="99">DEGREES(ATAN(AN57/BZ57))</f>
        <v>#NAME?</v>
      </c>
      <c r="CD57" t="e">
        <f t="shared" ref="CD57:CD77" ca="1" si="100">DEGREES(ATAN(AQ57/BZ57))</f>
        <v>#NAME?</v>
      </c>
      <c r="CE57" s="92" t="e">
        <f t="shared" ref="CE57:CE77" ca="1" si="101">BV26-CD57</f>
        <v>#NAME?</v>
      </c>
      <c r="CF57" t="e">
        <f t="shared" ref="CF57:CF77" ca="1" si="102">BS26-CC57</f>
        <v>#NAME?</v>
      </c>
      <c r="CG57">
        <v>223</v>
      </c>
      <c r="CH57">
        <f t="shared" ref="CH57:CH76" si="103">PI()*(AL58^2-AL57^2)</f>
        <v>4.8052434220510829E-4</v>
      </c>
      <c r="CI57" t="e">
        <f ca="1">(BZ57+BZ58)/2</f>
        <v>#NAME?</v>
      </c>
      <c r="CJ57" t="e">
        <f ca="1">CR57/($BB$6*CO57)</f>
        <v>#NAME?</v>
      </c>
      <c r="CK57" t="e">
        <f ca="1">CI57*CH57*(CJ57+CJ58)*0.5</f>
        <v>#NAME?</v>
      </c>
      <c r="CL57" t="e">
        <f t="shared" ref="CL57:CL76" ca="1" si="104">ABS((CK57-CB26)/CK57*100)</f>
        <v>#NAME?</v>
      </c>
      <c r="CM57">
        <f t="shared" ref="CM57:CM77" si="105">AM26*AN26-AM57*AN57</f>
        <v>391320.86633472145</v>
      </c>
      <c r="CN57">
        <f>$AK$2-CM57/$BB$1</f>
        <v>1084.4186561816762</v>
      </c>
      <c r="CO57" t="e">
        <f ca="1">CN57-CA57^2/2/$BB$1</f>
        <v>#NAME?</v>
      </c>
      <c r="CP57" t="e">
        <f t="shared" ref="CP57:CP77" ca="1" si="106">(BT26-CO57)/($AQ$13-CO57)</f>
        <v>#NAME?</v>
      </c>
      <c r="CQ57" t="e">
        <f ca="1">CO57+CB57^2/(2*$BB$1)</f>
        <v>#NAME?</v>
      </c>
      <c r="CR57" t="e">
        <f ca="1">BT57*(CO57/CQ57)^$BB$5</f>
        <v>#NAME?</v>
      </c>
      <c r="CS57" t="e">
        <f t="shared" ref="CS57:CS77" ca="1" si="107">BW26-CB57^2/(2*$BB$1)</f>
        <v>#NAME?</v>
      </c>
      <c r="CT57" t="e">
        <f t="shared" ref="CT57:CT77" ca="1" si="108">(BT26-CS57)/($AQ$13-CS57)</f>
        <v>#NAME?</v>
      </c>
      <c r="CV57">
        <f t="shared" ref="CV57:CV77" si="109">(AV57^2-AU26^2+AM26^2-AM57^2)/(AP26^2-$AW$3^2+AV57^2-AU26^2+AM26^2-AM57^2)</f>
        <v>0.25441750761259818</v>
      </c>
      <c r="CW57" t="e">
        <f t="shared" ref="CW57:CW77" ca="1" si="110">(CB57^2-BU26^2+AM26^2-AM57^2)/(BR26^2-$AW$3^2+CB57^2-BU26^2+AM26^2-AM57^2)</f>
        <v>#NAME?</v>
      </c>
    </row>
    <row r="58" spans="1:105" x14ac:dyDescent="0.25">
      <c r="A58" s="159" t="s">
        <v>532</v>
      </c>
      <c r="B58" s="160"/>
      <c r="C58" s="187"/>
      <c r="D58" s="187"/>
      <c r="G58" s="171">
        <f t="shared" ref="G58:G76" si="111">AL58</f>
        <v>0.10662369265743116</v>
      </c>
      <c r="H58" s="171">
        <f t="shared" ref="H58:H67" si="112">$B$86-G58</f>
        <v>4.3181850870990662E-3</v>
      </c>
      <c r="I58" s="171">
        <f t="shared" si="65"/>
        <v>1</v>
      </c>
      <c r="J58" s="171">
        <f>IF(H58&lt;=0,0,TAN($F$57)*H58)</f>
        <v>12.288495960610845</v>
      </c>
      <c r="K58" s="3">
        <f t="shared" ref="K58:K66" si="113">(J58+J59)/2*(G59-G58)</f>
        <v>8.1069999999980654E-3</v>
      </c>
      <c r="N58" s="25" t="s">
        <v>535</v>
      </c>
      <c r="O58" s="25">
        <v>0.5</v>
      </c>
      <c r="R58" s="171">
        <f t="shared" ref="R58:R77" si="114">AL58</f>
        <v>0.10662369265743116</v>
      </c>
      <c r="S58" s="171">
        <f t="shared" si="66"/>
        <v>5.0378826016155842E-3</v>
      </c>
      <c r="T58" s="171"/>
      <c r="U58" s="173"/>
      <c r="V58" s="3">
        <f t="shared" ref="V58:V63" si="115">(T58+T57)/2*(R58-R57)</f>
        <v>0</v>
      </c>
      <c r="AA58" s="165" t="s">
        <v>118</v>
      </c>
      <c r="AB58" s="3">
        <f>AS26</f>
        <v>54.8368921163</v>
      </c>
      <c r="AC58" s="165" t="s">
        <v>118</v>
      </c>
      <c r="AD58" s="3">
        <f>AS36</f>
        <v>53.687828419354517</v>
      </c>
      <c r="AE58" s="165" t="s">
        <v>118</v>
      </c>
      <c r="AF58" s="3">
        <f>AS46</f>
        <v>52.651891348638038</v>
      </c>
      <c r="AG58" s="2"/>
      <c r="AH58" s="2"/>
      <c r="AK58">
        <v>2</v>
      </c>
      <c r="AL58">
        <f t="shared" si="67"/>
        <v>0.10662369265743116</v>
      </c>
      <c r="AM58">
        <f t="shared" ref="AM58:AM77" si="116">$AT$17*AL58</f>
        <v>446.42206523901052</v>
      </c>
      <c r="AN58">
        <f t="shared" si="68"/>
        <v>-103.4418688964933</v>
      </c>
      <c r="AO58">
        <f t="shared" ref="AO58:AO66" si="117">DEGREES(ATAN(AN58/AP58))</f>
        <v>-22.38707643534412</v>
      </c>
      <c r="AP58">
        <f t="shared" si="69"/>
        <v>251.12954764672853</v>
      </c>
      <c r="AQ58">
        <f t="shared" si="70"/>
        <v>-549.86393413550377</v>
      </c>
      <c r="AR58">
        <f t="shared" si="71"/>
        <v>-65.453243315054848</v>
      </c>
      <c r="AS58">
        <f t="shared" si="72"/>
        <v>120.17564178086137</v>
      </c>
      <c r="AT58">
        <f t="shared" si="73"/>
        <v>96.203295033322917</v>
      </c>
      <c r="AU58">
        <f t="shared" ref="AU58:AU77" si="118">SQRT(AP58^2+AN58^2)</f>
        <v>271.59946601944893</v>
      </c>
      <c r="AV58">
        <f t="shared" si="74"/>
        <v>604.49681203809848</v>
      </c>
      <c r="AX58">
        <f t="shared" si="75"/>
        <v>4.8377880921907589E-4</v>
      </c>
      <c r="AY58">
        <f t="shared" si="76"/>
        <v>251.35821421634347</v>
      </c>
      <c r="AZ58">
        <f t="shared" ref="AZ58:AZ77" si="119">BH58/($BB$6*BF58)</f>
        <v>0.29881075867953227</v>
      </c>
      <c r="BA58">
        <f t="shared" si="77"/>
        <v>3.6331520128652262E-2</v>
      </c>
      <c r="BB58">
        <f t="shared" si="78"/>
        <v>10.75546943090362</v>
      </c>
      <c r="BC58">
        <f t="shared" si="79"/>
        <v>391231.45172335533</v>
      </c>
      <c r="BE58">
        <f t="shared" ref="BE58:BE77" si="120">$AK$2-BC58/$BB$1</f>
        <v>1084.4907647392297</v>
      </c>
      <c r="BF58">
        <f t="shared" si="80"/>
        <v>1054.7463010529193</v>
      </c>
      <c r="BG58">
        <f t="shared" si="81"/>
        <v>1202.0916219255903</v>
      </c>
      <c r="BH58">
        <f t="shared" si="82"/>
        <v>90186.976757479846</v>
      </c>
      <c r="BI58">
        <f t="shared" si="83"/>
        <v>0.26181296734157433</v>
      </c>
      <c r="BJ58" s="191">
        <f t="shared" si="84"/>
        <v>0.96504716533691837</v>
      </c>
      <c r="BK58" s="2">
        <f t="shared" si="85"/>
        <v>1056.4431985588942</v>
      </c>
      <c r="BL58" s="2">
        <f t="shared" si="86"/>
        <v>0.2581291453979645</v>
      </c>
      <c r="BM58" t="e">
        <f ca="1">[1]!cercha(AL58,$AH$72:$AI$74)</f>
        <v>#NAME?</v>
      </c>
      <c r="BN58">
        <f t="shared" si="87"/>
        <v>8.1069999999980654E-3</v>
      </c>
      <c r="BO58">
        <f t="shared" si="88"/>
        <v>0</v>
      </c>
      <c r="BP58" t="e">
        <f t="shared" ca="1" si="89"/>
        <v>#NAME?</v>
      </c>
      <c r="BR58" t="e">
        <f t="shared" ca="1" si="90"/>
        <v>#NAME?</v>
      </c>
      <c r="BS58" t="e">
        <f t="shared" ref="BS58:BS76" ca="1" si="121">BR58+BO58</f>
        <v>#NAME?</v>
      </c>
      <c r="BT58" t="e">
        <f t="shared" ca="1" si="91"/>
        <v>#NAME?</v>
      </c>
      <c r="BU58" t="e">
        <f t="shared" ca="1" si="92"/>
        <v>#NAME?</v>
      </c>
      <c r="BV58" t="e">
        <f t="shared" ref="BV58:BV77" ca="1" si="122">$BB$6*LOG(BU58)</f>
        <v>#NAME?</v>
      </c>
      <c r="BW58" t="e">
        <f t="shared" ca="1" si="93"/>
        <v>#NAME?</v>
      </c>
      <c r="BX58" t="e">
        <f t="shared" ca="1" si="94"/>
        <v>#NAME?</v>
      </c>
      <c r="BY58">
        <f t="shared" si="95"/>
        <v>1054.8106511336869</v>
      </c>
      <c r="BZ58" t="e">
        <f t="shared" ca="1" si="96"/>
        <v>#NAME?</v>
      </c>
      <c r="CA58" t="e">
        <f t="shared" ca="1" si="97"/>
        <v>#NAME?</v>
      </c>
      <c r="CB58" t="e">
        <f t="shared" ca="1" si="98"/>
        <v>#NAME?</v>
      </c>
      <c r="CC58" t="e">
        <f t="shared" ca="1" si="99"/>
        <v>#NAME?</v>
      </c>
      <c r="CD58" t="e">
        <f t="shared" ca="1" si="100"/>
        <v>#NAME?</v>
      </c>
      <c r="CE58" s="92" t="e">
        <f t="shared" ca="1" si="101"/>
        <v>#NAME?</v>
      </c>
      <c r="CF58" t="e">
        <f t="shared" ca="1" si="102"/>
        <v>#NAME?</v>
      </c>
      <c r="CH58">
        <f t="shared" si="103"/>
        <v>4.8377880921907589E-4</v>
      </c>
      <c r="CI58" t="e">
        <f t="shared" ref="CI58:CI76" ca="1" si="123">(BZ58+BZ59)/2</f>
        <v>#NAME?</v>
      </c>
      <c r="CJ58" t="e">
        <f t="shared" ref="CJ58:CJ77" ca="1" si="124">CR58/($BB$6*CO58)</f>
        <v>#NAME?</v>
      </c>
      <c r="CK58" t="e">
        <f t="shared" ref="CK58:CK76" ca="1" si="125">CI58*CH58*(CJ58+CJ59)*0.5</f>
        <v>#NAME?</v>
      </c>
      <c r="CL58" t="e">
        <f t="shared" ca="1" si="104"/>
        <v>#NAME?</v>
      </c>
      <c r="CM58">
        <f t="shared" si="105"/>
        <v>391231.45172335533</v>
      </c>
      <c r="CN58">
        <f t="shared" ref="CN58:CN77" si="126">$AK$2-CM58/$BB$1</f>
        <v>1084.4907647392297</v>
      </c>
      <c r="CO58" t="e">
        <f t="shared" ref="CO58:CO77" ca="1" si="127">CN58-CA58^2/2/$BB$1</f>
        <v>#NAME?</v>
      </c>
      <c r="CP58" t="e">
        <f t="shared" ca="1" si="106"/>
        <v>#NAME?</v>
      </c>
      <c r="CQ58" t="e">
        <f t="shared" ref="CQ58:CQ76" ca="1" si="128">CO58+CB58^2/(2*$BB$1)</f>
        <v>#NAME?</v>
      </c>
      <c r="CR58" t="e">
        <f ca="1">BT58*(CO58/CQ58)^$BB$5</f>
        <v>#NAME?</v>
      </c>
      <c r="CS58" t="e">
        <f t="shared" ca="1" si="107"/>
        <v>#NAME?</v>
      </c>
      <c r="CT58" t="e">
        <f t="shared" ca="1" si="108"/>
        <v>#NAME?</v>
      </c>
      <c r="CV58">
        <f t="shared" si="109"/>
        <v>0.26181296734157494</v>
      </c>
      <c r="CW58" t="e">
        <f t="shared" ca="1" si="110"/>
        <v>#NAME?</v>
      </c>
      <c r="CY58" t="e">
        <f ca="1">(BS58+BS57)/2*CK57</f>
        <v>#NAME?</v>
      </c>
    </row>
    <row r="59" spans="1:105" x14ac:dyDescent="0.25">
      <c r="A59" s="3" t="s">
        <v>525</v>
      </c>
      <c r="B59" s="3">
        <f>CP41</f>
        <v>0.63700645701635905</v>
      </c>
      <c r="C59" s="2"/>
      <c r="D59" s="2"/>
      <c r="G59" s="171">
        <f t="shared" si="111"/>
        <v>0.10734339017194768</v>
      </c>
      <c r="H59" s="171">
        <f t="shared" si="112"/>
        <v>3.5984875725825483E-3</v>
      </c>
      <c r="I59" s="171">
        <f t="shared" si="65"/>
        <v>1</v>
      </c>
      <c r="J59" s="171">
        <f t="shared" ref="J59:J66" si="129">IF(H59&lt;=0,0,TAN($F$57)*H59)</f>
        <v>10.240413300509017</v>
      </c>
      <c r="K59" s="3">
        <f t="shared" si="113"/>
        <v>6.6329999999984006E-3</v>
      </c>
      <c r="L59" s="73"/>
      <c r="M59" s="73"/>
      <c r="N59" s="3" t="s">
        <v>536</v>
      </c>
      <c r="O59" s="3">
        <f>CP35</f>
        <v>1.439395029033021E-2</v>
      </c>
      <c r="P59" s="132" t="s">
        <v>538</v>
      </c>
      <c r="Q59" s="73"/>
      <c r="R59" s="171">
        <f t="shared" si="114"/>
        <v>0.10734339017194768</v>
      </c>
      <c r="S59" s="171">
        <f t="shared" si="66"/>
        <v>4.3181850870990662E-3</v>
      </c>
      <c r="T59" s="171"/>
      <c r="U59" s="173"/>
      <c r="V59" s="3">
        <f t="shared" si="115"/>
        <v>0</v>
      </c>
      <c r="W59" s="73"/>
      <c r="X59" s="73"/>
      <c r="AA59" s="165" t="s">
        <v>73</v>
      </c>
      <c r="AB59" s="3">
        <f>AR57</f>
        <v>-65.447620332155708</v>
      </c>
      <c r="AC59" s="165" t="s">
        <v>73</v>
      </c>
      <c r="AD59" s="3">
        <f>AR67</f>
        <v>-65.597568372395116</v>
      </c>
      <c r="AE59" s="165" t="s">
        <v>73</v>
      </c>
      <c r="AF59" s="3">
        <f>AR77</f>
        <v>-65.915529195387549</v>
      </c>
      <c r="AG59" t="s">
        <v>514</v>
      </c>
      <c r="AH59">
        <v>0.23</v>
      </c>
      <c r="AK59">
        <v>3</v>
      </c>
      <c r="AL59">
        <f t="shared" si="67"/>
        <v>0.10734339017194768</v>
      </c>
      <c r="AM59">
        <f t="shared" si="116"/>
        <v>449.43536221616654</v>
      </c>
      <c r="AN59">
        <f t="shared" si="68"/>
        <v>-101.63097694131187</v>
      </c>
      <c r="AO59">
        <f t="shared" si="117"/>
        <v>-21.996726307265863</v>
      </c>
      <c r="AP59">
        <f t="shared" si="69"/>
        <v>251.58688078595844</v>
      </c>
      <c r="AQ59">
        <f t="shared" si="70"/>
        <v>-551.06633915747841</v>
      </c>
      <c r="AR59">
        <f t="shared" si="71"/>
        <v>-65.461142916202675</v>
      </c>
      <c r="AS59">
        <f t="shared" si="72"/>
        <v>120.06868857632762</v>
      </c>
      <c r="AT59">
        <f t="shared" si="73"/>
        <v>95.966324473883176</v>
      </c>
      <c r="AU59">
        <f t="shared" si="118"/>
        <v>271.33892838598285</v>
      </c>
      <c r="AV59">
        <f t="shared" si="74"/>
        <v>605.78054502933082</v>
      </c>
      <c r="AX59">
        <f t="shared" si="75"/>
        <v>4.8703327623303259E-4</v>
      </c>
      <c r="AY59">
        <f t="shared" si="76"/>
        <v>251.80889377193216</v>
      </c>
      <c r="AZ59">
        <f t="shared" si="119"/>
        <v>0.29873840313962319</v>
      </c>
      <c r="BA59">
        <f t="shared" si="77"/>
        <v>3.6632333850987353E-2</v>
      </c>
      <c r="BB59">
        <f t="shared" si="78"/>
        <v>9.6804058693617101</v>
      </c>
      <c r="BC59">
        <f t="shared" si="79"/>
        <v>391142.59146524937</v>
      </c>
      <c r="BE59">
        <f t="shared" si="120"/>
        <v>1084.5624262377021</v>
      </c>
      <c r="BF59">
        <f t="shared" si="80"/>
        <v>1054.8750012144546</v>
      </c>
      <c r="BG59">
        <f t="shared" si="81"/>
        <v>1202.8468031241455</v>
      </c>
      <c r="BH59">
        <f t="shared" si="82"/>
        <v>90176.14038107208</v>
      </c>
      <c r="BI59">
        <f t="shared" si="83"/>
        <v>0.26911214115938059</v>
      </c>
      <c r="BJ59" s="191">
        <f t="shared" si="84"/>
        <v>0.96703757994012263</v>
      </c>
      <c r="BK59" s="2">
        <f t="shared" si="85"/>
        <v>1056.3926070533598</v>
      </c>
      <c r="BL59" s="2">
        <f t="shared" si="86"/>
        <v>0.26585060849186948</v>
      </c>
      <c r="BM59" t="e">
        <f ca="1">[1]!cercha(AL59,$AH$72:$AI$74)</f>
        <v>#NAME?</v>
      </c>
      <c r="BN59">
        <f t="shared" si="87"/>
        <v>6.6329999999984006E-3</v>
      </c>
      <c r="BO59">
        <f t="shared" si="88"/>
        <v>0</v>
      </c>
      <c r="BP59" t="e">
        <f t="shared" ca="1" si="89"/>
        <v>#NAME?</v>
      </c>
      <c r="BR59" t="e">
        <f t="shared" ca="1" si="90"/>
        <v>#NAME?</v>
      </c>
      <c r="BS59" t="e">
        <f t="shared" ca="1" si="121"/>
        <v>#NAME?</v>
      </c>
      <c r="BT59" t="e">
        <f t="shared" ca="1" si="91"/>
        <v>#NAME?</v>
      </c>
      <c r="BU59" t="e">
        <f t="shared" ca="1" si="92"/>
        <v>#NAME?</v>
      </c>
      <c r="BV59" t="e">
        <f t="shared" ca="1" si="122"/>
        <v>#NAME?</v>
      </c>
      <c r="BW59" t="e">
        <f t="shared" ca="1" si="93"/>
        <v>#NAME?</v>
      </c>
      <c r="BX59" t="e">
        <f t="shared" ca="1" si="94"/>
        <v>#NAME?</v>
      </c>
      <c r="BY59">
        <f t="shared" si="95"/>
        <v>1054.937956040493</v>
      </c>
      <c r="BZ59" t="e">
        <f t="shared" ca="1" si="96"/>
        <v>#NAME?</v>
      </c>
      <c r="CA59" t="e">
        <f t="shared" ca="1" si="97"/>
        <v>#NAME?</v>
      </c>
      <c r="CB59" t="e">
        <f t="shared" ca="1" si="98"/>
        <v>#NAME?</v>
      </c>
      <c r="CC59" t="e">
        <f t="shared" ca="1" si="99"/>
        <v>#NAME?</v>
      </c>
      <c r="CD59" t="e">
        <f t="shared" ca="1" si="100"/>
        <v>#NAME?</v>
      </c>
      <c r="CE59" s="92" t="e">
        <f t="shared" ca="1" si="101"/>
        <v>#NAME?</v>
      </c>
      <c r="CF59" t="e">
        <f t="shared" ca="1" si="102"/>
        <v>#NAME?</v>
      </c>
      <c r="CH59">
        <f t="shared" si="103"/>
        <v>4.8703327623303259E-4</v>
      </c>
      <c r="CI59" t="e">
        <f t="shared" ca="1" si="123"/>
        <v>#NAME?</v>
      </c>
      <c r="CJ59" t="e">
        <f t="shared" ca="1" si="124"/>
        <v>#NAME?</v>
      </c>
      <c r="CK59" t="e">
        <f t="shared" ca="1" si="125"/>
        <v>#NAME?</v>
      </c>
      <c r="CL59" t="e">
        <f t="shared" ca="1" si="104"/>
        <v>#NAME?</v>
      </c>
      <c r="CM59">
        <f t="shared" si="105"/>
        <v>391142.59146524937</v>
      </c>
      <c r="CN59">
        <f t="shared" si="126"/>
        <v>1084.5624262377021</v>
      </c>
      <c r="CO59" t="e">
        <f t="shared" ca="1" si="127"/>
        <v>#NAME?</v>
      </c>
      <c r="CP59" t="e">
        <f t="shared" ca="1" si="106"/>
        <v>#NAME?</v>
      </c>
      <c r="CQ59" t="e">
        <f t="shared" ca="1" si="128"/>
        <v>#NAME?</v>
      </c>
      <c r="CR59" t="e">
        <f t="shared" ref="CR59:CR77" ca="1" si="130">BT59*(CO59/CQ59)^$BB$5</f>
        <v>#NAME?</v>
      </c>
      <c r="CS59" t="e">
        <f t="shared" ca="1" si="107"/>
        <v>#NAME?</v>
      </c>
      <c r="CT59" t="e">
        <f t="shared" ca="1" si="108"/>
        <v>#NAME?</v>
      </c>
      <c r="CV59">
        <f t="shared" si="109"/>
        <v>0.26911214115938104</v>
      </c>
      <c r="CW59" t="e">
        <f t="shared" ca="1" si="110"/>
        <v>#NAME?</v>
      </c>
      <c r="CY59" t="e">
        <f ca="1">(BS59+BS58)/2*CK58</f>
        <v>#NAME?</v>
      </c>
    </row>
    <row r="60" spans="1:105" ht="15.75" thickBot="1" x14ac:dyDescent="0.3">
      <c r="A60" s="3" t="s">
        <v>518</v>
      </c>
      <c r="B60" s="3">
        <f>CP42</f>
        <v>1.0281393064521579E-2</v>
      </c>
      <c r="C60" s="2" t="s">
        <v>536</v>
      </c>
      <c r="D60" s="2" t="s">
        <v>603</v>
      </c>
      <c r="G60" s="171">
        <f t="shared" si="111"/>
        <v>0.10806308768646419</v>
      </c>
      <c r="H60" s="171">
        <f t="shared" si="112"/>
        <v>2.8787900580660303E-3</v>
      </c>
      <c r="I60" s="171">
        <f t="shared" si="65"/>
        <v>1</v>
      </c>
      <c r="J60" s="171">
        <f t="shared" si="129"/>
        <v>8.1923306404071905</v>
      </c>
      <c r="K60" s="3">
        <f t="shared" si="113"/>
        <v>5.1589999999986516E-3</v>
      </c>
      <c r="L60" s="73"/>
      <c r="M60" s="73"/>
      <c r="N60" s="3" t="s">
        <v>537</v>
      </c>
      <c r="O60" s="3">
        <f>O59*P60</f>
        <v>7.1969751451651061E-4</v>
      </c>
      <c r="P60" s="132">
        <v>0.05</v>
      </c>
      <c r="Q60" s="73"/>
      <c r="R60" s="171">
        <f t="shared" si="114"/>
        <v>0.10806308768646419</v>
      </c>
      <c r="S60" s="171">
        <f t="shared" si="66"/>
        <v>3.5984875725825483E-3</v>
      </c>
      <c r="T60" s="171"/>
      <c r="U60" s="173"/>
      <c r="V60" s="3">
        <f t="shared" si="115"/>
        <v>0</v>
      </c>
      <c r="W60" s="73"/>
      <c r="X60" s="73"/>
      <c r="AA60" s="165" t="s">
        <v>599</v>
      </c>
      <c r="AB60" s="3">
        <f>1-SIN(RADIANS(90+AB59))/SIN(RADIANS(90-AB58))</f>
        <v>0.27848482149173193</v>
      </c>
      <c r="AC60" s="165" t="s">
        <v>599</v>
      </c>
      <c r="AD60" s="3">
        <f>1-SIN(RADIANS(90+AD59))/SIN(RADIANS(90-AD58))</f>
        <v>0.3023404564131017</v>
      </c>
      <c r="AE60" s="165" t="s">
        <v>599</v>
      </c>
      <c r="AF60" s="3">
        <f>1-SIN(RADIANS(90+AF59))/SIN(RADIANS(90-AF58))</f>
        <v>0.32732395084008192</v>
      </c>
      <c r="AG60" s="2"/>
      <c r="AH60" s="2"/>
      <c r="AK60">
        <v>4</v>
      </c>
      <c r="AL60">
        <f t="shared" si="67"/>
        <v>0.10806308768646419</v>
      </c>
      <c r="AM60">
        <f t="shared" si="116"/>
        <v>452.4486591933225</v>
      </c>
      <c r="AN60">
        <f t="shared" si="68"/>
        <v>-99.847920554031475</v>
      </c>
      <c r="AO60">
        <f t="shared" si="117"/>
        <v>-21.612149461142948</v>
      </c>
      <c r="AP60">
        <f t="shared" si="69"/>
        <v>252.03090675790591</v>
      </c>
      <c r="AQ60">
        <f t="shared" si="70"/>
        <v>-552.29657974735392</v>
      </c>
      <c r="AR60">
        <f t="shared" si="71"/>
        <v>-65.471242383828169</v>
      </c>
      <c r="AS60">
        <f t="shared" si="72"/>
        <v>119.96365452842684</v>
      </c>
      <c r="AT60">
        <f t="shared" si="73"/>
        <v>95.737791552896155</v>
      </c>
      <c r="AU60">
        <f t="shared" si="118"/>
        <v>271.08888800571748</v>
      </c>
      <c r="AV60">
        <f t="shared" si="74"/>
        <v>607.08408804863063</v>
      </c>
      <c r="AX60">
        <f t="shared" si="75"/>
        <v>4.9028774324698929E-4</v>
      </c>
      <c r="AY60">
        <f t="shared" si="76"/>
        <v>252.24647747525898</v>
      </c>
      <c r="AZ60">
        <f t="shared" si="119"/>
        <v>0.29866113696139979</v>
      </c>
      <c r="BA60">
        <f t="shared" si="77"/>
        <v>3.6931350262703055E-2</v>
      </c>
      <c r="BB60">
        <f t="shared" si="78"/>
        <v>8.585580310804243</v>
      </c>
      <c r="BC60">
        <f t="shared" si="79"/>
        <v>391054.27792541304</v>
      </c>
      <c r="BE60">
        <f t="shared" si="120"/>
        <v>1084.6336468343443</v>
      </c>
      <c r="BF60">
        <f t="shared" si="80"/>
        <v>1055.0009108665313</v>
      </c>
      <c r="BG60">
        <f t="shared" si="81"/>
        <v>1203.6102213350141</v>
      </c>
      <c r="BH60">
        <f t="shared" si="82"/>
        <v>90163.577700701819</v>
      </c>
      <c r="BI60">
        <f t="shared" si="83"/>
        <v>0.27631664446359572</v>
      </c>
      <c r="BJ60" s="191">
        <f t="shared" si="84"/>
        <v>0.96906065871371294</v>
      </c>
      <c r="BK60" s="2">
        <f t="shared" si="85"/>
        <v>1056.3369119133017</v>
      </c>
      <c r="BL60" s="2">
        <f t="shared" si="86"/>
        <v>0.27347417203317304</v>
      </c>
      <c r="BM60" t="e">
        <f ca="1">[1]!cercha(AL60,$AH$72:$AI$74)</f>
        <v>#NAME?</v>
      </c>
      <c r="BN60">
        <f t="shared" si="87"/>
        <v>5.1589999999986516E-3</v>
      </c>
      <c r="BO60">
        <f t="shared" si="88"/>
        <v>0</v>
      </c>
      <c r="BP60" t="e">
        <f t="shared" ca="1" si="89"/>
        <v>#NAME?</v>
      </c>
      <c r="BR60" t="e">
        <f t="shared" ca="1" si="90"/>
        <v>#NAME?</v>
      </c>
      <c r="BS60" t="e">
        <f t="shared" ca="1" si="121"/>
        <v>#NAME?</v>
      </c>
      <c r="BT60" t="e">
        <f t="shared" ca="1" si="91"/>
        <v>#NAME?</v>
      </c>
      <c r="BU60" t="e">
        <f t="shared" ca="1" si="92"/>
        <v>#NAME?</v>
      </c>
      <c r="BV60" t="e">
        <f t="shared" ca="1" si="122"/>
        <v>#NAME?</v>
      </c>
      <c r="BW60" t="e">
        <f t="shared" ca="1" si="93"/>
        <v>#NAME?</v>
      </c>
      <c r="BX60" t="e">
        <f t="shared" ca="1" si="94"/>
        <v>#NAME?</v>
      </c>
      <c r="BY60">
        <f t="shared" si="95"/>
        <v>1055.0625209252839</v>
      </c>
      <c r="BZ60" t="e">
        <f t="shared" ca="1" si="96"/>
        <v>#NAME?</v>
      </c>
      <c r="CA60" t="e">
        <f t="shared" ca="1" si="97"/>
        <v>#NAME?</v>
      </c>
      <c r="CB60" t="e">
        <f t="shared" ca="1" si="98"/>
        <v>#NAME?</v>
      </c>
      <c r="CC60" t="e">
        <f t="shared" ca="1" si="99"/>
        <v>#NAME?</v>
      </c>
      <c r="CD60" t="e">
        <f t="shared" ca="1" si="100"/>
        <v>#NAME?</v>
      </c>
      <c r="CE60" s="92" t="e">
        <f t="shared" ca="1" si="101"/>
        <v>#NAME?</v>
      </c>
      <c r="CF60" t="e">
        <f t="shared" ca="1" si="102"/>
        <v>#NAME?</v>
      </c>
      <c r="CH60">
        <f t="shared" si="103"/>
        <v>4.9028774324698929E-4</v>
      </c>
      <c r="CI60" t="e">
        <f t="shared" ca="1" si="123"/>
        <v>#NAME?</v>
      </c>
      <c r="CJ60" t="e">
        <f t="shared" ca="1" si="124"/>
        <v>#NAME?</v>
      </c>
      <c r="CK60" t="e">
        <f t="shared" ca="1" si="125"/>
        <v>#NAME?</v>
      </c>
      <c r="CL60" t="e">
        <f t="shared" ca="1" si="104"/>
        <v>#NAME?</v>
      </c>
      <c r="CM60">
        <f t="shared" si="105"/>
        <v>391054.27792541304</v>
      </c>
      <c r="CN60">
        <f t="shared" si="126"/>
        <v>1084.6336468343443</v>
      </c>
      <c r="CO60" t="e">
        <f t="shared" ca="1" si="127"/>
        <v>#NAME?</v>
      </c>
      <c r="CP60" t="e">
        <f t="shared" ca="1" si="106"/>
        <v>#NAME?</v>
      </c>
      <c r="CQ60" t="e">
        <f t="shared" ca="1" si="128"/>
        <v>#NAME?</v>
      </c>
      <c r="CR60" t="e">
        <f t="shared" ca="1" si="130"/>
        <v>#NAME?</v>
      </c>
      <c r="CS60" t="e">
        <f t="shared" ca="1" si="107"/>
        <v>#NAME?</v>
      </c>
      <c r="CT60" t="e">
        <f t="shared" ca="1" si="108"/>
        <v>#NAME?</v>
      </c>
      <c r="CV60">
        <f t="shared" si="109"/>
        <v>0.27631664446359577</v>
      </c>
      <c r="CW60" t="e">
        <f t="shared" ca="1" si="110"/>
        <v>#NAME?</v>
      </c>
      <c r="CY60" t="e">
        <f t="shared" ref="CY60:CY76" ca="1" si="131">(BS60+BS59)/2*CK59</f>
        <v>#NAME?</v>
      </c>
    </row>
    <row r="61" spans="1:105" x14ac:dyDescent="0.25">
      <c r="A61" s="3" t="s">
        <v>519</v>
      </c>
      <c r="B61" s="3">
        <f>1/CP43</f>
        <v>0.7142857142857143</v>
      </c>
      <c r="C61" s="2">
        <f>1/B61*B60</f>
        <v>1.4393950290330209E-2</v>
      </c>
      <c r="D61" s="2">
        <f>B59*B60</f>
        <v>6.5493137692234568E-3</v>
      </c>
      <c r="F61" s="149" t="s">
        <v>578</v>
      </c>
      <c r="G61" s="174">
        <f t="shared" si="111"/>
        <v>0.1087827852009807</v>
      </c>
      <c r="H61" s="171">
        <f t="shared" si="112"/>
        <v>2.1590925435495262E-3</v>
      </c>
      <c r="I61" s="171">
        <f t="shared" si="65"/>
        <v>1</v>
      </c>
      <c r="J61" s="171">
        <f t="shared" si="129"/>
        <v>6.1442479803054022</v>
      </c>
      <c r="K61" s="3">
        <f t="shared" si="113"/>
        <v>3.6849999999990449E-3</v>
      </c>
      <c r="N61" s="3" t="s">
        <v>118</v>
      </c>
      <c r="O61" s="3">
        <f>AX11</f>
        <v>54.754865234663527</v>
      </c>
      <c r="Q61" s="73"/>
      <c r="R61" s="171">
        <f t="shared" si="114"/>
        <v>0.1087827852009807</v>
      </c>
      <c r="S61" s="171">
        <f t="shared" si="66"/>
        <v>2.8787900580660442E-3</v>
      </c>
      <c r="T61" s="171"/>
      <c r="U61" s="173"/>
      <c r="V61" s="3">
        <f t="shared" si="115"/>
        <v>0</v>
      </c>
      <c r="AA61" s="165" t="s">
        <v>551</v>
      </c>
      <c r="AB61" s="3">
        <v>1.25</v>
      </c>
      <c r="AC61" s="165" t="s">
        <v>551</v>
      </c>
      <c r="AD61" s="3">
        <v>1.25</v>
      </c>
      <c r="AE61" s="165" t="s">
        <v>551</v>
      </c>
      <c r="AF61" s="3">
        <v>1.25</v>
      </c>
      <c r="AG61" s="2"/>
      <c r="AH61" s="2"/>
      <c r="AK61">
        <v>5</v>
      </c>
      <c r="AL61">
        <f t="shared" si="67"/>
        <v>0.1087827852009807</v>
      </c>
      <c r="AM61">
        <f t="shared" si="116"/>
        <v>455.46195617047846</v>
      </c>
      <c r="AN61">
        <f t="shared" si="68"/>
        <v>-98.092110459304422</v>
      </c>
      <c r="AO61">
        <f t="shared" si="117"/>
        <v>-21.233239437748786</v>
      </c>
      <c r="AP61">
        <f t="shared" si="69"/>
        <v>252.46204819261203</v>
      </c>
      <c r="AQ61">
        <f t="shared" si="70"/>
        <v>-553.55406662978294</v>
      </c>
      <c r="AR61">
        <f t="shared" si="71"/>
        <v>-65.483467351695012</v>
      </c>
      <c r="AS61">
        <f t="shared" si="72"/>
        <v>119.86055436058521</v>
      </c>
      <c r="AT61">
        <f t="shared" si="73"/>
        <v>95.517670606542964</v>
      </c>
      <c r="AU61">
        <f t="shared" si="118"/>
        <v>270.84893928529448</v>
      </c>
      <c r="AV61">
        <f t="shared" si="74"/>
        <v>608.4070927101186</v>
      </c>
      <c r="AX61">
        <f t="shared" si="75"/>
        <v>4.9354221026094594E-4</v>
      </c>
      <c r="AY61">
        <f t="shared" si="76"/>
        <v>252.6713796819912</v>
      </c>
      <c r="AZ61">
        <f t="shared" si="119"/>
        <v>0.29857906743560675</v>
      </c>
      <c r="BA61">
        <f t="shared" si="77"/>
        <v>3.7228591153004954E-2</v>
      </c>
      <c r="BB61">
        <f t="shared" si="78"/>
        <v>7.4704670319765851</v>
      </c>
      <c r="BC61">
        <f t="shared" si="79"/>
        <v>390966.50362381036</v>
      </c>
      <c r="BE61">
        <f t="shared" si="120"/>
        <v>1084.7044325614434</v>
      </c>
      <c r="BF61">
        <f t="shared" si="80"/>
        <v>1055.1241309840364</v>
      </c>
      <c r="BG61">
        <f t="shared" si="81"/>
        <v>1204.3818690727376</v>
      </c>
      <c r="BH61">
        <f t="shared" si="82"/>
        <v>90149.329391986874</v>
      </c>
      <c r="BI61">
        <f t="shared" si="83"/>
        <v>0.28342806402124104</v>
      </c>
      <c r="BJ61" s="191">
        <f t="shared" si="84"/>
        <v>0.97111580108087414</v>
      </c>
      <c r="BK61" s="2">
        <f t="shared" si="85"/>
        <v>1056.2762141136066</v>
      </c>
      <c r="BL61" s="2">
        <f t="shared" si="86"/>
        <v>0.28100141482156016</v>
      </c>
      <c r="BM61" t="e">
        <f ca="1">[1]!cercha(AL61,$AH$72:$AI$74)</f>
        <v>#NAME?</v>
      </c>
      <c r="BN61">
        <f t="shared" si="87"/>
        <v>3.6849999999990449E-3</v>
      </c>
      <c r="BO61">
        <f t="shared" si="88"/>
        <v>0</v>
      </c>
      <c r="BP61" t="e">
        <f t="shared" ca="1" si="89"/>
        <v>#NAME?</v>
      </c>
      <c r="BR61" t="e">
        <f t="shared" ca="1" si="90"/>
        <v>#NAME?</v>
      </c>
      <c r="BS61" t="e">
        <f t="shared" ca="1" si="121"/>
        <v>#NAME?</v>
      </c>
      <c r="BT61" t="e">
        <f t="shared" ca="1" si="91"/>
        <v>#NAME?</v>
      </c>
      <c r="BU61" t="e">
        <f t="shared" ca="1" si="92"/>
        <v>#NAME?</v>
      </c>
      <c r="BV61" t="e">
        <f t="shared" ca="1" si="122"/>
        <v>#NAME?</v>
      </c>
      <c r="BW61" t="e">
        <f t="shared" ca="1" si="93"/>
        <v>#NAME?</v>
      </c>
      <c r="BX61" t="e">
        <f t="shared" ca="1" si="94"/>
        <v>#NAME?</v>
      </c>
      <c r="BY61">
        <f t="shared" si="95"/>
        <v>1055.1844446850751</v>
      </c>
      <c r="BZ61" t="e">
        <f t="shared" ca="1" si="96"/>
        <v>#NAME?</v>
      </c>
      <c r="CA61" t="e">
        <f t="shared" ca="1" si="97"/>
        <v>#NAME?</v>
      </c>
      <c r="CB61" t="e">
        <f t="shared" ca="1" si="98"/>
        <v>#NAME?</v>
      </c>
      <c r="CC61" t="e">
        <f t="shared" ca="1" si="99"/>
        <v>#NAME?</v>
      </c>
      <c r="CD61" t="e">
        <f t="shared" ca="1" si="100"/>
        <v>#NAME?</v>
      </c>
      <c r="CE61" s="92" t="e">
        <f t="shared" ca="1" si="101"/>
        <v>#NAME?</v>
      </c>
      <c r="CF61" t="e">
        <f t="shared" ca="1" si="102"/>
        <v>#NAME?</v>
      </c>
      <c r="CH61">
        <f t="shared" si="103"/>
        <v>4.9354221026094594E-4</v>
      </c>
      <c r="CI61" t="e">
        <f t="shared" ca="1" si="123"/>
        <v>#NAME?</v>
      </c>
      <c r="CJ61" t="e">
        <f t="shared" ca="1" si="124"/>
        <v>#NAME?</v>
      </c>
      <c r="CK61" t="e">
        <f t="shared" ca="1" si="125"/>
        <v>#NAME?</v>
      </c>
      <c r="CL61" t="e">
        <f t="shared" ca="1" si="104"/>
        <v>#NAME?</v>
      </c>
      <c r="CM61">
        <f t="shared" si="105"/>
        <v>390966.50362381036</v>
      </c>
      <c r="CN61">
        <f t="shared" si="126"/>
        <v>1084.7044325614434</v>
      </c>
      <c r="CO61" t="e">
        <f t="shared" ca="1" si="127"/>
        <v>#NAME?</v>
      </c>
      <c r="CP61" t="e">
        <f t="shared" ca="1" si="106"/>
        <v>#NAME?</v>
      </c>
      <c r="CQ61" t="e">
        <f t="shared" ca="1" si="128"/>
        <v>#NAME?</v>
      </c>
      <c r="CR61" t="e">
        <f t="shared" ca="1" si="130"/>
        <v>#NAME?</v>
      </c>
      <c r="CS61" t="e">
        <f t="shared" ca="1" si="107"/>
        <v>#NAME?</v>
      </c>
      <c r="CT61" t="e">
        <f t="shared" ca="1" si="108"/>
        <v>#NAME?</v>
      </c>
      <c r="CV61">
        <f t="shared" si="109"/>
        <v>0.28342806402124121</v>
      </c>
      <c r="CW61" t="e">
        <f t="shared" ca="1" si="110"/>
        <v>#NAME?</v>
      </c>
      <c r="CY61" t="e">
        <f t="shared" ca="1" si="131"/>
        <v>#NAME?</v>
      </c>
    </row>
    <row r="62" spans="1:105" ht="15.75" thickBot="1" x14ac:dyDescent="0.3">
      <c r="A62" s="3" t="s">
        <v>520</v>
      </c>
      <c r="B62" s="3" t="e">
        <f ca="1">CP44</f>
        <v>#NAME?</v>
      </c>
      <c r="C62" s="2"/>
      <c r="D62" s="2"/>
      <c r="F62" s="176">
        <f>G62-G57</f>
        <v>3.5984875725825483E-3</v>
      </c>
      <c r="G62" s="174">
        <f t="shared" si="111"/>
        <v>0.1095024827154972</v>
      </c>
      <c r="H62" s="171">
        <f t="shared" si="112"/>
        <v>1.4393950290330221E-3</v>
      </c>
      <c r="I62" s="171">
        <f t="shared" si="65"/>
        <v>1</v>
      </c>
      <c r="J62" s="171">
        <f t="shared" si="129"/>
        <v>4.0961653202036148</v>
      </c>
      <c r="K62" s="3">
        <f t="shared" si="113"/>
        <v>2.2109999999994669E-3</v>
      </c>
      <c r="N62" s="3" t="s">
        <v>73</v>
      </c>
      <c r="O62" s="3">
        <f>AY11</f>
        <v>-65</v>
      </c>
      <c r="R62" s="171">
        <f t="shared" si="114"/>
        <v>0.1095024827154972</v>
      </c>
      <c r="S62" s="171">
        <f t="shared" si="66"/>
        <v>2.1590925435495401E-3</v>
      </c>
      <c r="T62" s="171"/>
      <c r="U62" s="173"/>
      <c r="V62" s="3">
        <f t="shared" si="115"/>
        <v>0</v>
      </c>
      <c r="Y62" s="291" t="s">
        <v>569</v>
      </c>
      <c r="Z62" s="311"/>
      <c r="AA62" s="165" t="s">
        <v>526</v>
      </c>
      <c r="AB62" s="3">
        <v>14.5</v>
      </c>
      <c r="AC62" s="165" t="s">
        <v>526</v>
      </c>
      <c r="AD62" s="3">
        <v>14.5</v>
      </c>
      <c r="AE62" s="165" t="s">
        <v>526</v>
      </c>
      <c r="AF62" s="3">
        <v>14.5</v>
      </c>
      <c r="AG62" s="2"/>
      <c r="AH62" s="2"/>
      <c r="AK62">
        <v>6</v>
      </c>
      <c r="AL62">
        <f t="shared" si="67"/>
        <v>0.1095024827154972</v>
      </c>
      <c r="AM62">
        <f t="shared" si="116"/>
        <v>458.47525314763436</v>
      </c>
      <c r="AN62">
        <f t="shared" si="68"/>
        <v>-96.362973477382184</v>
      </c>
      <c r="AO62">
        <f t="shared" si="117"/>
        <v>-20.859891912870633</v>
      </c>
      <c r="AP62">
        <f t="shared" si="69"/>
        <v>252.88071117137034</v>
      </c>
      <c r="AQ62">
        <f t="shared" si="70"/>
        <v>-554.83822662501655</v>
      </c>
      <c r="AR62">
        <f t="shared" si="71"/>
        <v>-65.497745755266479</v>
      </c>
      <c r="AS62">
        <f t="shared" si="72"/>
        <v>119.75941709558231</v>
      </c>
      <c r="AT62">
        <f t="shared" si="73"/>
        <v>95.305942921849507</v>
      </c>
      <c r="AU62">
        <f t="shared" si="118"/>
        <v>270.61869251760993</v>
      </c>
      <c r="AV62">
        <f t="shared" si="74"/>
        <v>609.74922042338949</v>
      </c>
      <c r="AX62">
        <f t="shared" si="75"/>
        <v>4.9679667727491354E-4</v>
      </c>
      <c r="AY62">
        <f t="shared" si="76"/>
        <v>253.08399859620027</v>
      </c>
      <c r="AZ62">
        <f t="shared" si="119"/>
        <v>0.29849229804964078</v>
      </c>
      <c r="BA62">
        <f t="shared" si="77"/>
        <v>3.7524077566158762E-2</v>
      </c>
      <c r="BB62">
        <f t="shared" si="78"/>
        <v>6.3345102699780238</v>
      </c>
      <c r="BC62">
        <f t="shared" si="79"/>
        <v>390879.26123124873</v>
      </c>
      <c r="BE62">
        <f t="shared" si="120"/>
        <v>1084.7747893296382</v>
      </c>
      <c r="BF62">
        <f t="shared" si="80"/>
        <v>1055.2447583861137</v>
      </c>
      <c r="BG62">
        <f t="shared" si="81"/>
        <v>1205.1617389534247</v>
      </c>
      <c r="BH62">
        <f t="shared" si="82"/>
        <v>90133.434655391844</v>
      </c>
      <c r="BI62">
        <f t="shared" si="83"/>
        <v>0.2904479582776136</v>
      </c>
      <c r="BJ62" s="191">
        <f t="shared" si="84"/>
        <v>0.97320242402672374</v>
      </c>
      <c r="BK62" s="2">
        <f t="shared" si="85"/>
        <v>1056.2106104734187</v>
      </c>
      <c r="BL62" s="2">
        <f t="shared" si="86"/>
        <v>0.28843388845329276</v>
      </c>
      <c r="BM62" t="e">
        <f ca="1">[1]!cercha(AL62,$AH$72:$AI$74)</f>
        <v>#NAME?</v>
      </c>
      <c r="BN62">
        <f t="shared" si="87"/>
        <v>2.2109999999994669E-3</v>
      </c>
      <c r="BO62">
        <f t="shared" si="88"/>
        <v>0</v>
      </c>
      <c r="BP62" t="e">
        <f t="shared" ca="1" si="89"/>
        <v>#NAME?</v>
      </c>
      <c r="BR62" t="e">
        <f t="shared" ca="1" si="90"/>
        <v>#NAME?</v>
      </c>
      <c r="BS62" t="e">
        <f t="shared" ca="1" si="121"/>
        <v>#NAME?</v>
      </c>
      <c r="BT62" t="e">
        <f t="shared" ca="1" si="91"/>
        <v>#NAME?</v>
      </c>
      <c r="BU62" t="e">
        <f t="shared" ca="1" si="92"/>
        <v>#NAME?</v>
      </c>
      <c r="BV62" t="e">
        <f t="shared" ca="1" si="122"/>
        <v>#NAME?</v>
      </c>
      <c r="BW62" t="e">
        <f t="shared" ca="1" si="93"/>
        <v>#NAME?</v>
      </c>
      <c r="BX62" t="e">
        <f t="shared" ca="1" si="94"/>
        <v>#NAME?</v>
      </c>
      <c r="BY62">
        <f t="shared" si="95"/>
        <v>1055.3038221566703</v>
      </c>
      <c r="BZ62" t="e">
        <f t="shared" ca="1" si="96"/>
        <v>#NAME?</v>
      </c>
      <c r="CA62" t="e">
        <f t="shared" ca="1" si="97"/>
        <v>#NAME?</v>
      </c>
      <c r="CB62" t="e">
        <f t="shared" ca="1" si="98"/>
        <v>#NAME?</v>
      </c>
      <c r="CC62" t="e">
        <f t="shared" ca="1" si="99"/>
        <v>#NAME?</v>
      </c>
      <c r="CD62" t="e">
        <f t="shared" ca="1" si="100"/>
        <v>#NAME?</v>
      </c>
      <c r="CE62" s="92" t="e">
        <f t="shared" ca="1" si="101"/>
        <v>#NAME?</v>
      </c>
      <c r="CF62" t="e">
        <f t="shared" ca="1" si="102"/>
        <v>#NAME?</v>
      </c>
      <c r="CH62">
        <f t="shared" si="103"/>
        <v>4.9679667727491354E-4</v>
      </c>
      <c r="CI62" t="e">
        <f t="shared" ca="1" si="123"/>
        <v>#NAME?</v>
      </c>
      <c r="CJ62" t="e">
        <f t="shared" ca="1" si="124"/>
        <v>#NAME?</v>
      </c>
      <c r="CK62" t="e">
        <f t="shared" ca="1" si="125"/>
        <v>#NAME?</v>
      </c>
      <c r="CL62" t="e">
        <f t="shared" ca="1" si="104"/>
        <v>#NAME?</v>
      </c>
      <c r="CM62">
        <f t="shared" si="105"/>
        <v>390879.26123124873</v>
      </c>
      <c r="CN62">
        <f t="shared" si="126"/>
        <v>1084.7747893296382</v>
      </c>
      <c r="CO62" t="e">
        <f t="shared" ca="1" si="127"/>
        <v>#NAME?</v>
      </c>
      <c r="CP62" t="e">
        <f t="shared" ca="1" si="106"/>
        <v>#NAME?</v>
      </c>
      <c r="CQ62" t="e">
        <f t="shared" ca="1" si="128"/>
        <v>#NAME?</v>
      </c>
      <c r="CR62" t="e">
        <f t="shared" ca="1" si="130"/>
        <v>#NAME?</v>
      </c>
      <c r="CS62" t="e">
        <f t="shared" ca="1" si="107"/>
        <v>#NAME?</v>
      </c>
      <c r="CT62" t="e">
        <f t="shared" ca="1" si="108"/>
        <v>#NAME?</v>
      </c>
      <c r="CV62">
        <f t="shared" si="109"/>
        <v>0.29044795827761366</v>
      </c>
      <c r="CW62" t="e">
        <f t="shared" ca="1" si="110"/>
        <v>#NAME?</v>
      </c>
      <c r="CY62" t="e">
        <f t="shared" ca="1" si="131"/>
        <v>#NAME?</v>
      </c>
    </row>
    <row r="63" spans="1:105" x14ac:dyDescent="0.25">
      <c r="A63" s="3" t="s">
        <v>521</v>
      </c>
      <c r="B63" s="3">
        <f>CP45</f>
        <v>4.6429174727589699E-3</v>
      </c>
      <c r="C63" s="2"/>
      <c r="D63" s="2"/>
      <c r="G63" s="171">
        <f t="shared" si="111"/>
        <v>0.11022218023001372</v>
      </c>
      <c r="H63" s="171">
        <f t="shared" si="112"/>
        <v>7.196975145165041E-4</v>
      </c>
      <c r="I63" s="171">
        <f t="shared" si="65"/>
        <v>1</v>
      </c>
      <c r="J63" s="171">
        <f t="shared" si="129"/>
        <v>2.0480826601017879</v>
      </c>
      <c r="K63" s="3">
        <f t="shared" si="113"/>
        <v>7.3699999999981766E-4</v>
      </c>
      <c r="N63" s="3" t="s">
        <v>539</v>
      </c>
      <c r="O63" s="3">
        <f>-O62</f>
        <v>65</v>
      </c>
      <c r="R63" s="171">
        <f t="shared" si="114"/>
        <v>0.11022218023001372</v>
      </c>
      <c r="S63" s="171">
        <f t="shared" si="66"/>
        <v>1.4393950290330221E-3</v>
      </c>
      <c r="T63" s="171"/>
      <c r="U63" s="173"/>
      <c r="V63" s="3">
        <f t="shared" si="115"/>
        <v>0</v>
      </c>
      <c r="AA63" s="165" t="s">
        <v>527</v>
      </c>
      <c r="AB63" s="3">
        <f>$B$59*AB62</f>
        <v>9.2365936267372071</v>
      </c>
      <c r="AC63" s="165" t="s">
        <v>527</v>
      </c>
      <c r="AD63" s="3">
        <f>$B$59*AD62</f>
        <v>9.2365936267372071</v>
      </c>
      <c r="AE63" s="165" t="s">
        <v>527</v>
      </c>
      <c r="AF63" s="3">
        <f>$B$59*AF62</f>
        <v>9.2365936267372071</v>
      </c>
      <c r="AG63" s="2"/>
      <c r="AH63" s="2"/>
      <c r="AK63">
        <v>7</v>
      </c>
      <c r="AL63">
        <f t="shared" si="67"/>
        <v>0.11022218023001372</v>
      </c>
      <c r="AM63">
        <f t="shared" si="116"/>
        <v>461.48855012479038</v>
      </c>
      <c r="AN63">
        <f t="shared" si="68"/>
        <v>-94.659951984858594</v>
      </c>
      <c r="AO63">
        <f t="shared" si="117"/>
        <v>-20.492004654770437</v>
      </c>
      <c r="AP63">
        <f t="shared" si="69"/>
        <v>253.28728602103018</v>
      </c>
      <c r="AQ63">
        <f t="shared" si="70"/>
        <v>-556.14850210964892</v>
      </c>
      <c r="AR63">
        <f t="shared" si="71"/>
        <v>-65.514007751649771</v>
      </c>
      <c r="AS63">
        <f t="shared" si="72"/>
        <v>119.66028752329686</v>
      </c>
      <c r="AT63">
        <f t="shared" si="73"/>
        <v>95.102597097371273</v>
      </c>
      <c r="AU63">
        <f t="shared" si="118"/>
        <v>270.39777323357322</v>
      </c>
      <c r="AV63">
        <f t="shared" si="74"/>
        <v>611.11014200281875</v>
      </c>
      <c r="AX63">
        <f t="shared" si="75"/>
        <v>5.0005114428887572E-4</v>
      </c>
      <c r="AY63">
        <f t="shared" si="76"/>
        <v>253.4847170417417</v>
      </c>
      <c r="AZ63">
        <f t="shared" si="119"/>
        <v>0.29840092866082624</v>
      </c>
      <c r="BA63">
        <f t="shared" si="77"/>
        <v>3.7817829834617442E-2</v>
      </c>
      <c r="BB63">
        <f t="shared" si="78"/>
        <v>5.177121009536962</v>
      </c>
      <c r="BC63">
        <f t="shared" si="79"/>
        <v>390792.54356540123</v>
      </c>
      <c r="BE63">
        <f t="shared" si="120"/>
        <v>1084.844722931128</v>
      </c>
      <c r="BF63">
        <f t="shared" si="80"/>
        <v>1055.3628859272269</v>
      </c>
      <c r="BG63">
        <f t="shared" si="81"/>
        <v>1205.9498236928339</v>
      </c>
      <c r="BH63">
        <f t="shared" si="82"/>
        <v>90115.931282589052</v>
      </c>
      <c r="BI63">
        <f t="shared" si="83"/>
        <v>0.29737785768288577</v>
      </c>
      <c r="BJ63" s="191">
        <f t="shared" si="84"/>
        <v>0.97531996137865862</v>
      </c>
      <c r="BK63" s="2">
        <f t="shared" si="85"/>
        <v>1056.1401938472013</v>
      </c>
      <c r="BL63" s="2">
        <f t="shared" si="86"/>
        <v>0.29577311758365837</v>
      </c>
      <c r="BM63" t="e">
        <f ca="1">[1]!cercha(AL63,$AH$72:$AI$74)</f>
        <v>#NAME?</v>
      </c>
      <c r="BN63">
        <f t="shared" si="87"/>
        <v>7.3699999999981766E-4</v>
      </c>
      <c r="BO63">
        <f t="shared" si="88"/>
        <v>0</v>
      </c>
      <c r="BP63" t="e">
        <f t="shared" ca="1" si="89"/>
        <v>#NAME?</v>
      </c>
      <c r="BR63" t="e">
        <f t="shared" ca="1" si="90"/>
        <v>#NAME?</v>
      </c>
      <c r="BS63" t="e">
        <f t="shared" ca="1" si="121"/>
        <v>#NAME?</v>
      </c>
      <c r="BT63" t="e">
        <f t="shared" ca="1" si="91"/>
        <v>#NAME?</v>
      </c>
      <c r="BU63" t="e">
        <f t="shared" ca="1" si="92"/>
        <v>#NAME?</v>
      </c>
      <c r="BV63" t="e">
        <f t="shared" ca="1" si="122"/>
        <v>#NAME?</v>
      </c>
      <c r="BW63" t="e">
        <f t="shared" ca="1" si="93"/>
        <v>#NAME?</v>
      </c>
      <c r="BX63" t="e">
        <f t="shared" ca="1" si="94"/>
        <v>#NAME?</v>
      </c>
      <c r="BY63">
        <f t="shared" si="95"/>
        <v>1055.4207443028401</v>
      </c>
      <c r="BZ63" t="e">
        <f t="shared" ca="1" si="96"/>
        <v>#NAME?</v>
      </c>
      <c r="CA63" t="e">
        <f t="shared" ca="1" si="97"/>
        <v>#NAME?</v>
      </c>
      <c r="CB63" t="e">
        <f t="shared" ca="1" si="98"/>
        <v>#NAME?</v>
      </c>
      <c r="CC63" t="e">
        <f t="shared" ca="1" si="99"/>
        <v>#NAME?</v>
      </c>
      <c r="CD63" t="e">
        <f t="shared" ca="1" si="100"/>
        <v>#NAME?</v>
      </c>
      <c r="CE63" s="92" t="e">
        <f t="shared" ca="1" si="101"/>
        <v>#NAME?</v>
      </c>
      <c r="CF63" t="e">
        <f t="shared" ca="1" si="102"/>
        <v>#NAME?</v>
      </c>
      <c r="CH63">
        <f t="shared" si="103"/>
        <v>5.0005114428887572E-4</v>
      </c>
      <c r="CI63" t="e">
        <f t="shared" ca="1" si="123"/>
        <v>#NAME?</v>
      </c>
      <c r="CJ63" t="e">
        <f t="shared" ca="1" si="124"/>
        <v>#NAME?</v>
      </c>
      <c r="CK63" t="e">
        <f t="shared" ca="1" si="125"/>
        <v>#NAME?</v>
      </c>
      <c r="CL63" t="e">
        <f t="shared" ca="1" si="104"/>
        <v>#NAME?</v>
      </c>
      <c r="CM63">
        <f t="shared" si="105"/>
        <v>390792.54356540123</v>
      </c>
      <c r="CN63">
        <f t="shared" si="126"/>
        <v>1084.844722931128</v>
      </c>
      <c r="CO63" t="e">
        <f t="shared" ca="1" si="127"/>
        <v>#NAME?</v>
      </c>
      <c r="CP63" t="e">
        <f t="shared" ca="1" si="106"/>
        <v>#NAME?</v>
      </c>
      <c r="CQ63" t="e">
        <f t="shared" ca="1" si="128"/>
        <v>#NAME?</v>
      </c>
      <c r="CR63" t="e">
        <f t="shared" ca="1" si="130"/>
        <v>#NAME?</v>
      </c>
      <c r="CS63" t="e">
        <f t="shared" ca="1" si="107"/>
        <v>#NAME?</v>
      </c>
      <c r="CT63" t="e">
        <f t="shared" ca="1" si="108"/>
        <v>#NAME?</v>
      </c>
      <c r="CV63">
        <f t="shared" si="109"/>
        <v>0.29737785768288588</v>
      </c>
      <c r="CW63" t="e">
        <f t="shared" ca="1" si="110"/>
        <v>#NAME?</v>
      </c>
      <c r="CY63" t="e">
        <f t="shared" ca="1" si="131"/>
        <v>#NAME?</v>
      </c>
    </row>
    <row r="64" spans="1:105" x14ac:dyDescent="0.25">
      <c r="A64" s="3" t="s">
        <v>522</v>
      </c>
      <c r="B64" s="3" t="e">
        <f ca="1">CP46</f>
        <v>#NAME?</v>
      </c>
      <c r="C64" s="2" t="e">
        <f ca="1">B64/100000</f>
        <v>#NAME?</v>
      </c>
      <c r="D64" s="2"/>
      <c r="G64" s="171">
        <f t="shared" si="111"/>
        <v>0.11094187774453024</v>
      </c>
      <c r="H64" s="171">
        <f t="shared" si="112"/>
        <v>0</v>
      </c>
      <c r="I64" s="171">
        <f t="shared" si="65"/>
        <v>0</v>
      </c>
      <c r="J64" s="171">
        <f t="shared" si="129"/>
        <v>0</v>
      </c>
      <c r="K64" s="3">
        <f t="shared" si="113"/>
        <v>0</v>
      </c>
      <c r="N64" s="3" t="s">
        <v>541</v>
      </c>
      <c r="O64" s="3">
        <v>54.8</v>
      </c>
      <c r="P64">
        <f>90-O61</f>
        <v>35.245134765336473</v>
      </c>
      <c r="R64" s="171">
        <f t="shared" si="114"/>
        <v>0.11094187774453024</v>
      </c>
      <c r="S64" s="171">
        <f t="shared" si="66"/>
        <v>7.196975145165041E-4</v>
      </c>
      <c r="T64" s="171"/>
      <c r="U64" s="173"/>
      <c r="V64" s="3">
        <f t="shared" ref="V64:V76" si="132">(T64+T63)/2*(R64-R63)</f>
        <v>0</v>
      </c>
      <c r="AA64" s="165"/>
      <c r="AB64" s="3"/>
      <c r="AC64" s="165"/>
      <c r="AD64" s="3"/>
      <c r="AE64" s="165"/>
      <c r="AF64" s="3"/>
      <c r="AG64" s="2"/>
      <c r="AH64" s="2"/>
      <c r="AK64">
        <v>8</v>
      </c>
      <c r="AL64">
        <f t="shared" si="67"/>
        <v>0.11094187774453024</v>
      </c>
      <c r="AM64">
        <f t="shared" si="116"/>
        <v>464.5018471019464</v>
      </c>
      <c r="AN64">
        <f t="shared" si="68"/>
        <v>-92.982503396804077</v>
      </c>
      <c r="AO64">
        <f t="shared" si="117"/>
        <v>-20.129477482808543</v>
      </c>
      <c r="AP64">
        <f t="shared" si="69"/>
        <v>253.68214806245325</v>
      </c>
      <c r="AQ64">
        <f t="shared" si="70"/>
        <v>-557.48435049875047</v>
      </c>
      <c r="AR64">
        <f t="shared" si="71"/>
        <v>-65.532185643088312</v>
      </c>
      <c r="AS64">
        <f t="shared" si="72"/>
        <v>119.5632278987398</v>
      </c>
      <c r="AT64">
        <f t="shared" si="73"/>
        <v>94.907629450237394</v>
      </c>
      <c r="AU64">
        <f t="shared" si="118"/>
        <v>270.18582158121683</v>
      </c>
      <c r="AV64">
        <f t="shared" si="74"/>
        <v>612.48953729561299</v>
      </c>
      <c r="AX64">
        <f t="shared" si="75"/>
        <v>5.0330561130282694E-4</v>
      </c>
      <c r="AY64">
        <f t="shared" si="76"/>
        <v>253.8739031893457</v>
      </c>
      <c r="AZ64">
        <f t="shared" si="119"/>
        <v>0.2983050556610426</v>
      </c>
      <c r="BA64">
        <f t="shared" si="77"/>
        <v>3.8109867610399827E-2</v>
      </c>
      <c r="BB64">
        <f t="shared" si="78"/>
        <v>3.9976734771173401</v>
      </c>
      <c r="BC64">
        <f t="shared" si="79"/>
        <v>390706.34358695918</v>
      </c>
      <c r="BE64">
        <f t="shared" si="120"/>
        <v>1084.9142390427749</v>
      </c>
      <c r="BF64">
        <f t="shared" si="80"/>
        <v>1055.4786026784534</v>
      </c>
      <c r="BG64">
        <f t="shared" si="81"/>
        <v>1206.7461161044994</v>
      </c>
      <c r="BH64">
        <f t="shared" si="82"/>
        <v>90096.855719557876</v>
      </c>
      <c r="BI64">
        <f t="shared" si="83"/>
        <v>0.30421926503417052</v>
      </c>
      <c r="BJ64" s="191">
        <f t="shared" si="84"/>
        <v>0.9774678631220588</v>
      </c>
      <c r="BK64" s="2">
        <f t="shared" si="85"/>
        <v>1056.065053306032</v>
      </c>
      <c r="BL64" s="2">
        <f t="shared" si="86"/>
        <v>0.30302060020849747</v>
      </c>
      <c r="BM64" t="e">
        <f ca="1">[1]!cercha(AL64,$AH$72:$AI$74)</f>
        <v>#NAME?</v>
      </c>
      <c r="BN64">
        <f t="shared" si="87"/>
        <v>0</v>
      </c>
      <c r="BO64">
        <f t="shared" si="88"/>
        <v>0</v>
      </c>
      <c r="BP64" t="e">
        <f t="shared" ca="1" si="89"/>
        <v>#NAME?</v>
      </c>
      <c r="BR64" t="e">
        <f t="shared" ca="1" si="90"/>
        <v>#NAME?</v>
      </c>
      <c r="BS64" t="e">
        <f t="shared" ca="1" si="121"/>
        <v>#NAME?</v>
      </c>
      <c r="BT64" t="e">
        <f t="shared" ca="1" si="91"/>
        <v>#NAME?</v>
      </c>
      <c r="BU64" t="e">
        <f t="shared" ca="1" si="92"/>
        <v>#NAME?</v>
      </c>
      <c r="BV64" t="e">
        <f t="shared" ca="1" si="122"/>
        <v>#NAME?</v>
      </c>
      <c r="BW64" t="e">
        <f t="shared" ca="1" si="93"/>
        <v>#NAME?</v>
      </c>
      <c r="BX64" t="e">
        <f t="shared" ca="1" si="94"/>
        <v>#NAME?</v>
      </c>
      <c r="BY64">
        <f t="shared" si="95"/>
        <v>1055.5352983890082</v>
      </c>
      <c r="BZ64" t="e">
        <f t="shared" ca="1" si="96"/>
        <v>#NAME?</v>
      </c>
      <c r="CA64" t="e">
        <f t="shared" ca="1" si="97"/>
        <v>#NAME?</v>
      </c>
      <c r="CB64" t="e">
        <f t="shared" ca="1" si="98"/>
        <v>#NAME?</v>
      </c>
      <c r="CC64" t="e">
        <f t="shared" ca="1" si="99"/>
        <v>#NAME?</v>
      </c>
      <c r="CD64" t="e">
        <f t="shared" ca="1" si="100"/>
        <v>#NAME?</v>
      </c>
      <c r="CE64" s="92" t="e">
        <f t="shared" ca="1" si="101"/>
        <v>#NAME?</v>
      </c>
      <c r="CF64" t="e">
        <f t="shared" ca="1" si="102"/>
        <v>#NAME?</v>
      </c>
      <c r="CH64">
        <f t="shared" si="103"/>
        <v>5.0330561130282694E-4</v>
      </c>
      <c r="CI64" t="e">
        <f t="shared" ca="1" si="123"/>
        <v>#NAME?</v>
      </c>
      <c r="CJ64" t="e">
        <f t="shared" ca="1" si="124"/>
        <v>#NAME?</v>
      </c>
      <c r="CK64" t="e">
        <f t="shared" ca="1" si="125"/>
        <v>#NAME?</v>
      </c>
      <c r="CL64" t="e">
        <f t="shared" ca="1" si="104"/>
        <v>#NAME?</v>
      </c>
      <c r="CM64">
        <f t="shared" si="105"/>
        <v>390706.34358695918</v>
      </c>
      <c r="CN64">
        <f t="shared" si="126"/>
        <v>1084.9142390427749</v>
      </c>
      <c r="CO64" t="e">
        <f t="shared" ca="1" si="127"/>
        <v>#NAME?</v>
      </c>
      <c r="CP64" t="e">
        <f t="shared" ca="1" si="106"/>
        <v>#NAME?</v>
      </c>
      <c r="CQ64" t="e">
        <f t="shared" ca="1" si="128"/>
        <v>#NAME?</v>
      </c>
      <c r="CR64" t="e">
        <f t="shared" ca="1" si="130"/>
        <v>#NAME?</v>
      </c>
      <c r="CS64" t="e">
        <f t="shared" ca="1" si="107"/>
        <v>#NAME?</v>
      </c>
      <c r="CT64" t="e">
        <f t="shared" ca="1" si="108"/>
        <v>#NAME?</v>
      </c>
      <c r="CV64">
        <f t="shared" si="109"/>
        <v>0.30421926503417035</v>
      </c>
      <c r="CW64" t="e">
        <f t="shared" ca="1" si="110"/>
        <v>#NAME?</v>
      </c>
      <c r="CY64" t="e">
        <f t="shared" ca="1" si="131"/>
        <v>#NAME?</v>
      </c>
    </row>
    <row r="65" spans="1:147" x14ac:dyDescent="0.25">
      <c r="A65" s="3" t="s">
        <v>524</v>
      </c>
      <c r="B65" s="3">
        <f>(AX8/AY8)^2</f>
        <v>0.32434201188816253</v>
      </c>
      <c r="C65" s="2"/>
      <c r="D65" s="2"/>
      <c r="G65" s="171">
        <f t="shared" si="111"/>
        <v>0.11166157525904674</v>
      </c>
      <c r="H65" s="171">
        <f t="shared" si="112"/>
        <v>-7.1969751451651798E-4</v>
      </c>
      <c r="I65" s="171">
        <f t="shared" si="65"/>
        <v>0</v>
      </c>
      <c r="J65" s="171">
        <f t="shared" si="129"/>
        <v>0</v>
      </c>
      <c r="K65" s="3">
        <f t="shared" si="113"/>
        <v>0</v>
      </c>
      <c r="N65" s="3" t="s">
        <v>542</v>
      </c>
      <c r="O65" s="3">
        <v>-64.5</v>
      </c>
      <c r="P65">
        <f>90-O63</f>
        <v>25</v>
      </c>
      <c r="R65" s="171">
        <f t="shared" si="114"/>
        <v>0.11166157525904674</v>
      </c>
      <c r="S65" s="171">
        <f t="shared" si="66"/>
        <v>0</v>
      </c>
      <c r="T65" s="171">
        <f>IF(S65&lt;=0,0,TAN(Q66)*S65)</f>
        <v>0</v>
      </c>
      <c r="U65" s="173"/>
      <c r="V65" s="3">
        <f t="shared" si="132"/>
        <v>0</v>
      </c>
      <c r="X65" s="291" t="s">
        <v>569</v>
      </c>
      <c r="Y65" s="291"/>
      <c r="Z65" s="311"/>
      <c r="AA65" s="166" t="s">
        <v>590</v>
      </c>
      <c r="AB65" s="38">
        <v>1.7</v>
      </c>
      <c r="AC65" s="166" t="s">
        <v>590</v>
      </c>
      <c r="AD65" s="38">
        <v>1.7</v>
      </c>
      <c r="AE65" s="166" t="s">
        <v>590</v>
      </c>
      <c r="AF65" s="38">
        <v>1.7</v>
      </c>
      <c r="AG65" s="32"/>
      <c r="AH65" s="32"/>
      <c r="AK65">
        <v>9</v>
      </c>
      <c r="AL65">
        <f t="shared" si="67"/>
        <v>0.11166157525904674</v>
      </c>
      <c r="AM65">
        <f t="shared" si="116"/>
        <v>467.5151440791023</v>
      </c>
      <c r="AN65">
        <f t="shared" si="68"/>
        <v>-91.330099669310925</v>
      </c>
      <c r="AO65">
        <f t="shared" si="117"/>
        <v>-19.772212227121578</v>
      </c>
      <c r="AP65">
        <f t="shared" si="69"/>
        <v>254.06565831623811</v>
      </c>
      <c r="AQ65">
        <f t="shared" si="70"/>
        <v>-558.84524374841317</v>
      </c>
      <c r="AR65">
        <f t="shared" si="71"/>
        <v>-65.552213803789684</v>
      </c>
      <c r="AS65">
        <f t="shared" si="72"/>
        <v>119.46831990861742</v>
      </c>
      <c r="AT65">
        <f t="shared" si="73"/>
        <v>94.721044475798152</v>
      </c>
      <c r="AU65">
        <f t="shared" si="118"/>
        <v>269.98249173098191</v>
      </c>
      <c r="AV65">
        <f t="shared" si="74"/>
        <v>613.88709482761305</v>
      </c>
      <c r="AX65">
        <f t="shared" si="75"/>
        <v>5.0656007831678912E-4</v>
      </c>
      <c r="AY65">
        <f t="shared" si="76"/>
        <v>254.25191124241502</v>
      </c>
      <c r="AZ65">
        <f t="shared" si="119"/>
        <v>0.2982047721331656</v>
      </c>
      <c r="BA65">
        <f t="shared" si="77"/>
        <v>3.8400209894828334E-2</v>
      </c>
      <c r="BB65">
        <f t="shared" si="78"/>
        <v>2.7955012927122982</v>
      </c>
      <c r="BC65">
        <f t="shared" si="79"/>
        <v>390620.65439590701</v>
      </c>
      <c r="BE65">
        <f t="shared" si="120"/>
        <v>1084.9833432291073</v>
      </c>
      <c r="BF65">
        <f t="shared" si="80"/>
        <v>1055.591994099563</v>
      </c>
      <c r="BG65">
        <f t="shared" si="81"/>
        <v>1207.5506090979043</v>
      </c>
      <c r="BH65">
        <f t="shared" si="82"/>
        <v>90076.243126593938</v>
      </c>
      <c r="BI65">
        <f t="shared" si="83"/>
        <v>0.31097365583093883</v>
      </c>
      <c r="BJ65" s="191">
        <f t="shared" si="84"/>
        <v>0.97964559474941981</v>
      </c>
      <c r="BK65" s="2">
        <f t="shared" si="85"/>
        <v>1055.9852743096808</v>
      </c>
      <c r="BL65" s="2">
        <f t="shared" si="86"/>
        <v>0.31017780796249828</v>
      </c>
      <c r="BM65" t="e">
        <f ca="1">[1]!cercha(AL65,$AH$72:$AI$74)</f>
        <v>#NAME?</v>
      </c>
      <c r="BN65">
        <f t="shared" si="87"/>
        <v>0</v>
      </c>
      <c r="BO65">
        <f t="shared" si="88"/>
        <v>0</v>
      </c>
      <c r="BP65" t="e">
        <f t="shared" ca="1" si="89"/>
        <v>#NAME?</v>
      </c>
      <c r="BR65" t="e">
        <f t="shared" ca="1" si="90"/>
        <v>#NAME?</v>
      </c>
      <c r="BS65" t="e">
        <f t="shared" ca="1" si="121"/>
        <v>#NAME?</v>
      </c>
      <c r="BT65" t="e">
        <f t="shared" ca="1" si="91"/>
        <v>#NAME?</v>
      </c>
      <c r="BU65" t="e">
        <f t="shared" ca="1" si="92"/>
        <v>#NAME?</v>
      </c>
      <c r="BV65" t="e">
        <f t="shared" ca="1" si="122"/>
        <v>#NAME?</v>
      </c>
      <c r="BW65" t="e">
        <f t="shared" ca="1" si="93"/>
        <v>#NAME?</v>
      </c>
      <c r="BX65" t="e">
        <f t="shared" ca="1" si="94"/>
        <v>#NAME?</v>
      </c>
      <c r="BY65">
        <f t="shared" si="95"/>
        <v>1055.6475681509792</v>
      </c>
      <c r="BZ65" t="e">
        <f t="shared" ca="1" si="96"/>
        <v>#NAME?</v>
      </c>
      <c r="CA65" t="e">
        <f t="shared" ca="1" si="97"/>
        <v>#NAME?</v>
      </c>
      <c r="CB65" t="e">
        <f t="shared" ca="1" si="98"/>
        <v>#NAME?</v>
      </c>
      <c r="CC65" t="e">
        <f t="shared" ca="1" si="99"/>
        <v>#NAME?</v>
      </c>
      <c r="CD65" t="e">
        <f t="shared" ca="1" si="100"/>
        <v>#NAME?</v>
      </c>
      <c r="CE65" s="92" t="e">
        <f t="shared" ca="1" si="101"/>
        <v>#NAME?</v>
      </c>
      <c r="CF65" t="e">
        <f t="shared" ca="1" si="102"/>
        <v>#NAME?</v>
      </c>
      <c r="CH65">
        <f t="shared" si="103"/>
        <v>5.0656007831678912E-4</v>
      </c>
      <c r="CI65" t="e">
        <f t="shared" ca="1" si="123"/>
        <v>#NAME?</v>
      </c>
      <c r="CJ65" t="e">
        <f t="shared" ca="1" si="124"/>
        <v>#NAME?</v>
      </c>
      <c r="CK65" t="e">
        <f t="shared" ca="1" si="125"/>
        <v>#NAME?</v>
      </c>
      <c r="CL65" t="e">
        <f t="shared" ca="1" si="104"/>
        <v>#NAME?</v>
      </c>
      <c r="CM65">
        <f t="shared" si="105"/>
        <v>390620.65439590701</v>
      </c>
      <c r="CN65">
        <f t="shared" si="126"/>
        <v>1084.9833432291073</v>
      </c>
      <c r="CO65" t="e">
        <f t="shared" ca="1" si="127"/>
        <v>#NAME?</v>
      </c>
      <c r="CP65" t="e">
        <f t="shared" ca="1" si="106"/>
        <v>#NAME?</v>
      </c>
      <c r="CQ65" t="e">
        <f t="shared" ca="1" si="128"/>
        <v>#NAME?</v>
      </c>
      <c r="CR65" t="e">
        <f t="shared" ca="1" si="130"/>
        <v>#NAME?</v>
      </c>
      <c r="CS65" t="e">
        <f t="shared" ca="1" si="107"/>
        <v>#NAME?</v>
      </c>
      <c r="CT65" t="e">
        <f t="shared" ca="1" si="108"/>
        <v>#NAME?</v>
      </c>
      <c r="CV65">
        <f t="shared" si="109"/>
        <v>0.31097365583093878</v>
      </c>
      <c r="CW65" t="e">
        <f t="shared" ca="1" si="110"/>
        <v>#NAME?</v>
      </c>
      <c r="CY65" t="e">
        <f t="shared" ca="1" si="131"/>
        <v>#NAME?</v>
      </c>
    </row>
    <row r="66" spans="1:147" x14ac:dyDescent="0.25">
      <c r="A66" s="3" t="s">
        <v>530</v>
      </c>
      <c r="B66" s="3">
        <f>AX11</f>
        <v>54.754865234663527</v>
      </c>
      <c r="C66" s="2"/>
      <c r="D66" s="2"/>
      <c r="G66" s="171">
        <f t="shared" si="111"/>
        <v>0.11238127277356325</v>
      </c>
      <c r="H66" s="171">
        <f t="shared" si="112"/>
        <v>-1.4393950290330221E-3</v>
      </c>
      <c r="I66" s="171">
        <f>IF(H66&lt;=0,0,1)</f>
        <v>0</v>
      </c>
      <c r="J66" s="171">
        <f t="shared" si="129"/>
        <v>0</v>
      </c>
      <c r="K66" s="3">
        <f t="shared" si="113"/>
        <v>0</v>
      </c>
      <c r="N66" s="3" t="s">
        <v>540</v>
      </c>
      <c r="O66" s="3">
        <f>DEGREES(ATAN(0.5*(TAN(RADIANS(O64))+TAN(RADIANS(O65)))))</f>
        <v>-18.751148623108858</v>
      </c>
      <c r="R66" s="171">
        <f t="shared" si="114"/>
        <v>0.11238127277356325</v>
      </c>
      <c r="S66" s="171">
        <f t="shared" ref="S66:S77" si="133">R66-$O$79</f>
        <v>-2.1590925435495401E-3</v>
      </c>
      <c r="T66" s="171">
        <f>IF(S66&lt;=0,0,TAN(Q67)*S66)</f>
        <v>0</v>
      </c>
      <c r="U66" s="173"/>
      <c r="V66" s="3">
        <f t="shared" si="132"/>
        <v>0</v>
      </c>
      <c r="X66" s="73"/>
      <c r="Y66" s="73"/>
      <c r="Z66" s="73"/>
      <c r="AA66" s="104" t="s">
        <v>626</v>
      </c>
      <c r="AB66" s="38">
        <f>AB65/SIN(RADIANS(90+AB59))/100/$B$59</f>
        <v>6.4225571433256773E-2</v>
      </c>
      <c r="AC66" s="104" t="s">
        <v>626</v>
      </c>
      <c r="AD66" s="38">
        <f>AD65/SIN(RADIANS(90+AD59))/100/$B$59</f>
        <v>6.459584818875766E-2</v>
      </c>
      <c r="AE66" s="104" t="s">
        <v>626</v>
      </c>
      <c r="AF66" s="38">
        <f>AF65/SIN(RADIANS(90+AF59))/100/$B$59</f>
        <v>6.5396807313941388E-2</v>
      </c>
      <c r="AG66" s="32"/>
      <c r="AH66" s="32"/>
      <c r="AK66">
        <v>10</v>
      </c>
      <c r="AL66">
        <f t="shared" si="67"/>
        <v>0.11238127277356325</v>
      </c>
      <c r="AM66">
        <f t="shared" si="116"/>
        <v>470.52844105625826</v>
      </c>
      <c r="AN66">
        <f t="shared" si="68"/>
        <v>-89.702226821522288</v>
      </c>
      <c r="AO66">
        <f t="shared" si="117"/>
        <v>-19.420112689261092</v>
      </c>
      <c r="AP66">
        <f>SQRT($AP$67^2+2*(-$AK$18*(1+$AK$20)*(+$AK$19*((AL66^($AK$20-1)-$AL$67^($AK$20-1))/($AK$20-1))+$AK$18*((AL66^(2*$AK$20)-$AL$67^(2*$AK$20))/(2*$AK$20)))))</f>
        <v>254.43816416859195</v>
      </c>
      <c r="AQ66">
        <f t="shared" si="70"/>
        <v>-560.23066787778055</v>
      </c>
      <c r="AR66">
        <f t="shared" si="71"/>
        <v>-65.574028609893134</v>
      </c>
      <c r="AS66">
        <f t="shared" si="72"/>
        <v>119.37566695222785</v>
      </c>
      <c r="AT66">
        <f t="shared" si="73"/>
        <v>94.542855367222558</v>
      </c>
      <c r="AU66">
        <f t="shared" si="118"/>
        <v>269.78745130606649</v>
      </c>
      <c r="AV66">
        <f t="shared" si="74"/>
        <v>615.302511465919</v>
      </c>
      <c r="AX66">
        <f t="shared" si="75"/>
        <v>5.0981454533075129E-4</v>
      </c>
      <c r="AY66">
        <f t="shared" si="76"/>
        <v>254.619082084296</v>
      </c>
      <c r="AZ66">
        <f t="shared" si="119"/>
        <v>0.29810016799976791</v>
      </c>
      <c r="BA66">
        <f t="shared" si="77"/>
        <v>3.8688875066727788E-2</v>
      </c>
      <c r="BB66">
        <f t="shared" si="78"/>
        <v>1.5698932224263056</v>
      </c>
      <c r="BC66">
        <f t="shared" si="79"/>
        <v>390535.46922791807</v>
      </c>
      <c r="BE66">
        <f t="shared" si="120"/>
        <v>1085.0520409452274</v>
      </c>
      <c r="BF66">
        <f t="shared" si="80"/>
        <v>1055.7031422023954</v>
      </c>
      <c r="BG66">
        <f t="shared" si="81"/>
        <v>1208.3632956766967</v>
      </c>
      <c r="BH66">
        <f t="shared" si="82"/>
        <v>90054.127435393151</v>
      </c>
      <c r="BI66">
        <f t="shared" si="83"/>
        <v>0.31764247864186834</v>
      </c>
      <c r="BJ66" s="191">
        <f t="shared" si="84"/>
        <v>0.98185263664111344</v>
      </c>
      <c r="BK66" s="2">
        <f t="shared" si="85"/>
        <v>1055.9009388699869</v>
      </c>
      <c r="BL66" s="2">
        <f t="shared" si="86"/>
        <v>0.31724618643214392</v>
      </c>
      <c r="BM66" t="e">
        <f ca="1">[1]!cercha(AL66,$AH$72:$AI$74)</f>
        <v>#NAME?</v>
      </c>
      <c r="BN66">
        <f t="shared" si="87"/>
        <v>0</v>
      </c>
      <c r="BO66">
        <f t="shared" si="88"/>
        <v>0</v>
      </c>
      <c r="BP66" t="e">
        <f t="shared" ca="1" si="89"/>
        <v>#NAME?</v>
      </c>
      <c r="BR66" t="e">
        <f t="shared" ca="1" si="90"/>
        <v>#NAME?</v>
      </c>
      <c r="BS66" t="e">
        <f t="shared" ca="1" si="121"/>
        <v>#NAME?</v>
      </c>
      <c r="BT66" t="e">
        <f t="shared" ca="1" si="91"/>
        <v>#NAME?</v>
      </c>
      <c r="BU66" t="e">
        <f t="shared" ca="1" si="92"/>
        <v>#NAME?</v>
      </c>
      <c r="BV66" t="e">
        <f t="shared" ca="1" si="122"/>
        <v>#NAME?</v>
      </c>
      <c r="BW66" t="e">
        <f t="shared" ca="1" si="93"/>
        <v>#NAME?</v>
      </c>
      <c r="BX66" t="e">
        <f t="shared" ca="1" si="94"/>
        <v>#NAME?</v>
      </c>
      <c r="BY66">
        <f t="shared" si="95"/>
        <v>1055.7576339542106</v>
      </c>
      <c r="BZ66" t="e">
        <f t="shared" ca="1" si="96"/>
        <v>#NAME?</v>
      </c>
      <c r="CA66" t="e">
        <f t="shared" ca="1" si="97"/>
        <v>#NAME?</v>
      </c>
      <c r="CB66" t="e">
        <f t="shared" ca="1" si="98"/>
        <v>#NAME?</v>
      </c>
      <c r="CC66" t="e">
        <f t="shared" ca="1" si="99"/>
        <v>#NAME?</v>
      </c>
      <c r="CD66" t="e">
        <f t="shared" ca="1" si="100"/>
        <v>#NAME?</v>
      </c>
      <c r="CE66" s="92" t="e">
        <f t="shared" ca="1" si="101"/>
        <v>#NAME?</v>
      </c>
      <c r="CF66" t="e">
        <f t="shared" ca="1" si="102"/>
        <v>#NAME?</v>
      </c>
      <c r="CH66">
        <f t="shared" si="103"/>
        <v>5.0981454533075129E-4</v>
      </c>
      <c r="CI66" t="e">
        <f t="shared" ca="1" si="123"/>
        <v>#NAME?</v>
      </c>
      <c r="CJ66" t="e">
        <f t="shared" ca="1" si="124"/>
        <v>#NAME?</v>
      </c>
      <c r="CK66" t="e">
        <f t="shared" ca="1" si="125"/>
        <v>#NAME?</v>
      </c>
      <c r="CL66" t="e">
        <f t="shared" ca="1" si="104"/>
        <v>#NAME?</v>
      </c>
      <c r="CM66">
        <f t="shared" si="105"/>
        <v>390535.46922791807</v>
      </c>
      <c r="CN66">
        <f t="shared" si="126"/>
        <v>1085.0520409452274</v>
      </c>
      <c r="CO66" t="e">
        <f t="shared" ca="1" si="127"/>
        <v>#NAME?</v>
      </c>
      <c r="CP66" t="e">
        <f t="shared" ca="1" si="106"/>
        <v>#NAME?</v>
      </c>
      <c r="CQ66" t="e">
        <f t="shared" ca="1" si="128"/>
        <v>#NAME?</v>
      </c>
      <c r="CR66" t="e">
        <f t="shared" ca="1" si="130"/>
        <v>#NAME?</v>
      </c>
      <c r="CS66" t="e">
        <f t="shared" ca="1" si="107"/>
        <v>#NAME?</v>
      </c>
      <c r="CT66" t="e">
        <f t="shared" ca="1" si="108"/>
        <v>#NAME?</v>
      </c>
      <c r="CU66" s="73"/>
      <c r="CV66">
        <f t="shared" si="109"/>
        <v>0.3176424786418684</v>
      </c>
      <c r="CW66" t="e">
        <f t="shared" ca="1" si="110"/>
        <v>#NAME?</v>
      </c>
      <c r="CX66" s="73"/>
      <c r="CY66" t="e">
        <f t="shared" ca="1" si="131"/>
        <v>#NAME?</v>
      </c>
      <c r="CZ66" s="73"/>
      <c r="DA66" s="73"/>
      <c r="DH66" s="73"/>
      <c r="DI66" s="73"/>
      <c r="DJ66" s="73"/>
      <c r="DK66" s="73"/>
      <c r="DL66" s="73"/>
      <c r="DM66" s="73"/>
    </row>
    <row r="67" spans="1:147" s="132" customFormat="1" x14ac:dyDescent="0.25">
      <c r="A67" s="3" t="s">
        <v>118</v>
      </c>
      <c r="B67" s="3">
        <f>AY11</f>
        <v>-65</v>
      </c>
      <c r="C67" s="2"/>
      <c r="D67" s="2"/>
      <c r="E67" s="73"/>
      <c r="F67" s="73"/>
      <c r="G67" s="177">
        <f t="shared" si="111"/>
        <v>0.11310097028807976</v>
      </c>
      <c r="H67" s="171">
        <f t="shared" si="112"/>
        <v>-2.1590925435495401E-3</v>
      </c>
      <c r="I67" s="171"/>
      <c r="J67" s="171">
        <f t="shared" ref="J67:J75" si="134">IF(H67&lt;=0,0,TAN($F$77)*H67)</f>
        <v>0</v>
      </c>
      <c r="K67" s="3">
        <f>(J67+J68)/2*(G68-G67)</f>
        <v>0</v>
      </c>
      <c r="L67" s="73"/>
      <c r="M67" s="73"/>
      <c r="N67" s="38"/>
      <c r="O67" s="38"/>
      <c r="P67" s="73"/>
      <c r="Q67" s="73"/>
      <c r="R67" s="171">
        <f t="shared" si="114"/>
        <v>0.11310097028807976</v>
      </c>
      <c r="S67" s="171">
        <f t="shared" si="133"/>
        <v>-1.4393950290330221E-3</v>
      </c>
      <c r="T67" s="171">
        <f t="shared" ref="T67:T75" si="135">IF(S67&lt;=0,0,TAN($Q$77)*S67)</f>
        <v>0</v>
      </c>
      <c r="U67" s="173"/>
      <c r="V67" s="3">
        <f t="shared" si="132"/>
        <v>0</v>
      </c>
      <c r="W67" s="73"/>
      <c r="X67"/>
      <c r="Y67" s="291" t="s">
        <v>562</v>
      </c>
      <c r="Z67" s="311"/>
      <c r="AA67" s="165" t="s">
        <v>556</v>
      </c>
      <c r="AB67" s="3">
        <f>B76</f>
        <v>1.4</v>
      </c>
      <c r="AC67" s="165" t="s">
        <v>556</v>
      </c>
      <c r="AD67" s="3">
        <f>B76</f>
        <v>1.4</v>
      </c>
      <c r="AE67" s="165" t="s">
        <v>556</v>
      </c>
      <c r="AF67" s="3">
        <f>B76</f>
        <v>1.4</v>
      </c>
      <c r="AG67" s="2"/>
      <c r="AH67" s="2"/>
      <c r="AI67" s="189"/>
      <c r="AJ67" s="201" t="s">
        <v>625</v>
      </c>
      <c r="AK67" s="132">
        <v>11</v>
      </c>
      <c r="AL67" s="132">
        <f t="shared" si="67"/>
        <v>0.11310097028807976</v>
      </c>
      <c r="AM67" s="132">
        <f t="shared" si="116"/>
        <v>473.54173803341422</v>
      </c>
      <c r="AN67" s="132">
        <f t="shared" si="68"/>
        <v>-88.09838447626305</v>
      </c>
      <c r="AO67" s="132">
        <f>DEGREES(ATAN(AN67/AP67))</f>
        <v>-19.073084603713291</v>
      </c>
      <c r="AP67" s="132">
        <f>AW57</f>
        <v>254.8</v>
      </c>
      <c r="AQ67" s="132">
        <f t="shared" si="70"/>
        <v>-561.64012250967721</v>
      </c>
      <c r="AR67" s="132">
        <f>DEGREES(ATAN(AQ67/AP67))</f>
        <v>-65.597568372395116</v>
      </c>
      <c r="AS67" s="132">
        <f t="shared" si="72"/>
        <v>119.28539679174963</v>
      </c>
      <c r="AT67" s="132">
        <f t="shared" si="73"/>
        <v>94.373084603713295</v>
      </c>
      <c r="AU67" s="132">
        <f t="shared" si="118"/>
        <v>269.60038083676267</v>
      </c>
      <c r="AV67" s="132">
        <f t="shared" si="74"/>
        <v>616.73549209745113</v>
      </c>
      <c r="AX67" s="132">
        <f t="shared" si="75"/>
        <v>5.1306901234471889E-4</v>
      </c>
      <c r="AY67" s="132">
        <f t="shared" si="76"/>
        <v>254.97574388956929</v>
      </c>
      <c r="AZ67">
        <f t="shared" si="119"/>
        <v>0.29799133016449375</v>
      </c>
      <c r="BA67" s="132">
        <f t="shared" si="77"/>
        <v>3.897588090919691E-2</v>
      </c>
      <c r="BB67" s="132">
        <f t="shared" si="78"/>
        <v>0.32008846547291187</v>
      </c>
      <c r="BC67" s="132">
        <f t="shared" si="79"/>
        <v>390450.78145086387</v>
      </c>
      <c r="BE67" s="132">
        <f t="shared" si="120"/>
        <v>1085.1203375396258</v>
      </c>
      <c r="BF67" s="132">
        <f t="shared" si="80"/>
        <v>1055.8121257060261</v>
      </c>
      <c r="BG67">
        <f t="shared" si="81"/>
        <v>1209.1841689369476</v>
      </c>
      <c r="BH67">
        <f t="shared" si="82"/>
        <v>90030.541403364492</v>
      </c>
      <c r="BI67" s="132">
        <f t="shared" si="83"/>
        <v>0.32422715548135672</v>
      </c>
      <c r="BJ67" s="199">
        <f t="shared" si="84"/>
        <v>0.98408848347605837</v>
      </c>
      <c r="BK67" s="2">
        <f t="shared" si="85"/>
        <v>1055.8121257060261</v>
      </c>
      <c r="BL67" s="2">
        <f t="shared" si="86"/>
        <v>0.32422715548135672</v>
      </c>
      <c r="BM67" s="132">
        <f>AI73</f>
        <v>7.4205661130678544E-2</v>
      </c>
      <c r="BN67" s="132">
        <f t="shared" si="87"/>
        <v>0</v>
      </c>
      <c r="BO67" s="132">
        <f t="shared" si="88"/>
        <v>0</v>
      </c>
      <c r="BP67" s="132">
        <f t="shared" si="89"/>
        <v>7.4205661130678544E-2</v>
      </c>
      <c r="BR67">
        <f t="shared" si="90"/>
        <v>0.1209166105087662</v>
      </c>
      <c r="BS67" s="132">
        <f t="shared" si="121"/>
        <v>0.1209166105087662</v>
      </c>
      <c r="BT67">
        <f t="shared" si="91"/>
        <v>187687.55556630081</v>
      </c>
      <c r="BU67">
        <f t="shared" si="92"/>
        <v>1.0629149605010308</v>
      </c>
      <c r="BV67" s="132">
        <f t="shared" si="122"/>
        <v>7.5826533523287019</v>
      </c>
      <c r="BW67" s="132">
        <f t="shared" si="93"/>
        <v>14.254183829976164</v>
      </c>
      <c r="BX67" s="132" t="e">
        <f t="shared" ca="1" si="94"/>
        <v>#NAME?</v>
      </c>
      <c r="BZ67" s="132">
        <f>CG57</f>
        <v>223</v>
      </c>
      <c r="CA67" s="132">
        <f t="shared" si="97"/>
        <v>239.77140227167931</v>
      </c>
      <c r="CB67" s="132">
        <f t="shared" si="98"/>
        <v>604.29183943909527</v>
      </c>
      <c r="CC67" s="132">
        <f t="shared" si="99"/>
        <v>-21.556994619415136</v>
      </c>
      <c r="CD67" s="132">
        <f t="shared" si="100"/>
        <v>-68.344378105001269</v>
      </c>
      <c r="CE67" s="132">
        <f t="shared" si="101"/>
        <v>123.50256049883126</v>
      </c>
      <c r="CF67" s="132">
        <f t="shared" si="102"/>
        <v>97.601960741679662</v>
      </c>
      <c r="CH67" s="132">
        <f t="shared" si="103"/>
        <v>5.1306901234471889E-4</v>
      </c>
      <c r="CI67" s="132" t="e">
        <f t="shared" ca="1" si="123"/>
        <v>#NAME?</v>
      </c>
      <c r="CJ67">
        <f t="shared" si="124"/>
        <v>0.35185751446156566</v>
      </c>
      <c r="CK67" s="132" t="e">
        <f t="shared" ca="1" si="125"/>
        <v>#NAME?</v>
      </c>
      <c r="CL67" s="132" t="e">
        <f t="shared" ca="1" si="104"/>
        <v>#NAME?</v>
      </c>
      <c r="CM67" s="132">
        <f t="shared" si="105"/>
        <v>390450.78145086387</v>
      </c>
      <c r="CN67" s="132">
        <f>$AK$2-CM67/$BB$1</f>
        <v>1085.1203375396258</v>
      </c>
      <c r="CO67">
        <f t="shared" si="127"/>
        <v>1061.9387547382842</v>
      </c>
      <c r="CP67" s="132">
        <f t="shared" si="106"/>
        <v>0.31647639014923079</v>
      </c>
      <c r="CQ67">
        <f t="shared" si="128"/>
        <v>1209.1841689369476</v>
      </c>
      <c r="CR67">
        <f t="shared" si="130"/>
        <v>106921.70818459672</v>
      </c>
      <c r="CS67">
        <f t="shared" si="107"/>
        <v>1061.9387547382844</v>
      </c>
      <c r="CT67">
        <f t="shared" si="108"/>
        <v>0.31647639014923029</v>
      </c>
      <c r="CU67" s="73"/>
      <c r="CV67">
        <f t="shared" si="109"/>
        <v>0.32422715548135661</v>
      </c>
      <c r="CW67">
        <f t="shared" si="110"/>
        <v>0.31647639014923046</v>
      </c>
      <c r="CX67" s="73"/>
      <c r="CY67" t="e">
        <f t="shared" ca="1" si="131"/>
        <v>#NAME?</v>
      </c>
      <c r="CZ67" s="73"/>
      <c r="DA67" s="73"/>
      <c r="DB67" s="79"/>
      <c r="DC67" s="79"/>
      <c r="DD67" s="79"/>
      <c r="DE67" s="79"/>
      <c r="DF67" s="79"/>
      <c r="DG67" s="79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</row>
    <row r="68" spans="1:147" x14ac:dyDescent="0.25">
      <c r="A68" s="73"/>
      <c r="B68" s="73"/>
      <c r="C68" s="73"/>
      <c r="D68" s="73"/>
      <c r="G68" s="171">
        <f t="shared" si="111"/>
        <v>0.11382066780259628</v>
      </c>
      <c r="H68" s="171">
        <f t="shared" ref="H68:H76" si="136">G68-$B$87</f>
        <v>-1.4393950290330221E-3</v>
      </c>
      <c r="I68" s="171">
        <f t="shared" ref="I68:I76" si="137">IF(H68&lt;=0,0,1)</f>
        <v>0</v>
      </c>
      <c r="J68" s="171">
        <f t="shared" si="134"/>
        <v>0</v>
      </c>
      <c r="K68" s="3">
        <f t="shared" ref="K68:K69" si="138">(J68+J67)/2*(G68-G67)*SUM($I$67:$I$77)</f>
        <v>0</v>
      </c>
      <c r="N68" s="3" t="s">
        <v>545</v>
      </c>
      <c r="O68" s="3">
        <v>6.11</v>
      </c>
      <c r="R68" s="171">
        <f t="shared" si="114"/>
        <v>0.11382066780259628</v>
      </c>
      <c r="S68" s="171">
        <f t="shared" si="133"/>
        <v>-7.196975145165041E-4</v>
      </c>
      <c r="T68" s="171">
        <f t="shared" si="135"/>
        <v>0</v>
      </c>
      <c r="U68" s="171"/>
      <c r="V68" s="3">
        <f t="shared" si="132"/>
        <v>0</v>
      </c>
      <c r="X68" s="73"/>
      <c r="Y68" s="291" t="s">
        <v>568</v>
      </c>
      <c r="Z68" s="311"/>
      <c r="AA68" s="166" t="s">
        <v>557</v>
      </c>
      <c r="AB68" s="163">
        <v>1</v>
      </c>
      <c r="AC68" s="166" t="s">
        <v>557</v>
      </c>
      <c r="AD68" s="163">
        <v>1</v>
      </c>
      <c r="AE68" s="166" t="s">
        <v>557</v>
      </c>
      <c r="AF68" s="163">
        <v>1</v>
      </c>
      <c r="AG68" s="32"/>
      <c r="AH68" s="32"/>
      <c r="AK68">
        <v>12</v>
      </c>
      <c r="AL68">
        <f t="shared" si="67"/>
        <v>0.11382066780259628</v>
      </c>
      <c r="AM68">
        <f t="shared" si="116"/>
        <v>476.55503501057024</v>
      </c>
      <c r="AN68">
        <f t="shared" si="68"/>
        <v>-86.518085418437636</v>
      </c>
      <c r="AO68">
        <f t="shared" ref="AO68:AO77" si="139">DEGREES(ATAN(AN68/AP68))</f>
        <v>-18.731035600232612</v>
      </c>
      <c r="AP68">
        <f t="shared" ref="AP68:AP77" si="140">SQRT($AP$67^2+2*(-$AK$18*(1+$AK$20)*(+$AK$19*((AL68^($AK$20-1)-$AL$67^($AK$20-1))/($AK$20-1))+$AK$18*((AL68^(2*$AK$20)-$AL$67^(2*$AK$20))/(2*$AK$20)))))</f>
        <v>255.15148777913853</v>
      </c>
      <c r="AQ68">
        <f t="shared" si="70"/>
        <v>-563.07312042900787</v>
      </c>
      <c r="AR68">
        <f t="shared" si="71"/>
        <v>-65.622773272865686</v>
      </c>
      <c r="AS68">
        <f t="shared" si="72"/>
        <v>119.19766463837044</v>
      </c>
      <c r="AT68">
        <f t="shared" si="73"/>
        <v>94.211764617593801</v>
      </c>
      <c r="AU68">
        <f t="shared" si="118"/>
        <v>269.42097323775658</v>
      </c>
      <c r="AV68">
        <f t="shared" si="74"/>
        <v>618.18574932261902</v>
      </c>
      <c r="AX68">
        <f t="shared" si="75"/>
        <v>5.163234793586647E-4</v>
      </c>
      <c r="AY68">
        <f t="shared" si="76"/>
        <v>255.32221270171686</v>
      </c>
      <c r="AZ68">
        <f t="shared" si="119"/>
        <v>0.29787834264649732</v>
      </c>
      <c r="BA68">
        <f t="shared" si="77"/>
        <v>3.9261244635027205E-2</v>
      </c>
      <c r="BB68">
        <f t="shared" si="78"/>
        <v>0.95472860235270796</v>
      </c>
      <c r="BC68">
        <f t="shared" si="79"/>
        <v>390366.58456143498</v>
      </c>
      <c r="BE68">
        <f t="shared" si="120"/>
        <v>1085.1882382569072</v>
      </c>
      <c r="BF68">
        <f t="shared" si="80"/>
        <v>1055.9190201841734</v>
      </c>
      <c r="BG68">
        <f t="shared" si="81"/>
        <v>1210.0132220654509</v>
      </c>
      <c r="BH68">
        <f t="shared" si="82"/>
        <v>90005.516665316522</v>
      </c>
      <c r="BI68">
        <f t="shared" si="83"/>
        <v>0.33072908219410196</v>
      </c>
      <c r="BJ68" s="191">
        <f t="shared" si="84"/>
        <v>0.9863526436707053</v>
      </c>
      <c r="BK68" s="2">
        <f t="shared" si="85"/>
        <v>1055.7189103915166</v>
      </c>
      <c r="BL68" s="2">
        <f t="shared" si="86"/>
        <v>0.33112210958807881</v>
      </c>
      <c r="BM68" t="e">
        <f ca="1">[1]!cercha(AL68,$AH$72:$AI$74)</f>
        <v>#NAME?</v>
      </c>
      <c r="BN68">
        <f t="shared" si="87"/>
        <v>0</v>
      </c>
      <c r="BO68">
        <f t="shared" si="88"/>
        <v>0</v>
      </c>
      <c r="BP68" t="e">
        <f t="shared" ca="1" si="89"/>
        <v>#NAME?</v>
      </c>
      <c r="BR68" t="e">
        <f t="shared" ca="1" si="90"/>
        <v>#NAME?</v>
      </c>
      <c r="BS68" t="e">
        <f t="shared" ca="1" si="121"/>
        <v>#NAME?</v>
      </c>
      <c r="BT68" t="e">
        <f t="shared" ca="1" si="91"/>
        <v>#NAME?</v>
      </c>
      <c r="BU68" t="e">
        <f t="shared" ca="1" si="92"/>
        <v>#NAME?</v>
      </c>
      <c r="BV68" t="e">
        <f t="shared" ca="1" si="122"/>
        <v>#NAME?</v>
      </c>
      <c r="BW68" t="e">
        <f t="shared" ca="1" si="93"/>
        <v>#NAME?</v>
      </c>
      <c r="BX68" t="e">
        <f t="shared" ref="BX68:BX77" ca="1" si="141">(BW68-BW67)/(AL68-AL67)</f>
        <v>#NAME?</v>
      </c>
      <c r="BY68">
        <f t="shared" ref="BY68:BY77" si="142">(BF67+BF68)*0.5</f>
        <v>1055.8655729450998</v>
      </c>
      <c r="BZ68" t="e">
        <f t="shared" ref="BZ68:BZ77" ca="1" si="143">SQRT(BZ67^2+2*((-$AK$18*(1+$AK$20)*(+$AK$19*((AL68^($AK$20-1)-AL67^($AK$20-1))/($AK$20-1))+$AK$18*((AL68^(2*$AK$20)-AL67^(2*$AK$20))/(2*$AK$20))))-BX68*BY68*(AL68-AL67)))</f>
        <v>#NAME?</v>
      </c>
      <c r="CA68" t="e">
        <f t="shared" ca="1" si="97"/>
        <v>#NAME?</v>
      </c>
      <c r="CB68" t="e">
        <f t="shared" ca="1" si="98"/>
        <v>#NAME?</v>
      </c>
      <c r="CC68" t="e">
        <f t="shared" ca="1" si="99"/>
        <v>#NAME?</v>
      </c>
      <c r="CD68" t="e">
        <f t="shared" ca="1" si="100"/>
        <v>#NAME?</v>
      </c>
      <c r="CE68" s="92" t="e">
        <f t="shared" ca="1" si="101"/>
        <v>#NAME?</v>
      </c>
      <c r="CF68" t="e">
        <f t="shared" ca="1" si="102"/>
        <v>#NAME?</v>
      </c>
      <c r="CH68">
        <f t="shared" si="103"/>
        <v>5.163234793586647E-4</v>
      </c>
      <c r="CI68" t="e">
        <f t="shared" ca="1" si="123"/>
        <v>#NAME?</v>
      </c>
      <c r="CJ68" t="e">
        <f t="shared" ca="1" si="124"/>
        <v>#NAME?</v>
      </c>
      <c r="CK68" t="e">
        <f t="shared" ca="1" si="125"/>
        <v>#NAME?</v>
      </c>
      <c r="CL68" t="e">
        <f t="shared" ca="1" si="104"/>
        <v>#NAME?</v>
      </c>
      <c r="CM68">
        <f t="shared" si="105"/>
        <v>390366.58456143498</v>
      </c>
      <c r="CN68">
        <f t="shared" si="126"/>
        <v>1085.1882382569072</v>
      </c>
      <c r="CO68" t="e">
        <f t="shared" ca="1" si="127"/>
        <v>#NAME?</v>
      </c>
      <c r="CP68" t="e">
        <f t="shared" ca="1" si="106"/>
        <v>#NAME?</v>
      </c>
      <c r="CQ68" t="e">
        <f t="shared" ca="1" si="128"/>
        <v>#NAME?</v>
      </c>
      <c r="CR68" t="e">
        <f t="shared" ca="1" si="130"/>
        <v>#NAME?</v>
      </c>
      <c r="CS68" t="e">
        <f t="shared" ca="1" si="107"/>
        <v>#NAME?</v>
      </c>
      <c r="CT68" t="e">
        <f t="shared" ca="1" si="108"/>
        <v>#NAME?</v>
      </c>
      <c r="CU68" s="73"/>
      <c r="CV68">
        <f t="shared" si="109"/>
        <v>0.33072908219410224</v>
      </c>
      <c r="CW68" t="e">
        <f t="shared" ca="1" si="110"/>
        <v>#NAME?</v>
      </c>
      <c r="CX68" s="73"/>
      <c r="CY68" t="e">
        <f t="shared" ca="1" si="131"/>
        <v>#NAME?</v>
      </c>
      <c r="CZ68" s="73"/>
      <c r="DA68" s="73"/>
      <c r="DB68" s="79"/>
      <c r="DC68" s="79"/>
      <c r="DD68" s="79"/>
      <c r="DE68" s="79"/>
      <c r="DF68" s="79"/>
      <c r="DG68" s="79"/>
      <c r="DH68" s="73"/>
      <c r="DI68" s="73"/>
      <c r="DJ68" s="73"/>
      <c r="DK68" s="73"/>
      <c r="DL68" s="73"/>
      <c r="DM68" s="73"/>
    </row>
    <row r="69" spans="1:147" ht="15.75" thickBot="1" x14ac:dyDescent="0.3">
      <c r="B69">
        <f>14/1.31</f>
        <v>10.687022900763358</v>
      </c>
      <c r="E69" s="146"/>
      <c r="F69" s="146"/>
      <c r="G69" s="171">
        <f t="shared" si="111"/>
        <v>0.11454036531711279</v>
      </c>
      <c r="H69" s="171">
        <f t="shared" si="136"/>
        <v>-7.1969751451651798E-4</v>
      </c>
      <c r="I69" s="171">
        <f t="shared" si="137"/>
        <v>0</v>
      </c>
      <c r="J69" s="171">
        <f t="shared" si="134"/>
        <v>0</v>
      </c>
      <c r="K69" s="3">
        <f t="shared" si="138"/>
        <v>0</v>
      </c>
      <c r="N69" s="3" t="s">
        <v>546</v>
      </c>
      <c r="O69" s="3">
        <f>(COS(RADIANS(O65)))^2/(COS(RADIANS(O66)))^3</f>
        <v>0.21828493387539641</v>
      </c>
      <c r="R69" s="171">
        <f t="shared" si="114"/>
        <v>0.11454036531711279</v>
      </c>
      <c r="S69" s="171">
        <f t="shared" si="133"/>
        <v>0</v>
      </c>
      <c r="T69" s="171">
        <f t="shared" si="135"/>
        <v>0</v>
      </c>
      <c r="U69" s="171">
        <f t="shared" ref="U69:U77" si="144">IF(T69&lt;=0,0,1)</f>
        <v>0</v>
      </c>
      <c r="V69" s="3">
        <f t="shared" si="132"/>
        <v>0</v>
      </c>
      <c r="X69" s="291" t="s">
        <v>563</v>
      </c>
      <c r="Y69" s="291"/>
      <c r="Z69" s="311"/>
      <c r="AA69" s="165" t="s">
        <v>561</v>
      </c>
      <c r="AB69" s="164">
        <v>5.9999999999999995E-4</v>
      </c>
      <c r="AC69" s="165" t="s">
        <v>561</v>
      </c>
      <c r="AD69" s="164">
        <v>5.9999999999999995E-4</v>
      </c>
      <c r="AE69" s="165" t="s">
        <v>561</v>
      </c>
      <c r="AF69" s="164">
        <v>5.9999999999999995E-4</v>
      </c>
      <c r="AG69" s="202"/>
      <c r="AH69" s="202"/>
      <c r="AK69">
        <v>13</v>
      </c>
      <c r="AL69">
        <f t="shared" si="67"/>
        <v>0.11454036531711279</v>
      </c>
      <c r="AM69">
        <f t="shared" si="116"/>
        <v>479.56833198772614</v>
      </c>
      <c r="AN69">
        <f t="shared" si="68"/>
        <v>-84.960855170401317</v>
      </c>
      <c r="AO69">
        <f t="shared" si="139"/>
        <v>-18.393875166931473</v>
      </c>
      <c r="AP69">
        <f t="shared" si="140"/>
        <v>255.49293762429517</v>
      </c>
      <c r="AQ69">
        <f t="shared" si="70"/>
        <v>-564.52918715812746</v>
      </c>
      <c r="AR69">
        <f t="shared" si="71"/>
        <v>-65.649585301800386</v>
      </c>
      <c r="AS69">
        <f t="shared" si="72"/>
        <v>119.11265675478786</v>
      </c>
      <c r="AT69">
        <f t="shared" si="73"/>
        <v>94.058938552450797</v>
      </c>
      <c r="AU69">
        <f t="shared" si="118"/>
        <v>269.24893330740957</v>
      </c>
      <c r="AV69">
        <f t="shared" si="74"/>
        <v>619.65300316330922</v>
      </c>
      <c r="AX69">
        <f t="shared" si="75"/>
        <v>5.1957794637262677E-4</v>
      </c>
      <c r="AY69">
        <f t="shared" si="76"/>
        <v>255.65879297933947</v>
      </c>
      <c r="AZ69">
        <f t="shared" si="119"/>
        <v>0.29776128670831692</v>
      </c>
      <c r="BA69">
        <f t="shared" si="77"/>
        <v>3.9544982910870614E-2</v>
      </c>
      <c r="BB69">
        <f t="shared" si="78"/>
        <v>2.255434320784556</v>
      </c>
      <c r="BC69">
        <f t="shared" si="79"/>
        <v>390282.87218186725</v>
      </c>
      <c r="BE69">
        <f t="shared" si="120"/>
        <v>1085.2557482404295</v>
      </c>
      <c r="BF69">
        <f t="shared" si="80"/>
        <v>1056.0238982052772</v>
      </c>
      <c r="BG69">
        <f t="shared" si="81"/>
        <v>1210.8504483380627</v>
      </c>
      <c r="BH69">
        <f t="shared" si="82"/>
        <v>89979.083782656162</v>
      </c>
      <c r="BI69">
        <f t="shared" si="83"/>
        <v>0.33714962884628896</v>
      </c>
      <c r="BJ69" s="191">
        <f t="shared" si="84"/>
        <v>0.98864463884481679</v>
      </c>
      <c r="BK69" s="2">
        <f t="shared" si="85"/>
        <v>1055.6213654948988</v>
      </c>
      <c r="BL69" s="2">
        <f t="shared" si="86"/>
        <v>0.33793241819015901</v>
      </c>
      <c r="BM69" t="e">
        <f ca="1">[1]!cercha(AL69,$AH$72:$AI$74)</f>
        <v>#NAME?</v>
      </c>
      <c r="BN69">
        <f t="shared" si="87"/>
        <v>0</v>
      </c>
      <c r="BO69">
        <f t="shared" si="88"/>
        <v>0</v>
      </c>
      <c r="BP69" t="e">
        <f t="shared" ca="1" si="89"/>
        <v>#NAME?</v>
      </c>
      <c r="BR69" t="e">
        <f t="shared" ca="1" si="90"/>
        <v>#NAME?</v>
      </c>
      <c r="BS69" t="e">
        <f t="shared" ca="1" si="121"/>
        <v>#NAME?</v>
      </c>
      <c r="BT69" t="e">
        <f t="shared" ca="1" si="91"/>
        <v>#NAME?</v>
      </c>
      <c r="BU69" t="e">
        <f t="shared" ca="1" si="92"/>
        <v>#NAME?</v>
      </c>
      <c r="BV69" t="e">
        <f t="shared" ca="1" si="122"/>
        <v>#NAME?</v>
      </c>
      <c r="BW69" t="e">
        <f t="shared" ca="1" si="93"/>
        <v>#NAME?</v>
      </c>
      <c r="BX69" t="e">
        <f t="shared" ca="1" si="141"/>
        <v>#NAME?</v>
      </c>
      <c r="BY69">
        <f t="shared" si="142"/>
        <v>1055.9714591947254</v>
      </c>
      <c r="BZ69" t="e">
        <f t="shared" ca="1" si="143"/>
        <v>#NAME?</v>
      </c>
      <c r="CA69" t="e">
        <f t="shared" ca="1" si="97"/>
        <v>#NAME?</v>
      </c>
      <c r="CB69" t="e">
        <f t="shared" ca="1" si="98"/>
        <v>#NAME?</v>
      </c>
      <c r="CC69" t="e">
        <f t="shared" ca="1" si="99"/>
        <v>#NAME?</v>
      </c>
      <c r="CD69" t="e">
        <f t="shared" ca="1" si="100"/>
        <v>#NAME?</v>
      </c>
      <c r="CE69" s="92" t="e">
        <f t="shared" ca="1" si="101"/>
        <v>#NAME?</v>
      </c>
      <c r="CF69" t="e">
        <f t="shared" ca="1" si="102"/>
        <v>#NAME?</v>
      </c>
      <c r="CH69">
        <f t="shared" si="103"/>
        <v>5.1957794637262677E-4</v>
      </c>
      <c r="CI69" t="e">
        <f t="shared" ca="1" si="123"/>
        <v>#NAME?</v>
      </c>
      <c r="CJ69" t="e">
        <f t="shared" ca="1" si="124"/>
        <v>#NAME?</v>
      </c>
      <c r="CK69" t="e">
        <f t="shared" ca="1" si="125"/>
        <v>#NAME?</v>
      </c>
      <c r="CL69" t="e">
        <f t="shared" ca="1" si="104"/>
        <v>#NAME?</v>
      </c>
      <c r="CM69">
        <f t="shared" si="105"/>
        <v>390282.87218186725</v>
      </c>
      <c r="CN69">
        <f t="shared" si="126"/>
        <v>1085.2557482404295</v>
      </c>
      <c r="CO69" t="e">
        <f t="shared" ca="1" si="127"/>
        <v>#NAME?</v>
      </c>
      <c r="CP69" t="e">
        <f t="shared" ca="1" si="106"/>
        <v>#NAME?</v>
      </c>
      <c r="CQ69" t="e">
        <f t="shared" ca="1" si="128"/>
        <v>#NAME?</v>
      </c>
      <c r="CR69" t="e">
        <f t="shared" ca="1" si="130"/>
        <v>#NAME?</v>
      </c>
      <c r="CS69" t="e">
        <f t="shared" ca="1" si="107"/>
        <v>#NAME?</v>
      </c>
      <c r="CT69" t="e">
        <f t="shared" ca="1" si="108"/>
        <v>#NAME?</v>
      </c>
      <c r="CV69">
        <f t="shared" si="109"/>
        <v>0.33714962884628918</v>
      </c>
      <c r="CW69" t="e">
        <f t="shared" ca="1" si="110"/>
        <v>#NAME?</v>
      </c>
      <c r="CY69" t="e">
        <f t="shared" ca="1" si="131"/>
        <v>#NAME?</v>
      </c>
    </row>
    <row r="70" spans="1:147" ht="15.75" thickBot="1" x14ac:dyDescent="0.3">
      <c r="A70" s="159" t="s">
        <v>533</v>
      </c>
      <c r="B70" s="160"/>
      <c r="C70" s="187"/>
      <c r="D70" s="187"/>
      <c r="G70" s="171">
        <f t="shared" si="111"/>
        <v>0.11526006283162929</v>
      </c>
      <c r="H70" s="171">
        <f t="shared" si="136"/>
        <v>0</v>
      </c>
      <c r="I70" s="171">
        <f t="shared" si="137"/>
        <v>0</v>
      </c>
      <c r="J70" s="171">
        <f t="shared" si="134"/>
        <v>0</v>
      </c>
      <c r="K70" s="3">
        <f t="shared" ref="K70:K76" si="145">(J70+J69)/2*(G70-G69)</f>
        <v>0</v>
      </c>
      <c r="N70" s="3" t="s">
        <v>543</v>
      </c>
      <c r="O70" s="3">
        <f>O68^2*O69</f>
        <v>8.1490349799296879</v>
      </c>
      <c r="P70">
        <f>(COS(RADIANS(90-O65)))^2/((COS(RADIANS(90-O66)))^2)</f>
        <v>7.8836404347939792</v>
      </c>
      <c r="R70" s="171">
        <f t="shared" si="114"/>
        <v>0.11526006283162929</v>
      </c>
      <c r="S70" s="171">
        <f t="shared" si="133"/>
        <v>7.196975145165041E-4</v>
      </c>
      <c r="T70" s="171">
        <f t="shared" si="135"/>
        <v>8.8459852224703663</v>
      </c>
      <c r="U70" s="171">
        <f t="shared" si="144"/>
        <v>1</v>
      </c>
      <c r="V70" s="3">
        <f t="shared" si="132"/>
        <v>3.1832167890308237E-3</v>
      </c>
      <c r="X70" s="291" t="s">
        <v>565</v>
      </c>
      <c r="Y70" s="291"/>
      <c r="Z70" s="311"/>
      <c r="AA70" s="165" t="s">
        <v>567</v>
      </c>
      <c r="AB70" s="164">
        <f>AB69/$B$59/$B$60</f>
        <v>9.1612651514654961E-2</v>
      </c>
      <c r="AC70" s="165" t="s">
        <v>567</v>
      </c>
      <c r="AD70" s="164">
        <f>AD69/$B$59/$B$60</f>
        <v>9.1612651514654961E-2</v>
      </c>
      <c r="AE70" s="165" t="s">
        <v>567</v>
      </c>
      <c r="AF70" s="164">
        <f>AF69/$B$59/$B$60</f>
        <v>9.1612651514654961E-2</v>
      </c>
      <c r="AG70" s="202"/>
      <c r="AH70" s="301" t="s">
        <v>760</v>
      </c>
      <c r="AI70" s="301"/>
      <c r="AK70">
        <v>14</v>
      </c>
      <c r="AL70">
        <f t="shared" si="67"/>
        <v>0.11526006283162929</v>
      </c>
      <c r="AM70">
        <f t="shared" si="116"/>
        <v>482.5816289648821</v>
      </c>
      <c r="AN70">
        <f t="shared" si="68"/>
        <v>-83.426231583552237</v>
      </c>
      <c r="AO70">
        <f t="shared" si="139"/>
        <v>-18.061514614078163</v>
      </c>
      <c r="AP70">
        <f t="shared" si="140"/>
        <v>255.82464833438374</v>
      </c>
      <c r="AQ70">
        <f t="shared" si="70"/>
        <v>-566.00786054843434</v>
      </c>
      <c r="AR70">
        <f t="shared" si="71"/>
        <v>-65.677948199463756</v>
      </c>
      <c r="AS70">
        <f t="shared" si="72"/>
        <v>119.03059467212202</v>
      </c>
      <c r="AT70">
        <f t="shared" si="73"/>
        <v>93.914661126861844</v>
      </c>
      <c r="AU70">
        <f t="shared" si="118"/>
        <v>269.08397724807696</v>
      </c>
      <c r="AV70">
        <f t="shared" si="74"/>
        <v>621.13698078445384</v>
      </c>
      <c r="AX70">
        <f t="shared" si="75"/>
        <v>5.2283241338659436E-4</v>
      </c>
      <c r="AY70">
        <f t="shared" si="76"/>
        <v>255.98577811293808</v>
      </c>
      <c r="AZ70">
        <f t="shared" si="119"/>
        <v>0.29764024097752489</v>
      </c>
      <c r="BA70">
        <f t="shared" si="77"/>
        <v>3.9827111880206156E-2</v>
      </c>
      <c r="BB70">
        <f t="shared" si="78"/>
        <v>3.5829723821384127</v>
      </c>
      <c r="BC70">
        <f t="shared" si="79"/>
        <v>390199.63805677078</v>
      </c>
      <c r="BE70">
        <f t="shared" si="120"/>
        <v>1085.3228725348622</v>
      </c>
      <c r="BF70">
        <f t="shared" si="80"/>
        <v>1056.1268294656511</v>
      </c>
      <c r="BG70">
        <f t="shared" si="81"/>
        <v>1211.6958411180813</v>
      </c>
      <c r="BH70">
        <f t="shared" si="82"/>
        <v>89951.272290226683</v>
      </c>
      <c r="BI70">
        <f t="shared" si="83"/>
        <v>0.3434901401220421</v>
      </c>
      <c r="BJ70" s="191">
        <f t="shared" si="84"/>
        <v>0.99096400331262302</v>
      </c>
      <c r="BK70" s="2">
        <f t="shared" si="85"/>
        <v>1055.5195607124856</v>
      </c>
      <c r="BL70" s="2">
        <f t="shared" si="86"/>
        <v>0.34465942603905991</v>
      </c>
      <c r="BM70" t="e">
        <f ca="1">[1]!cercha(AL70,$AH$72:$AI$74)</f>
        <v>#NAME?</v>
      </c>
      <c r="BN70">
        <f t="shared" si="87"/>
        <v>0</v>
      </c>
      <c r="BO70">
        <f t="shared" si="88"/>
        <v>3.1832167890308237E-3</v>
      </c>
      <c r="BP70" t="e">
        <f t="shared" ca="1" si="89"/>
        <v>#NAME?</v>
      </c>
      <c r="BR70" t="e">
        <f t="shared" ca="1" si="90"/>
        <v>#NAME?</v>
      </c>
      <c r="BS70" t="e">
        <f t="shared" ca="1" si="121"/>
        <v>#NAME?</v>
      </c>
      <c r="BT70" t="e">
        <f t="shared" ca="1" si="91"/>
        <v>#NAME?</v>
      </c>
      <c r="BU70" t="e">
        <f t="shared" ca="1" si="92"/>
        <v>#NAME?</v>
      </c>
      <c r="BV70" t="e">
        <f t="shared" ca="1" si="122"/>
        <v>#NAME?</v>
      </c>
      <c r="BW70" t="e">
        <f t="shared" ca="1" si="93"/>
        <v>#NAME?</v>
      </c>
      <c r="BX70" t="e">
        <f t="shared" ca="1" si="141"/>
        <v>#NAME?</v>
      </c>
      <c r="BY70">
        <f t="shared" si="142"/>
        <v>1056.075363835464</v>
      </c>
      <c r="BZ70" t="e">
        <f t="shared" ca="1" si="143"/>
        <v>#NAME?</v>
      </c>
      <c r="CA70" t="e">
        <f t="shared" ca="1" si="97"/>
        <v>#NAME?</v>
      </c>
      <c r="CB70" t="e">
        <f t="shared" ca="1" si="98"/>
        <v>#NAME?</v>
      </c>
      <c r="CC70" t="e">
        <f t="shared" ca="1" si="99"/>
        <v>#NAME?</v>
      </c>
      <c r="CD70" t="e">
        <f t="shared" ca="1" si="100"/>
        <v>#NAME?</v>
      </c>
      <c r="CE70" s="92" t="e">
        <f t="shared" ca="1" si="101"/>
        <v>#NAME?</v>
      </c>
      <c r="CF70" t="e">
        <f t="shared" ca="1" si="102"/>
        <v>#NAME?</v>
      </c>
      <c r="CH70">
        <f t="shared" si="103"/>
        <v>5.2283241338659436E-4</v>
      </c>
      <c r="CI70" t="e">
        <f t="shared" ca="1" si="123"/>
        <v>#NAME?</v>
      </c>
      <c r="CJ70" t="e">
        <f t="shared" ca="1" si="124"/>
        <v>#NAME?</v>
      </c>
      <c r="CK70" t="e">
        <f t="shared" ca="1" si="125"/>
        <v>#NAME?</v>
      </c>
      <c r="CL70" t="e">
        <f t="shared" ca="1" si="104"/>
        <v>#NAME?</v>
      </c>
      <c r="CM70">
        <f t="shared" si="105"/>
        <v>390199.63805677078</v>
      </c>
      <c r="CN70">
        <f t="shared" si="126"/>
        <v>1085.3228725348622</v>
      </c>
      <c r="CO70" t="e">
        <f t="shared" ca="1" si="127"/>
        <v>#NAME?</v>
      </c>
      <c r="CP70" t="e">
        <f t="shared" ca="1" si="106"/>
        <v>#NAME?</v>
      </c>
      <c r="CQ70" t="e">
        <f t="shared" ca="1" si="128"/>
        <v>#NAME?</v>
      </c>
      <c r="CR70" t="e">
        <f t="shared" ca="1" si="130"/>
        <v>#NAME?</v>
      </c>
      <c r="CS70" t="e">
        <f t="shared" ca="1" si="107"/>
        <v>#NAME?</v>
      </c>
      <c r="CT70" t="e">
        <f t="shared" ca="1" si="108"/>
        <v>#NAME?</v>
      </c>
      <c r="CV70">
        <f t="shared" si="109"/>
        <v>0.34349014012204221</v>
      </c>
      <c r="CW70" t="e">
        <f t="shared" ca="1" si="110"/>
        <v>#NAME?</v>
      </c>
      <c r="CY70" t="e">
        <f t="shared" ca="1" si="131"/>
        <v>#NAME?</v>
      </c>
    </row>
    <row r="71" spans="1:147" x14ac:dyDescent="0.25">
      <c r="A71" s="3" t="s">
        <v>526</v>
      </c>
      <c r="B71" s="3">
        <v>14</v>
      </c>
      <c r="C71" t="s">
        <v>601</v>
      </c>
      <c r="F71" s="148" t="s">
        <v>578</v>
      </c>
      <c r="G71" s="174">
        <f t="shared" si="111"/>
        <v>0.11597976034614581</v>
      </c>
      <c r="H71" s="171">
        <f t="shared" si="136"/>
        <v>7.196975145165041E-4</v>
      </c>
      <c r="I71" s="171">
        <f t="shared" si="137"/>
        <v>1</v>
      </c>
      <c r="J71" s="171">
        <f t="shared" si="134"/>
        <v>2.0480826601017879</v>
      </c>
      <c r="K71" s="3">
        <f t="shared" si="145"/>
        <v>7.3699999999981766E-4</v>
      </c>
      <c r="N71" s="172" t="s">
        <v>544</v>
      </c>
      <c r="O71" s="3">
        <v>14</v>
      </c>
      <c r="Q71" s="175" t="s">
        <v>582</v>
      </c>
      <c r="R71" s="174">
        <f t="shared" si="114"/>
        <v>0.11597976034614581</v>
      </c>
      <c r="S71" s="171">
        <f t="shared" si="133"/>
        <v>1.4393950290330221E-3</v>
      </c>
      <c r="T71" s="171">
        <f t="shared" si="135"/>
        <v>17.691970444940903</v>
      </c>
      <c r="U71" s="171">
        <f t="shared" si="144"/>
        <v>1</v>
      </c>
      <c r="V71" s="3">
        <f t="shared" si="132"/>
        <v>9.5496503670927154E-3</v>
      </c>
      <c r="Y71" s="183"/>
      <c r="Z71" s="183"/>
      <c r="AA71" s="165" t="s">
        <v>72</v>
      </c>
      <c r="AB71" s="3">
        <f>AS26-AR57</f>
        <v>120.2845124484557</v>
      </c>
      <c r="AC71" s="165" t="s">
        <v>72</v>
      </c>
      <c r="AD71" s="3">
        <f>AS36-AR67</f>
        <v>119.28539679174963</v>
      </c>
      <c r="AE71" s="165" t="s">
        <v>72</v>
      </c>
      <c r="AF71" s="3">
        <f>AS46-AR77</f>
        <v>118.56742054402559</v>
      </c>
      <c r="AG71" s="2"/>
      <c r="AH71" s="301"/>
      <c r="AI71" s="301"/>
      <c r="AJ71" s="73"/>
      <c r="AK71">
        <v>15</v>
      </c>
      <c r="AL71">
        <f t="shared" si="67"/>
        <v>0.11597976034614581</v>
      </c>
      <c r="AM71">
        <f t="shared" si="116"/>
        <v>485.59492594203806</v>
      </c>
      <c r="AN71">
        <f t="shared" si="68"/>
        <v>-81.913764445428399</v>
      </c>
      <c r="AO71">
        <f t="shared" si="139"/>
        <v>-17.733867038561634</v>
      </c>
      <c r="AP71">
        <f t="shared" si="140"/>
        <v>256.14690789149239</v>
      </c>
      <c r="AQ71">
        <f t="shared" si="70"/>
        <v>-567.50869038746646</v>
      </c>
      <c r="AR71">
        <f t="shared" si="71"/>
        <v>-65.707807399090825</v>
      </c>
      <c r="AS71">
        <f t="shared" si="72"/>
        <v>118.95174014116398</v>
      </c>
      <c r="AT71">
        <f t="shared" si="73"/>
        <v>93.778999621116213</v>
      </c>
      <c r="AU71">
        <f t="shared" si="118"/>
        <v>268.92583220656547</v>
      </c>
      <c r="AV71">
        <f t="shared" si="74"/>
        <v>622.63741622847397</v>
      </c>
      <c r="AX71">
        <f t="shared" si="75"/>
        <v>5.2608688040055654E-4</v>
      </c>
      <c r="AY71">
        <f t="shared" si="76"/>
        <v>256.30345091412426</v>
      </c>
      <c r="AZ71">
        <f t="shared" si="119"/>
        <v>0.29751528156249429</v>
      </c>
      <c r="BA71">
        <f t="shared" si="77"/>
        <v>4.010764718520525E-2</v>
      </c>
      <c r="BB71">
        <f t="shared" si="78"/>
        <v>4.9383613443405538</v>
      </c>
      <c r="BC71">
        <f t="shared" si="79"/>
        <v>390116.87605005759</v>
      </c>
      <c r="BE71">
        <f t="shared" si="120"/>
        <v>1085.3896160886632</v>
      </c>
      <c r="BF71">
        <f t="shared" si="80"/>
        <v>1056.227880916085</v>
      </c>
      <c r="BG71">
        <f t="shared" si="81"/>
        <v>1212.5493938546617</v>
      </c>
      <c r="BH71">
        <f t="shared" si="82"/>
        <v>89922.110740911507</v>
      </c>
      <c r="BI71">
        <f t="shared" si="83"/>
        <v>0.34975193572394742</v>
      </c>
      <c r="BJ71" s="191">
        <f t="shared" si="84"/>
        <v>0.99331028359800366</v>
      </c>
      <c r="BK71" s="2">
        <f t="shared" si="85"/>
        <v>1055.4135629950674</v>
      </c>
      <c r="BL71" s="2">
        <f t="shared" si="86"/>
        <v>0.3513044535600337</v>
      </c>
      <c r="BM71" t="e">
        <f ca="1">[1]!cercha(AL71,$AH$72:$AI$74)</f>
        <v>#NAME?</v>
      </c>
      <c r="BN71">
        <f t="shared" si="87"/>
        <v>7.3699999999981766E-4</v>
      </c>
      <c r="BO71">
        <f t="shared" si="88"/>
        <v>9.5496503670927154E-3</v>
      </c>
      <c r="BP71" t="e">
        <f t="shared" ca="1" si="89"/>
        <v>#NAME?</v>
      </c>
      <c r="BR71" t="e">
        <f t="shared" ca="1" si="90"/>
        <v>#NAME?</v>
      </c>
      <c r="BS71" t="e">
        <f t="shared" ca="1" si="121"/>
        <v>#NAME?</v>
      </c>
      <c r="BT71" t="e">
        <f t="shared" ca="1" si="91"/>
        <v>#NAME?</v>
      </c>
      <c r="BU71" t="e">
        <f t="shared" ca="1" si="92"/>
        <v>#NAME?</v>
      </c>
      <c r="BV71" t="e">
        <f t="shared" ca="1" si="122"/>
        <v>#NAME?</v>
      </c>
      <c r="BW71" t="e">
        <f t="shared" ca="1" si="93"/>
        <v>#NAME?</v>
      </c>
      <c r="BX71" t="e">
        <f t="shared" ca="1" si="141"/>
        <v>#NAME?</v>
      </c>
      <c r="BY71">
        <f t="shared" si="142"/>
        <v>1056.1773551908682</v>
      </c>
      <c r="BZ71" t="e">
        <f t="shared" ca="1" si="143"/>
        <v>#NAME?</v>
      </c>
      <c r="CA71" t="e">
        <f t="shared" ca="1" si="97"/>
        <v>#NAME?</v>
      </c>
      <c r="CB71" t="e">
        <f t="shared" ca="1" si="98"/>
        <v>#NAME?</v>
      </c>
      <c r="CC71" t="e">
        <f t="shared" ca="1" si="99"/>
        <v>#NAME?</v>
      </c>
      <c r="CD71" t="e">
        <f t="shared" ca="1" si="100"/>
        <v>#NAME?</v>
      </c>
      <c r="CE71" s="92" t="e">
        <f t="shared" ca="1" si="101"/>
        <v>#NAME?</v>
      </c>
      <c r="CF71" t="e">
        <f t="shared" ca="1" si="102"/>
        <v>#NAME?</v>
      </c>
      <c r="CH71">
        <f t="shared" si="103"/>
        <v>5.2608688040055654E-4</v>
      </c>
      <c r="CI71" t="e">
        <f t="shared" ca="1" si="123"/>
        <v>#NAME?</v>
      </c>
      <c r="CJ71" t="e">
        <f t="shared" ca="1" si="124"/>
        <v>#NAME?</v>
      </c>
      <c r="CK71" t="e">
        <f t="shared" ca="1" si="125"/>
        <v>#NAME?</v>
      </c>
      <c r="CL71" t="e">
        <f t="shared" ca="1" si="104"/>
        <v>#NAME?</v>
      </c>
      <c r="CM71">
        <f t="shared" si="105"/>
        <v>390116.87605005759</v>
      </c>
      <c r="CN71">
        <f t="shared" si="126"/>
        <v>1085.3896160886632</v>
      </c>
      <c r="CO71" t="e">
        <f t="shared" ca="1" si="127"/>
        <v>#NAME?</v>
      </c>
      <c r="CP71" t="e">
        <f t="shared" ca="1" si="106"/>
        <v>#NAME?</v>
      </c>
      <c r="CQ71" t="e">
        <f t="shared" ca="1" si="128"/>
        <v>#NAME?</v>
      </c>
      <c r="CR71" t="e">
        <f t="shared" ca="1" si="130"/>
        <v>#NAME?</v>
      </c>
      <c r="CS71" t="e">
        <f t="shared" ca="1" si="107"/>
        <v>#NAME?</v>
      </c>
      <c r="CT71" t="e">
        <f t="shared" ca="1" si="108"/>
        <v>#NAME?</v>
      </c>
      <c r="CV71">
        <f t="shared" si="109"/>
        <v>0.34975193572394719</v>
      </c>
      <c r="CW71" t="e">
        <f t="shared" ca="1" si="110"/>
        <v>#NAME?</v>
      </c>
      <c r="CY71" t="e">
        <f t="shared" ca="1" si="131"/>
        <v>#NAME?</v>
      </c>
    </row>
    <row r="72" spans="1:147" ht="15.75" thickBot="1" x14ac:dyDescent="0.3">
      <c r="A72" s="3" t="s">
        <v>527</v>
      </c>
      <c r="B72" s="3">
        <f>B71*B59</f>
        <v>8.9180903982290261</v>
      </c>
      <c r="F72" s="176">
        <f>G77-G72</f>
        <v>3.5984875725825483E-3</v>
      </c>
      <c r="G72" s="174">
        <f t="shared" si="111"/>
        <v>0.11669945786066233</v>
      </c>
      <c r="H72" s="171">
        <f t="shared" si="136"/>
        <v>1.4393950290330221E-3</v>
      </c>
      <c r="I72" s="171">
        <f t="shared" si="137"/>
        <v>1</v>
      </c>
      <c r="J72" s="171">
        <f t="shared" si="134"/>
        <v>4.0961653202036148</v>
      </c>
      <c r="K72" s="3">
        <f t="shared" si="145"/>
        <v>2.2109999999994669E-3</v>
      </c>
      <c r="N72" s="3" t="s">
        <v>547</v>
      </c>
      <c r="O72" s="3">
        <f>O70*O58*O60/O59</f>
        <v>0.20372587449824223</v>
      </c>
      <c r="Q72" s="176">
        <f>R77-R73</f>
        <v>2.8787900580660442E-3</v>
      </c>
      <c r="R72" s="174">
        <f t="shared" si="114"/>
        <v>0.11669945786066233</v>
      </c>
      <c r="S72" s="171">
        <f t="shared" si="133"/>
        <v>2.1590925435495401E-3</v>
      </c>
      <c r="T72" s="171">
        <f t="shared" si="135"/>
        <v>26.537955667411442</v>
      </c>
      <c r="U72" s="171">
        <f t="shared" si="144"/>
        <v>1</v>
      </c>
      <c r="V72" s="3">
        <f t="shared" si="132"/>
        <v>1.5916083945154608E-2</v>
      </c>
      <c r="X72" s="291" t="s">
        <v>566</v>
      </c>
      <c r="Y72" s="291"/>
      <c r="Z72" s="311"/>
      <c r="AA72" s="165" t="s">
        <v>558</v>
      </c>
      <c r="AB72" s="3">
        <v>1.35</v>
      </c>
      <c r="AC72" s="165" t="s">
        <v>558</v>
      </c>
      <c r="AD72" s="3">
        <v>1.35</v>
      </c>
      <c r="AE72" s="165" t="s">
        <v>558</v>
      </c>
      <c r="AF72" s="3">
        <v>1.335</v>
      </c>
      <c r="AG72" s="2"/>
      <c r="AH72" s="3">
        <f>AL57</f>
        <v>0.10590399514291465</v>
      </c>
      <c r="AI72" s="3">
        <f>AB75</f>
        <v>7.3834754904693309E-2</v>
      </c>
      <c r="AK72">
        <v>16</v>
      </c>
      <c r="AL72">
        <f t="shared" si="67"/>
        <v>0.11669945786066233</v>
      </c>
      <c r="AM72">
        <f t="shared" si="116"/>
        <v>488.60822291919408</v>
      </c>
      <c r="AN72">
        <f t="shared" si="68"/>
        <v>-80.423015101630654</v>
      </c>
      <c r="AO72">
        <f t="shared" si="139"/>
        <v>-17.410847288989135</v>
      </c>
      <c r="AP72">
        <f t="shared" si="140"/>
        <v>256.45999393675606</v>
      </c>
      <c r="AQ72">
        <f t="shared" si="70"/>
        <v>-569.03123802082473</v>
      </c>
      <c r="AR72">
        <f t="shared" si="71"/>
        <v>-65.739109972322325</v>
      </c>
      <c r="AS72">
        <f t="shared" si="72"/>
        <v>118.87640096539911</v>
      </c>
      <c r="AT72">
        <f t="shared" si="73"/>
        <v>93.652035007886425</v>
      </c>
      <c r="AU72">
        <f t="shared" si="118"/>
        <v>268.77423583386496</v>
      </c>
      <c r="AV72">
        <f t="shared" si="74"/>
        <v>624.15405016193995</v>
      </c>
      <c r="AX72">
        <f t="shared" si="75"/>
        <v>5.2934134741450234E-4</v>
      </c>
      <c r="AY72">
        <f t="shared" si="76"/>
        <v>256.6120840789859</v>
      </c>
      <c r="AZ72">
        <f t="shared" si="119"/>
        <v>0.29738648216257557</v>
      </c>
      <c r="BA72">
        <f t="shared" si="77"/>
        <v>4.0386603987545386E-2</v>
      </c>
      <c r="BB72">
        <f t="shared" si="78"/>
        <v>6.3227031772396387</v>
      </c>
      <c r="BC72">
        <f t="shared" si="79"/>
        <v>390034.58014196373</v>
      </c>
      <c r="BE72">
        <f t="shared" si="120"/>
        <v>1085.4559837564809</v>
      </c>
      <c r="BF72">
        <f t="shared" si="80"/>
        <v>1056.327116882256</v>
      </c>
      <c r="BG72">
        <f t="shared" si="81"/>
        <v>1213.4111000812695</v>
      </c>
      <c r="BH72">
        <f t="shared" si="82"/>
        <v>89891.6267481143</v>
      </c>
      <c r="BI72">
        <f t="shared" si="83"/>
        <v>0.35593631077652971</v>
      </c>
      <c r="BJ72" s="191">
        <f t="shared" si="84"/>
        <v>0.99568303797243263</v>
      </c>
      <c r="BK72" s="2">
        <f t="shared" si="85"/>
        <v>1055.3034366683207</v>
      </c>
      <c r="BL72" s="2">
        <f t="shared" si="86"/>
        <v>0.35786879721753101</v>
      </c>
      <c r="BM72" t="e">
        <f ca="1">[1]!cercha(AL72,$AH$72:$AI$74)</f>
        <v>#NAME?</v>
      </c>
      <c r="BN72">
        <f t="shared" si="87"/>
        <v>2.2109999999994669E-3</v>
      </c>
      <c r="BO72">
        <f t="shared" si="88"/>
        <v>1.5916083945154608E-2</v>
      </c>
      <c r="BP72" t="e">
        <f t="shared" ca="1" si="89"/>
        <v>#NAME?</v>
      </c>
      <c r="BR72" t="e">
        <f t="shared" ca="1" si="90"/>
        <v>#NAME?</v>
      </c>
      <c r="BS72" t="e">
        <f t="shared" ca="1" si="121"/>
        <v>#NAME?</v>
      </c>
      <c r="BT72" t="e">
        <f t="shared" ca="1" si="91"/>
        <v>#NAME?</v>
      </c>
      <c r="BU72" t="e">
        <f t="shared" ca="1" si="92"/>
        <v>#NAME?</v>
      </c>
      <c r="BV72" t="e">
        <f t="shared" ca="1" si="122"/>
        <v>#NAME?</v>
      </c>
      <c r="BW72" t="e">
        <f t="shared" ca="1" si="93"/>
        <v>#NAME?</v>
      </c>
      <c r="BX72" t="e">
        <f t="shared" ca="1" si="141"/>
        <v>#NAME?</v>
      </c>
      <c r="BY72">
        <f t="shared" si="142"/>
        <v>1056.2774988991705</v>
      </c>
      <c r="BZ72" t="e">
        <f t="shared" ca="1" si="143"/>
        <v>#NAME?</v>
      </c>
      <c r="CA72" t="e">
        <f t="shared" ca="1" si="97"/>
        <v>#NAME?</v>
      </c>
      <c r="CB72" t="e">
        <f t="shared" ca="1" si="98"/>
        <v>#NAME?</v>
      </c>
      <c r="CC72" t="e">
        <f t="shared" ca="1" si="99"/>
        <v>#NAME?</v>
      </c>
      <c r="CD72" t="e">
        <f t="shared" ca="1" si="100"/>
        <v>#NAME?</v>
      </c>
      <c r="CE72" s="92" t="e">
        <f t="shared" ca="1" si="101"/>
        <v>#NAME?</v>
      </c>
      <c r="CF72" t="e">
        <f t="shared" ca="1" si="102"/>
        <v>#NAME?</v>
      </c>
      <c r="CH72">
        <f t="shared" si="103"/>
        <v>5.2934134741450234E-4</v>
      </c>
      <c r="CI72" t="e">
        <f t="shared" ca="1" si="123"/>
        <v>#NAME?</v>
      </c>
      <c r="CJ72" t="e">
        <f t="shared" ca="1" si="124"/>
        <v>#NAME?</v>
      </c>
      <c r="CK72" t="e">
        <f t="shared" ca="1" si="125"/>
        <v>#NAME?</v>
      </c>
      <c r="CL72" t="e">
        <f t="shared" ca="1" si="104"/>
        <v>#NAME?</v>
      </c>
      <c r="CM72">
        <f t="shared" si="105"/>
        <v>390034.58014196373</v>
      </c>
      <c r="CN72">
        <f t="shared" si="126"/>
        <v>1085.4559837564809</v>
      </c>
      <c r="CO72" t="e">
        <f t="shared" ca="1" si="127"/>
        <v>#NAME?</v>
      </c>
      <c r="CP72" t="e">
        <f t="shared" ca="1" si="106"/>
        <v>#NAME?</v>
      </c>
      <c r="CQ72" t="e">
        <f t="shared" ca="1" si="128"/>
        <v>#NAME?</v>
      </c>
      <c r="CR72" t="e">
        <f t="shared" ca="1" si="130"/>
        <v>#NAME?</v>
      </c>
      <c r="CS72" t="e">
        <f t="shared" ca="1" si="107"/>
        <v>#NAME?</v>
      </c>
      <c r="CT72" t="e">
        <f t="shared" ca="1" si="108"/>
        <v>#NAME?</v>
      </c>
      <c r="CV72">
        <f t="shared" si="109"/>
        <v>0.35593631077652954</v>
      </c>
      <c r="CW72" t="e">
        <f t="shared" ca="1" si="110"/>
        <v>#NAME?</v>
      </c>
      <c r="CY72" t="e">
        <f t="shared" ca="1" si="131"/>
        <v>#NAME?</v>
      </c>
    </row>
    <row r="73" spans="1:147" x14ac:dyDescent="0.25">
      <c r="A73" s="3" t="s">
        <v>555</v>
      </c>
      <c r="B73" s="3">
        <v>7.6999999999999999E-2</v>
      </c>
      <c r="C73" s="2" t="s">
        <v>602</v>
      </c>
      <c r="D73" s="2"/>
      <c r="F73" s="32"/>
      <c r="G73" s="174">
        <f t="shared" si="111"/>
        <v>0.11741915537517883</v>
      </c>
      <c r="H73" s="171">
        <f t="shared" si="136"/>
        <v>2.1590925435495262E-3</v>
      </c>
      <c r="I73" s="171">
        <f t="shared" si="137"/>
        <v>1</v>
      </c>
      <c r="J73" s="171">
        <f t="shared" si="134"/>
        <v>6.1442479803054022</v>
      </c>
      <c r="K73" s="3">
        <f t="shared" si="145"/>
        <v>3.6849999999990449E-3</v>
      </c>
      <c r="L73" s="136"/>
      <c r="M73" s="136"/>
      <c r="N73" s="16"/>
      <c r="Q73" s="136"/>
      <c r="R73" s="171">
        <f t="shared" si="114"/>
        <v>0.11741915537517883</v>
      </c>
      <c r="S73" s="171">
        <f t="shared" si="133"/>
        <v>2.8787900580660442E-3</v>
      </c>
      <c r="T73" s="171">
        <f t="shared" si="135"/>
        <v>35.383940889881806</v>
      </c>
      <c r="U73" s="171">
        <f t="shared" si="144"/>
        <v>1</v>
      </c>
      <c r="V73" s="3">
        <f t="shared" si="132"/>
        <v>2.2282517523216014E-2</v>
      </c>
      <c r="W73" s="136"/>
      <c r="X73" s="291" t="s">
        <v>564</v>
      </c>
      <c r="Y73" s="291"/>
      <c r="Z73" s="311"/>
      <c r="AA73" s="165" t="s">
        <v>559</v>
      </c>
      <c r="AB73" s="3">
        <f>0.95/100</f>
        <v>9.4999999999999998E-3</v>
      </c>
      <c r="AC73" s="165" t="s">
        <v>559</v>
      </c>
      <c r="AD73" s="3">
        <f>0.95/100</f>
        <v>9.4999999999999998E-3</v>
      </c>
      <c r="AE73" s="165" t="s">
        <v>559</v>
      </c>
      <c r="AF73" s="3">
        <f>0.95/100</f>
        <v>9.4999999999999998E-3</v>
      </c>
      <c r="AG73" s="2"/>
      <c r="AH73" s="3">
        <f>AL67</f>
        <v>0.11310097028807976</v>
      </c>
      <c r="AI73" s="3">
        <f>AD75</f>
        <v>7.4205661130678544E-2</v>
      </c>
      <c r="AK73">
        <v>17</v>
      </c>
      <c r="AL73">
        <f t="shared" si="67"/>
        <v>0.11741915537517883</v>
      </c>
      <c r="AM73">
        <f t="shared" si="116"/>
        <v>491.62151989634998</v>
      </c>
      <c r="AN73">
        <f t="shared" si="68"/>
        <v>-78.953556091925975</v>
      </c>
      <c r="AO73">
        <f t="shared" si="139"/>
        <v>-17.092371931387909</v>
      </c>
      <c r="AP73">
        <f t="shared" si="140"/>
        <v>256.76417422121574</v>
      </c>
      <c r="AQ73">
        <f t="shared" si="70"/>
        <v>-570.57507598827601</v>
      </c>
      <c r="AR73">
        <f t="shared" si="71"/>
        <v>-65.771804576758043</v>
      </c>
      <c r="AS73">
        <f t="shared" si="72"/>
        <v>118.8049378980498</v>
      </c>
      <c r="AT73">
        <f t="shared" si="73"/>
        <v>93.53386325221706</v>
      </c>
      <c r="AU73">
        <f t="shared" si="118"/>
        <v>268.62893586332751</v>
      </c>
      <c r="AV73">
        <f t="shared" si="74"/>
        <v>625.68662963382053</v>
      </c>
      <c r="AX73">
        <f t="shared" si="75"/>
        <v>5.3259581442846452E-4</v>
      </c>
      <c r="AY73">
        <f t="shared" si="76"/>
        <v>256.91194062721218</v>
      </c>
      <c r="AZ73">
        <f t="shared" si="119"/>
        <v>0.29725391417298641</v>
      </c>
      <c r="BA73">
        <f t="shared" si="77"/>
        <v>4.0663996988240927E-2</v>
      </c>
      <c r="BB73">
        <f t="shared" si="78"/>
        <v>7.7371930331263963</v>
      </c>
      <c r="BC73">
        <f t="shared" si="79"/>
        <v>389952.7444261635</v>
      </c>
      <c r="BE73">
        <f t="shared" si="120"/>
        <v>1085.5219803014811</v>
      </c>
      <c r="BF73">
        <f t="shared" si="80"/>
        <v>1056.4245991792779</v>
      </c>
      <c r="BG73">
        <f t="shared" si="81"/>
        <v>1214.2809534141688</v>
      </c>
      <c r="BH73">
        <f t="shared" si="82"/>
        <v>89859.847026228279</v>
      </c>
      <c r="BI73">
        <f t="shared" si="83"/>
        <v>0.3620445362317023</v>
      </c>
      <c r="BJ73" s="191">
        <f t="shared" si="84"/>
        <v>0.9980818360144913</v>
      </c>
      <c r="BK73" s="2">
        <f t="shared" si="85"/>
        <v>1055.1892435473601</v>
      </c>
      <c r="BL73" s="2">
        <f t="shared" si="86"/>
        <v>0.3643537298847177</v>
      </c>
      <c r="BM73" t="e">
        <f ca="1">[1]!cercha(AL73,$AH$72:$AI$74)</f>
        <v>#NAME?</v>
      </c>
      <c r="BN73">
        <f t="shared" si="87"/>
        <v>3.6849999999990449E-3</v>
      </c>
      <c r="BO73">
        <f t="shared" si="88"/>
        <v>2.2282517523216014E-2</v>
      </c>
      <c r="BP73" t="e">
        <f t="shared" ca="1" si="89"/>
        <v>#NAME?</v>
      </c>
      <c r="BR73" t="e">
        <f t="shared" ca="1" si="90"/>
        <v>#NAME?</v>
      </c>
      <c r="BS73" t="e">
        <f t="shared" ca="1" si="121"/>
        <v>#NAME?</v>
      </c>
      <c r="BT73" t="e">
        <f t="shared" ca="1" si="91"/>
        <v>#NAME?</v>
      </c>
      <c r="BU73" t="e">
        <f t="shared" ca="1" si="92"/>
        <v>#NAME?</v>
      </c>
      <c r="BV73" t="e">
        <f t="shared" ca="1" si="122"/>
        <v>#NAME?</v>
      </c>
      <c r="BW73" t="e">
        <f t="shared" ca="1" si="93"/>
        <v>#NAME?</v>
      </c>
      <c r="BX73" t="e">
        <f t="shared" ca="1" si="141"/>
        <v>#NAME?</v>
      </c>
      <c r="BY73">
        <f t="shared" si="142"/>
        <v>1056.3758580307669</v>
      </c>
      <c r="BZ73" t="e">
        <f t="shared" ca="1" si="143"/>
        <v>#NAME?</v>
      </c>
      <c r="CA73" t="e">
        <f t="shared" ca="1" si="97"/>
        <v>#NAME?</v>
      </c>
      <c r="CB73" t="e">
        <f t="shared" ca="1" si="98"/>
        <v>#NAME?</v>
      </c>
      <c r="CC73" t="e">
        <f t="shared" ca="1" si="99"/>
        <v>#NAME?</v>
      </c>
      <c r="CD73" t="e">
        <f t="shared" ca="1" si="100"/>
        <v>#NAME?</v>
      </c>
      <c r="CE73" s="92" t="e">
        <f t="shared" ca="1" si="101"/>
        <v>#NAME?</v>
      </c>
      <c r="CF73" t="e">
        <f t="shared" ca="1" si="102"/>
        <v>#NAME?</v>
      </c>
      <c r="CH73">
        <f t="shared" si="103"/>
        <v>5.3259581442846452E-4</v>
      </c>
      <c r="CI73" t="e">
        <f t="shared" ca="1" si="123"/>
        <v>#NAME?</v>
      </c>
      <c r="CJ73" t="e">
        <f t="shared" ca="1" si="124"/>
        <v>#NAME?</v>
      </c>
      <c r="CK73" t="e">
        <f t="shared" ca="1" si="125"/>
        <v>#NAME?</v>
      </c>
      <c r="CL73" t="e">
        <f t="shared" ca="1" si="104"/>
        <v>#NAME?</v>
      </c>
      <c r="CM73">
        <f t="shared" si="105"/>
        <v>389952.7444261635</v>
      </c>
      <c r="CN73">
        <f t="shared" si="126"/>
        <v>1085.5219803014811</v>
      </c>
      <c r="CO73" t="e">
        <f t="shared" ca="1" si="127"/>
        <v>#NAME?</v>
      </c>
      <c r="CP73" t="e">
        <f t="shared" ca="1" si="106"/>
        <v>#NAME?</v>
      </c>
      <c r="CQ73" t="e">
        <f t="shared" ca="1" si="128"/>
        <v>#NAME?</v>
      </c>
      <c r="CR73" t="e">
        <f t="shared" ca="1" si="130"/>
        <v>#NAME?</v>
      </c>
      <c r="CS73" t="e">
        <f t="shared" ca="1" si="107"/>
        <v>#NAME?</v>
      </c>
      <c r="CT73" t="e">
        <f t="shared" ca="1" si="108"/>
        <v>#NAME?</v>
      </c>
      <c r="CV73">
        <f t="shared" si="109"/>
        <v>0.36204453623170263</v>
      </c>
      <c r="CW73" t="e">
        <f t="shared" ca="1" si="110"/>
        <v>#NAME?</v>
      </c>
      <c r="CY73" t="e">
        <f t="shared" ca="1" si="131"/>
        <v>#NAME?</v>
      </c>
    </row>
    <row r="74" spans="1:147" x14ac:dyDescent="0.25">
      <c r="A74" s="32" t="s">
        <v>555</v>
      </c>
      <c r="B74">
        <f>B73</f>
        <v>7.6999999999999999E-2</v>
      </c>
      <c r="C74" s="2"/>
      <c r="D74" s="2"/>
      <c r="G74" s="171">
        <f t="shared" si="111"/>
        <v>0.11813885288969533</v>
      </c>
      <c r="H74" s="171">
        <f t="shared" si="136"/>
        <v>2.8787900580660303E-3</v>
      </c>
      <c r="I74" s="171">
        <f t="shared" si="137"/>
        <v>1</v>
      </c>
      <c r="J74" s="171">
        <f t="shared" si="134"/>
        <v>8.1923306404071905</v>
      </c>
      <c r="K74" s="3">
        <f t="shared" si="145"/>
        <v>5.1589999999986516E-3</v>
      </c>
      <c r="R74" s="171">
        <f t="shared" si="114"/>
        <v>0.11813885288969533</v>
      </c>
      <c r="S74" s="171">
        <f t="shared" si="133"/>
        <v>3.5984875725825483E-3</v>
      </c>
      <c r="T74" s="171">
        <f t="shared" si="135"/>
        <v>44.229926112352175</v>
      </c>
      <c r="U74" s="171">
        <f t="shared" si="144"/>
        <v>1</v>
      </c>
      <c r="V74" s="3">
        <f t="shared" si="132"/>
        <v>2.8648951101277655E-2</v>
      </c>
      <c r="X74" s="182"/>
      <c r="Y74" s="183"/>
      <c r="Z74" s="182"/>
      <c r="AA74" s="165" t="s">
        <v>560</v>
      </c>
      <c r="AB74" s="3">
        <v>0.53</v>
      </c>
      <c r="AC74" s="165" t="s">
        <v>560</v>
      </c>
      <c r="AD74" s="3">
        <v>0.53</v>
      </c>
      <c r="AE74" s="165" t="s">
        <v>560</v>
      </c>
      <c r="AF74" s="3">
        <v>0.53</v>
      </c>
      <c r="AG74" s="2"/>
      <c r="AH74" s="3">
        <f>AL77</f>
        <v>0.12029794543324487</v>
      </c>
      <c r="AI74" s="3">
        <f>AF75</f>
        <v>7.4280115420970919E-2</v>
      </c>
      <c r="AK74">
        <v>18</v>
      </c>
      <c r="AL74">
        <f t="shared" si="67"/>
        <v>0.11813885288969533</v>
      </c>
      <c r="AM74">
        <f t="shared" si="116"/>
        <v>494.63481687350594</v>
      </c>
      <c r="AN74">
        <f t="shared" si="68"/>
        <v>-77.504970799916634</v>
      </c>
      <c r="AO74">
        <f t="shared" si="139"/>
        <v>-16.778359215486766</v>
      </c>
      <c r="AP74">
        <f t="shared" si="140"/>
        <v>257.05970703320867</v>
      </c>
      <c r="AQ74">
        <f t="shared" si="70"/>
        <v>-572.13978767342257</v>
      </c>
      <c r="AR74">
        <f t="shared" si="71"/>
        <v>-65.805841405520326</v>
      </c>
      <c r="AS74">
        <f t="shared" si="72"/>
        <v>118.73777282969382</v>
      </c>
      <c r="AT74">
        <f t="shared" si="73"/>
        <v>93.424596811701889</v>
      </c>
      <c r="AU74">
        <f t="shared" si="118"/>
        <v>268.48968970650441</v>
      </c>
      <c r="AV74">
        <f t="shared" si="74"/>
        <v>627.23490784473097</v>
      </c>
      <c r="AX74">
        <f t="shared" si="75"/>
        <v>5.3585028144243754E-4</v>
      </c>
      <c r="AY74">
        <f t="shared" si="76"/>
        <v>257.20327431846476</v>
      </c>
      <c r="AZ74">
        <f t="shared" si="119"/>
        <v>0.29711764678468083</v>
      </c>
      <c r="BA74">
        <f t="shared" si="77"/>
        <v>4.0939840446534717E-2</v>
      </c>
      <c r="BB74">
        <f t="shared" si="78"/>
        <v>9.1831304738100563</v>
      </c>
      <c r="BC74">
        <f t="shared" si="79"/>
        <v>389871.36310697155</v>
      </c>
      <c r="BE74">
        <f t="shared" si="120"/>
        <v>1085.5876103976036</v>
      </c>
      <c r="BF74">
        <f t="shared" si="80"/>
        <v>1056.5203872207105</v>
      </c>
      <c r="BG74">
        <f t="shared" si="81"/>
        <v>1215.1589475509477</v>
      </c>
      <c r="BH74">
        <f t="shared" si="82"/>
        <v>89826.797429194863</v>
      </c>
      <c r="BI74">
        <f t="shared" si="83"/>
        <v>0.36807785927527525</v>
      </c>
      <c r="BJ74" s="191">
        <f t="shared" si="84"/>
        <v>1.0005062581898225</v>
      </c>
      <c r="BK74" s="2">
        <f t="shared" si="85"/>
        <v>1055.071043045745</v>
      </c>
      <c r="BL74" s="2">
        <f t="shared" si="86"/>
        <v>0.37076050121607901</v>
      </c>
      <c r="BM74" t="e">
        <f ca="1">[1]!cercha(AL74,$AH$72:$AI$74)</f>
        <v>#NAME?</v>
      </c>
      <c r="BN74">
        <f t="shared" si="87"/>
        <v>5.1589999999986516E-3</v>
      </c>
      <c r="BO74">
        <f t="shared" si="88"/>
        <v>2.8648951101277655E-2</v>
      </c>
      <c r="BP74" t="e">
        <f t="shared" ca="1" si="89"/>
        <v>#NAME?</v>
      </c>
      <c r="BR74" t="e">
        <f t="shared" ca="1" si="90"/>
        <v>#NAME?</v>
      </c>
      <c r="BS74" t="e">
        <f t="shared" ca="1" si="121"/>
        <v>#NAME?</v>
      </c>
      <c r="BT74" t="e">
        <f t="shared" ca="1" si="91"/>
        <v>#NAME?</v>
      </c>
      <c r="BU74" t="e">
        <f t="shared" ca="1" si="92"/>
        <v>#NAME?</v>
      </c>
      <c r="BV74" t="e">
        <f t="shared" ca="1" si="122"/>
        <v>#NAME?</v>
      </c>
      <c r="BW74" t="e">
        <f t="shared" ca="1" si="93"/>
        <v>#NAME?</v>
      </c>
      <c r="BX74" t="e">
        <f t="shared" ca="1" si="141"/>
        <v>#NAME?</v>
      </c>
      <c r="BY74">
        <f t="shared" si="142"/>
        <v>1056.4724931999942</v>
      </c>
      <c r="BZ74" t="e">
        <f t="shared" ca="1" si="143"/>
        <v>#NAME?</v>
      </c>
      <c r="CA74" t="e">
        <f t="shared" ca="1" si="97"/>
        <v>#NAME?</v>
      </c>
      <c r="CB74" t="e">
        <f t="shared" ca="1" si="98"/>
        <v>#NAME?</v>
      </c>
      <c r="CC74" t="e">
        <f t="shared" ca="1" si="99"/>
        <v>#NAME?</v>
      </c>
      <c r="CD74" t="e">
        <f t="shared" ca="1" si="100"/>
        <v>#NAME?</v>
      </c>
      <c r="CE74" s="92" t="e">
        <f t="shared" ca="1" si="101"/>
        <v>#NAME?</v>
      </c>
      <c r="CF74" t="e">
        <f t="shared" ca="1" si="102"/>
        <v>#NAME?</v>
      </c>
      <c r="CH74">
        <f t="shared" si="103"/>
        <v>5.3585028144243754E-4</v>
      </c>
      <c r="CI74" t="e">
        <f t="shared" ca="1" si="123"/>
        <v>#NAME?</v>
      </c>
      <c r="CJ74" t="e">
        <f t="shared" ca="1" si="124"/>
        <v>#NAME?</v>
      </c>
      <c r="CK74" t="e">
        <f t="shared" ca="1" si="125"/>
        <v>#NAME?</v>
      </c>
      <c r="CL74" t="e">
        <f t="shared" ca="1" si="104"/>
        <v>#NAME?</v>
      </c>
      <c r="CM74">
        <f t="shared" si="105"/>
        <v>389871.36310697155</v>
      </c>
      <c r="CN74">
        <f t="shared" si="126"/>
        <v>1085.5876103976036</v>
      </c>
      <c r="CO74" t="e">
        <f t="shared" ca="1" si="127"/>
        <v>#NAME?</v>
      </c>
      <c r="CP74" t="e">
        <f t="shared" ca="1" si="106"/>
        <v>#NAME?</v>
      </c>
      <c r="CQ74" t="e">
        <f t="shared" ca="1" si="128"/>
        <v>#NAME?</v>
      </c>
      <c r="CR74" t="e">
        <f t="shared" ca="1" si="130"/>
        <v>#NAME?</v>
      </c>
      <c r="CS74" t="e">
        <f t="shared" ca="1" si="107"/>
        <v>#NAME?</v>
      </c>
      <c r="CT74" t="e">
        <f t="shared" ca="1" si="108"/>
        <v>#NAME?</v>
      </c>
      <c r="CV74">
        <f t="shared" si="109"/>
        <v>0.36807785927527553</v>
      </c>
      <c r="CW74" t="e">
        <f t="shared" ca="1" si="110"/>
        <v>#NAME?</v>
      </c>
      <c r="CY74" t="e">
        <f t="shared" ca="1" si="131"/>
        <v>#NAME?</v>
      </c>
    </row>
    <row r="75" spans="1:147" x14ac:dyDescent="0.25">
      <c r="A75" s="3" t="s">
        <v>528</v>
      </c>
      <c r="B75" s="3">
        <v>0.67</v>
      </c>
      <c r="C75" s="2"/>
      <c r="D75" s="2"/>
      <c r="E75" s="146"/>
      <c r="F75" s="146"/>
      <c r="G75" s="171">
        <f t="shared" si="111"/>
        <v>0.11885855040421185</v>
      </c>
      <c r="H75" s="171">
        <f t="shared" si="136"/>
        <v>3.5984875725825483E-3</v>
      </c>
      <c r="I75" s="171">
        <f t="shared" si="137"/>
        <v>1</v>
      </c>
      <c r="J75" s="171">
        <f t="shared" si="134"/>
        <v>10.240413300509017</v>
      </c>
      <c r="K75" s="3">
        <f t="shared" si="145"/>
        <v>6.6329999999984006E-3</v>
      </c>
      <c r="N75" s="169" t="s">
        <v>548</v>
      </c>
      <c r="O75" s="170"/>
      <c r="P75" s="147"/>
      <c r="R75" s="171">
        <f t="shared" si="114"/>
        <v>0.11885855040421185</v>
      </c>
      <c r="S75" s="171">
        <f t="shared" si="133"/>
        <v>4.3181850870990662E-3</v>
      </c>
      <c r="T75" s="171">
        <f t="shared" si="135"/>
        <v>53.075911334822713</v>
      </c>
      <c r="U75" s="171">
        <f t="shared" si="144"/>
        <v>1</v>
      </c>
      <c r="V75" s="3">
        <f t="shared" si="132"/>
        <v>3.5015384679340046E-2</v>
      </c>
      <c r="AA75" s="104"/>
      <c r="AB75" s="42">
        <f>AB74*AB72*AB68*AB67*AB66+AB73</f>
        <v>7.3834754904693309E-2</v>
      </c>
      <c r="AC75" s="104"/>
      <c r="AD75" s="42">
        <f>AD74*AD72*AD68*AD67*AD66+AD73</f>
        <v>7.4205661130678544E-2</v>
      </c>
      <c r="AE75" s="104"/>
      <c r="AF75" s="42">
        <f>AF74*AF72*AF68*AF67*AF66+AF73</f>
        <v>7.4280115420970919E-2</v>
      </c>
      <c r="AG75" s="32"/>
      <c r="AH75" s="32"/>
      <c r="AK75">
        <v>19</v>
      </c>
      <c r="AL75">
        <f t="shared" si="67"/>
        <v>0.11885855040421185</v>
      </c>
      <c r="AM75">
        <f t="shared" si="116"/>
        <v>497.6481138506619</v>
      </c>
      <c r="AN75">
        <f t="shared" si="68"/>
        <v>-76.076853115691165</v>
      </c>
      <c r="AO75">
        <f t="shared" si="139"/>
        <v>-16.468729041557491</v>
      </c>
      <c r="AP75">
        <f t="shared" si="140"/>
        <v>257.34684160372092</v>
      </c>
      <c r="AQ75">
        <f t="shared" si="70"/>
        <v>-573.72496696635312</v>
      </c>
      <c r="AR75">
        <f t="shared" si="71"/>
        <v>-65.841172138727302</v>
      </c>
      <c r="AS75">
        <f t="shared" si="72"/>
        <v>118.67539854981968</v>
      </c>
      <c r="AT75">
        <f t="shared" si="73"/>
        <v>93.324366374654147</v>
      </c>
      <c r="AU75">
        <f t="shared" si="118"/>
        <v>268.35626406588142</v>
      </c>
      <c r="AV75">
        <f t="shared" si="74"/>
        <v>628.79864392661796</v>
      </c>
      <c r="AX75">
        <f t="shared" si="75"/>
        <v>5.3910474845639419E-4</v>
      </c>
      <c r="AY75">
        <f t="shared" si="76"/>
        <v>257.48633004737826</v>
      </c>
      <c r="AZ75">
        <f t="shared" si="119"/>
        <v>0.29697774707946439</v>
      </c>
      <c r="BA75">
        <f t="shared" si="77"/>
        <v>4.121414819792097E-2</v>
      </c>
      <c r="BB75">
        <f t="shared" si="78"/>
        <v>10.661932439684078</v>
      </c>
      <c r="BC75">
        <f t="shared" si="79"/>
        <v>389790.43049662921</v>
      </c>
      <c r="BE75">
        <f t="shared" si="120"/>
        <v>1085.6528786317506</v>
      </c>
      <c r="BF75">
        <f t="shared" si="80"/>
        <v>1056.6145381223162</v>
      </c>
      <c r="BG75">
        <f t="shared" si="81"/>
        <v>1216.0450762690716</v>
      </c>
      <c r="BH75">
        <f t="shared" si="82"/>
        <v>89792.502987251122</v>
      </c>
      <c r="BI75">
        <f t="shared" si="83"/>
        <v>0.37403750373370076</v>
      </c>
      <c r="BJ75" s="191">
        <f t="shared" si="84"/>
        <v>1.0029558954504616</v>
      </c>
      <c r="BK75" s="2">
        <f t="shared" si="85"/>
        <v>1054.9488922792377</v>
      </c>
      <c r="BL75" s="2">
        <f t="shared" si="86"/>
        <v>0.37709033802216413</v>
      </c>
      <c r="BM75" t="e">
        <f ca="1">[1]!cercha(AL75,$AH$72:$AI$74)</f>
        <v>#NAME?</v>
      </c>
      <c r="BN75">
        <f t="shared" si="87"/>
        <v>6.6329999999984006E-3</v>
      </c>
      <c r="BO75">
        <f t="shared" si="88"/>
        <v>3.5015384679340046E-2</v>
      </c>
      <c r="BP75" t="e">
        <f t="shared" ca="1" si="89"/>
        <v>#NAME?</v>
      </c>
      <c r="BR75" t="e">
        <f t="shared" ca="1" si="90"/>
        <v>#NAME?</v>
      </c>
      <c r="BS75" t="e">
        <f t="shared" ca="1" si="121"/>
        <v>#NAME?</v>
      </c>
      <c r="BT75" t="e">
        <f t="shared" ca="1" si="91"/>
        <v>#NAME?</v>
      </c>
      <c r="BU75" t="e">
        <f t="shared" ca="1" si="92"/>
        <v>#NAME?</v>
      </c>
      <c r="BV75" t="e">
        <f t="shared" ca="1" si="122"/>
        <v>#NAME?</v>
      </c>
      <c r="BW75" t="e">
        <f t="shared" ca="1" si="93"/>
        <v>#NAME?</v>
      </c>
      <c r="BX75" t="e">
        <f t="shared" ca="1" si="141"/>
        <v>#NAME?</v>
      </c>
      <c r="BY75">
        <f t="shared" si="142"/>
        <v>1056.5674626715133</v>
      </c>
      <c r="BZ75" t="e">
        <f t="shared" ca="1" si="143"/>
        <v>#NAME?</v>
      </c>
      <c r="CA75" t="e">
        <f t="shared" ca="1" si="97"/>
        <v>#NAME?</v>
      </c>
      <c r="CB75" t="e">
        <f t="shared" ca="1" si="98"/>
        <v>#NAME?</v>
      </c>
      <c r="CC75" t="e">
        <f t="shared" ca="1" si="99"/>
        <v>#NAME?</v>
      </c>
      <c r="CD75" t="e">
        <f t="shared" ca="1" si="100"/>
        <v>#NAME?</v>
      </c>
      <c r="CE75" s="92" t="e">
        <f t="shared" ca="1" si="101"/>
        <v>#NAME?</v>
      </c>
      <c r="CF75" t="e">
        <f t="shared" ca="1" si="102"/>
        <v>#NAME?</v>
      </c>
      <c r="CH75">
        <f t="shared" si="103"/>
        <v>5.3910474845639419E-4</v>
      </c>
      <c r="CI75" t="e">
        <f t="shared" ca="1" si="123"/>
        <v>#NAME?</v>
      </c>
      <c r="CJ75" t="e">
        <f t="shared" ca="1" si="124"/>
        <v>#NAME?</v>
      </c>
      <c r="CK75" t="e">
        <f t="shared" ca="1" si="125"/>
        <v>#NAME?</v>
      </c>
      <c r="CL75" t="e">
        <f t="shared" ca="1" si="104"/>
        <v>#NAME?</v>
      </c>
      <c r="CM75">
        <f t="shared" si="105"/>
        <v>389790.43049662921</v>
      </c>
      <c r="CN75">
        <f t="shared" si="126"/>
        <v>1085.6528786317506</v>
      </c>
      <c r="CO75" t="e">
        <f t="shared" ca="1" si="127"/>
        <v>#NAME?</v>
      </c>
      <c r="CP75" t="e">
        <f t="shared" ca="1" si="106"/>
        <v>#NAME?</v>
      </c>
      <c r="CQ75" t="e">
        <f t="shared" ca="1" si="128"/>
        <v>#NAME?</v>
      </c>
      <c r="CR75" t="e">
        <f t="shared" ca="1" si="130"/>
        <v>#NAME?</v>
      </c>
      <c r="CS75" t="e">
        <f t="shared" ca="1" si="107"/>
        <v>#NAME?</v>
      </c>
      <c r="CT75" t="e">
        <f t="shared" ca="1" si="108"/>
        <v>#NAME?</v>
      </c>
      <c r="CV75">
        <f t="shared" si="109"/>
        <v>0.37403750373370082</v>
      </c>
      <c r="CW75" t="e">
        <f t="shared" ca="1" si="110"/>
        <v>#NAME?</v>
      </c>
      <c r="CY75" t="e">
        <f t="shared" ca="1" si="131"/>
        <v>#NAME?</v>
      </c>
    </row>
    <row r="76" spans="1:147" x14ac:dyDescent="0.25">
      <c r="A76" s="3" t="s">
        <v>529</v>
      </c>
      <c r="B76" s="3">
        <v>1.4</v>
      </c>
      <c r="C76" s="187"/>
      <c r="D76" s="187"/>
      <c r="F76" t="s">
        <v>588</v>
      </c>
      <c r="G76" s="171">
        <f t="shared" si="111"/>
        <v>0.11957824791872837</v>
      </c>
      <c r="H76" s="171">
        <f t="shared" si="136"/>
        <v>4.3181850870990662E-3</v>
      </c>
      <c r="I76" s="171">
        <f t="shared" si="137"/>
        <v>1</v>
      </c>
      <c r="J76" s="171">
        <f>IF(H76&lt;=0,0,TAN($F$77)*H76)</f>
        <v>12.288495960610845</v>
      </c>
      <c r="K76" s="3">
        <f t="shared" si="145"/>
        <v>8.1069999999980654E-3</v>
      </c>
      <c r="N76" s="3" t="s">
        <v>598</v>
      </c>
      <c r="O76" s="3">
        <v>0.4</v>
      </c>
      <c r="P76" t="s">
        <v>198</v>
      </c>
      <c r="Q76" t="s">
        <v>588</v>
      </c>
      <c r="R76" s="171">
        <f t="shared" si="114"/>
        <v>0.11957824791872837</v>
      </c>
      <c r="S76" s="171">
        <f t="shared" si="133"/>
        <v>5.0378826016155842E-3</v>
      </c>
      <c r="T76" s="171">
        <f>IF(S76&lt;=0,0,TAN($Q$77)*S76)</f>
        <v>61.921896557293252</v>
      </c>
      <c r="U76" s="171">
        <f t="shared" si="144"/>
        <v>1</v>
      </c>
      <c r="V76" s="3">
        <f t="shared" si="132"/>
        <v>4.1381818257401934E-2</v>
      </c>
      <c r="AK76">
        <v>20</v>
      </c>
      <c r="AL76">
        <f t="shared" si="67"/>
        <v>0.11957824791872837</v>
      </c>
      <c r="AM76">
        <f t="shared" si="116"/>
        <v>500.66141082781792</v>
      </c>
      <c r="AN76">
        <f t="shared" si="68"/>
        <v>-74.668807110903288</v>
      </c>
      <c r="AO76">
        <f t="shared" si="139"/>
        <v>-16.163402927799719</v>
      </c>
      <c r="AP76">
        <f t="shared" si="140"/>
        <v>257.62581849103566</v>
      </c>
      <c r="AQ76">
        <f t="shared" si="70"/>
        <v>-575.33021793872126</v>
      </c>
      <c r="AR76">
        <f t="shared" si="71"/>
        <v>-65.877749896781751</v>
      </c>
      <c r="AS76">
        <f t="shared" si="72"/>
        <v>118.61839043902765</v>
      </c>
      <c r="AT76">
        <f t="shared" si="73"/>
        <v>93.233322882862296</v>
      </c>
      <c r="AU76">
        <f t="shared" si="118"/>
        <v>268.2284345637899</v>
      </c>
      <c r="AV76">
        <f t="shared" si="74"/>
        <v>630.37760273235642</v>
      </c>
      <c r="AX76">
        <f t="shared" si="75"/>
        <v>5.4235921547034552E-4</v>
      </c>
      <c r="AY76">
        <f t="shared" si="76"/>
        <v>257.76134421847576</v>
      </c>
      <c r="AZ76">
        <f t="shared" si="119"/>
        <v>0.29683428012059621</v>
      </c>
      <c r="BA76">
        <f t="shared" si="77"/>
        <v>4.1486933671344157E-2</v>
      </c>
      <c r="BB76">
        <f t="shared" si="78"/>
        <v>12.175148313514232</v>
      </c>
      <c r="BC76">
        <f t="shared" si="79"/>
        <v>389709.94101267401</v>
      </c>
      <c r="BE76">
        <f t="shared" si="120"/>
        <v>1085.7177895059081</v>
      </c>
      <c r="BF76">
        <f t="shared" si="80"/>
        <v>1056.7071068008511</v>
      </c>
      <c r="BG76">
        <f t="shared" si="81"/>
        <v>1216.9393334244771</v>
      </c>
      <c r="BH76">
        <f t="shared" si="82"/>
        <v>89756.987941956992</v>
      </c>
      <c r="BI76">
        <f t="shared" si="83"/>
        <v>0.3799246704803349</v>
      </c>
      <c r="BJ76" s="191">
        <f t="shared" si="84"/>
        <v>1.005430348852542</v>
      </c>
      <c r="BK76" s="2">
        <f t="shared" si="85"/>
        <v>1054.8228461645942</v>
      </c>
      <c r="BL76" s="2">
        <f t="shared" si="86"/>
        <v>0.38334444464564987</v>
      </c>
      <c r="BM76" t="e">
        <f ca="1">[1]!cercha(AL76,$AH$72:$AI$74)</f>
        <v>#NAME?</v>
      </c>
      <c r="BN76">
        <f t="shared" si="87"/>
        <v>8.1069999999980654E-3</v>
      </c>
      <c r="BO76">
        <f t="shared" si="88"/>
        <v>4.1381818257401934E-2</v>
      </c>
      <c r="BP76" t="e">
        <f t="shared" ca="1" si="89"/>
        <v>#NAME?</v>
      </c>
      <c r="BR76" t="e">
        <f t="shared" ca="1" si="90"/>
        <v>#NAME?</v>
      </c>
      <c r="BS76" t="e">
        <f t="shared" ca="1" si="121"/>
        <v>#NAME?</v>
      </c>
      <c r="BT76" t="e">
        <f t="shared" ca="1" si="91"/>
        <v>#NAME?</v>
      </c>
      <c r="BU76" t="e">
        <f t="shared" ca="1" si="92"/>
        <v>#NAME?</v>
      </c>
      <c r="BV76" t="e">
        <f t="shared" ca="1" si="122"/>
        <v>#NAME?</v>
      </c>
      <c r="BW76" t="e">
        <f t="shared" ca="1" si="93"/>
        <v>#NAME?</v>
      </c>
      <c r="BX76" t="e">
        <f t="shared" ca="1" si="141"/>
        <v>#NAME?</v>
      </c>
      <c r="BY76">
        <f t="shared" si="142"/>
        <v>1056.6608224615836</v>
      </c>
      <c r="BZ76" t="e">
        <f t="shared" ca="1" si="143"/>
        <v>#NAME?</v>
      </c>
      <c r="CA76" t="e">
        <f t="shared" ca="1" si="97"/>
        <v>#NAME?</v>
      </c>
      <c r="CB76" t="e">
        <f t="shared" ca="1" si="98"/>
        <v>#NAME?</v>
      </c>
      <c r="CC76" t="e">
        <f t="shared" ca="1" si="99"/>
        <v>#NAME?</v>
      </c>
      <c r="CD76" t="e">
        <f t="shared" ca="1" si="100"/>
        <v>#NAME?</v>
      </c>
      <c r="CE76" s="92" t="e">
        <f t="shared" ca="1" si="101"/>
        <v>#NAME?</v>
      </c>
      <c r="CF76" t="e">
        <f t="shared" ca="1" si="102"/>
        <v>#NAME?</v>
      </c>
      <c r="CH76">
        <f t="shared" si="103"/>
        <v>5.4235921547034552E-4</v>
      </c>
      <c r="CI76" t="e">
        <f t="shared" ca="1" si="123"/>
        <v>#NAME?</v>
      </c>
      <c r="CJ76" t="e">
        <f t="shared" ca="1" si="124"/>
        <v>#NAME?</v>
      </c>
      <c r="CK76" t="e">
        <f t="shared" ca="1" si="125"/>
        <v>#NAME?</v>
      </c>
      <c r="CL76" t="e">
        <f t="shared" ca="1" si="104"/>
        <v>#NAME?</v>
      </c>
      <c r="CM76">
        <f t="shared" si="105"/>
        <v>389709.94101267401</v>
      </c>
      <c r="CN76">
        <f t="shared" si="126"/>
        <v>1085.7177895059081</v>
      </c>
      <c r="CO76" t="e">
        <f t="shared" ca="1" si="127"/>
        <v>#NAME?</v>
      </c>
      <c r="CP76" t="e">
        <f t="shared" ca="1" si="106"/>
        <v>#NAME?</v>
      </c>
      <c r="CQ76" t="e">
        <f t="shared" ca="1" si="128"/>
        <v>#NAME?</v>
      </c>
      <c r="CR76" t="e">
        <f t="shared" ca="1" si="130"/>
        <v>#NAME?</v>
      </c>
      <c r="CS76" t="e">
        <f t="shared" ca="1" si="107"/>
        <v>#NAME?</v>
      </c>
      <c r="CT76" t="e">
        <f t="shared" ca="1" si="108"/>
        <v>#NAME?</v>
      </c>
      <c r="CV76">
        <f t="shared" si="109"/>
        <v>0.37992467048033463</v>
      </c>
      <c r="CW76" t="e">
        <f t="shared" ca="1" si="110"/>
        <v>#NAME?</v>
      </c>
      <c r="CY76" t="e">
        <f t="shared" ca="1" si="131"/>
        <v>#NAME?</v>
      </c>
    </row>
    <row r="77" spans="1:147" ht="15.75" thickBot="1" x14ac:dyDescent="0.3">
      <c r="A77" s="161" t="s">
        <v>531</v>
      </c>
      <c r="B77" s="162"/>
      <c r="C77" s="140"/>
      <c r="D77" s="140"/>
      <c r="E77" s="136"/>
      <c r="F77">
        <f>ATAN(J77/H77)</f>
        <v>1.5704449261903637</v>
      </c>
      <c r="G77" s="171">
        <f>AL77</f>
        <v>0.12029794543324487</v>
      </c>
      <c r="H77" s="171">
        <f>G77-$B$87</f>
        <v>5.0378826016155703E-3</v>
      </c>
      <c r="I77" s="171">
        <f>IF(H77&lt;=0,0,1)</f>
        <v>1</v>
      </c>
      <c r="J77" s="171">
        <f>IF(H77&lt;=0,0,B78/B85)</f>
        <v>14.336578620716214</v>
      </c>
      <c r="K77" s="3">
        <f>(J77+J76)/2*(G77-G76)</f>
        <v>9.5809999999988179E-3</v>
      </c>
      <c r="N77" s="3" t="s">
        <v>572</v>
      </c>
      <c r="O77" s="3">
        <f>O76*O59</f>
        <v>5.7575801161320848E-3</v>
      </c>
      <c r="P77" t="s">
        <v>597</v>
      </c>
      <c r="Q77">
        <f>ATAN(T77/S77)</f>
        <v>1.5707149681338963</v>
      </c>
      <c r="R77" s="171">
        <f t="shared" si="114"/>
        <v>0.12029794543324487</v>
      </c>
      <c r="S77" s="171">
        <f t="shared" si="133"/>
        <v>5.7575801161320883E-3</v>
      </c>
      <c r="T77" s="171">
        <f>IF(S77&lt;=0,0,O72/O77*2)</f>
        <v>70.767881779855912</v>
      </c>
      <c r="U77" s="223">
        <f t="shared" si="144"/>
        <v>1</v>
      </c>
      <c r="V77" s="3">
        <f>(T77+T76)/2*(R77-R76)</f>
        <v>4.774825183549606E-2</v>
      </c>
      <c r="AJ77" s="201" t="s">
        <v>468</v>
      </c>
      <c r="AK77">
        <v>21</v>
      </c>
      <c r="AL77">
        <f t="shared" si="67"/>
        <v>0.12029794543324487</v>
      </c>
      <c r="AM77">
        <f t="shared" si="116"/>
        <v>503.67470780497382</v>
      </c>
      <c r="AN77">
        <f t="shared" si="68"/>
        <v>-73.280446725748618</v>
      </c>
      <c r="AO77">
        <f t="shared" si="139"/>
        <v>-15.862303978255063</v>
      </c>
      <c r="AP77">
        <f t="shared" si="140"/>
        <v>257.89686994591591</v>
      </c>
      <c r="AQ77">
        <f t="shared" si="70"/>
        <v>-576.95515453072244</v>
      </c>
      <c r="AR77">
        <f t="shared" si="71"/>
        <v>-65.915529195387549</v>
      </c>
      <c r="AS77" s="92">
        <f t="shared" si="72"/>
        <v>118.56742054402559</v>
      </c>
      <c r="AT77">
        <f t="shared" si="73"/>
        <v>93.151639896755</v>
      </c>
      <c r="AU77">
        <f t="shared" si="118"/>
        <v>268.10598538679801</v>
      </c>
      <c r="AV77">
        <f t="shared" si="74"/>
        <v>631.9715546347561</v>
      </c>
      <c r="AZ77">
        <f t="shared" si="119"/>
        <v>0.29668730903910512</v>
      </c>
      <c r="BC77" s="2">
        <f t="shared" si="79"/>
        <v>389629.88917538681</v>
      </c>
      <c r="BD77" s="2"/>
      <c r="BE77" s="2">
        <f t="shared" si="120"/>
        <v>1085.7823474392042</v>
      </c>
      <c r="BF77" s="2">
        <f t="shared" si="80"/>
        <v>1056.7981460681453</v>
      </c>
      <c r="BG77">
        <f t="shared" si="81"/>
        <v>1217.84171295019</v>
      </c>
      <c r="BH77">
        <f t="shared" si="82"/>
        <v>89720.275779587726</v>
      </c>
      <c r="BI77">
        <f t="shared" si="83"/>
        <v>0.38574053784053008</v>
      </c>
      <c r="BJ77" s="191">
        <f t="shared" si="84"/>
        <v>1.0079292291914295</v>
      </c>
      <c r="BK77" s="2">
        <f t="shared" si="85"/>
        <v>1054.6929575136451</v>
      </c>
      <c r="BL77" s="2">
        <f t="shared" si="86"/>
        <v>0.38952400333793347</v>
      </c>
      <c r="BM77">
        <f>AI74</f>
        <v>7.4280115420970919E-2</v>
      </c>
      <c r="BN77">
        <f t="shared" si="87"/>
        <v>9.5809999999988179E-3</v>
      </c>
      <c r="BO77">
        <f t="shared" si="88"/>
        <v>4.774825183549606E-2</v>
      </c>
      <c r="BP77">
        <f t="shared" si="89"/>
        <v>8.3861115420969731E-2</v>
      </c>
      <c r="BR77">
        <f t="shared" si="90"/>
        <v>0.13923870782260522</v>
      </c>
      <c r="BS77">
        <f>BR77+BO77</f>
        <v>0.18698695965810128</v>
      </c>
      <c r="BT77" t="e">
        <f t="shared" ca="1" si="91"/>
        <v>#NAME?</v>
      </c>
      <c r="BU77" t="e">
        <f t="shared" ca="1" si="92"/>
        <v>#NAME?</v>
      </c>
      <c r="BV77" t="e">
        <f t="shared" ca="1" si="122"/>
        <v>#NAME?</v>
      </c>
      <c r="BW77" t="e">
        <f t="shared" ca="1" si="93"/>
        <v>#NAME?</v>
      </c>
      <c r="BX77" t="e">
        <f t="shared" ca="1" si="141"/>
        <v>#NAME?</v>
      </c>
      <c r="BY77">
        <f t="shared" si="142"/>
        <v>1056.7526264344983</v>
      </c>
      <c r="BZ77" t="e">
        <f t="shared" ca="1" si="143"/>
        <v>#NAME?</v>
      </c>
      <c r="CA77" t="e">
        <f t="shared" ca="1" si="97"/>
        <v>#NAME?</v>
      </c>
      <c r="CB77" t="e">
        <f t="shared" ca="1" si="98"/>
        <v>#NAME?</v>
      </c>
      <c r="CC77" t="e">
        <f t="shared" ca="1" si="99"/>
        <v>#NAME?</v>
      </c>
      <c r="CD77" t="e">
        <f t="shared" ca="1" si="100"/>
        <v>#NAME?</v>
      </c>
      <c r="CE77" s="92" t="e">
        <f t="shared" ca="1" si="101"/>
        <v>#NAME?</v>
      </c>
      <c r="CF77" t="e">
        <f t="shared" ca="1" si="102"/>
        <v>#NAME?</v>
      </c>
      <c r="CJ77" t="e">
        <f t="shared" ca="1" si="124"/>
        <v>#NAME?</v>
      </c>
      <c r="CM77">
        <f t="shared" si="105"/>
        <v>389629.88917538681</v>
      </c>
      <c r="CN77" s="2">
        <f t="shared" si="126"/>
        <v>1085.7823474392042</v>
      </c>
      <c r="CO77" t="e">
        <f t="shared" ca="1" si="127"/>
        <v>#NAME?</v>
      </c>
      <c r="CP77" t="e">
        <f t="shared" ca="1" si="106"/>
        <v>#NAME?</v>
      </c>
      <c r="CQ77" t="e">
        <f ca="1">CO77+CB77^2/(2*$BB$1)</f>
        <v>#NAME?</v>
      </c>
      <c r="CR77" t="e">
        <f t="shared" ca="1" si="130"/>
        <v>#NAME?</v>
      </c>
      <c r="CS77" t="e">
        <f t="shared" ca="1" si="107"/>
        <v>#NAME?</v>
      </c>
      <c r="CT77" t="e">
        <f t="shared" ca="1" si="108"/>
        <v>#NAME?</v>
      </c>
      <c r="CV77">
        <f t="shared" si="109"/>
        <v>0.38574053784052975</v>
      </c>
      <c r="CW77" t="e">
        <f t="shared" ca="1" si="110"/>
        <v>#NAME?</v>
      </c>
      <c r="CY77" t="e">
        <f ca="1">(BS77+BS76)/2*CK76</f>
        <v>#NAME?</v>
      </c>
      <c r="CZ77" t="e">
        <f ca="1">SUM(CY58:CY77)/CM80</f>
        <v>#NAME?</v>
      </c>
    </row>
    <row r="78" spans="1:147" ht="15.75" thickBot="1" x14ac:dyDescent="0.3">
      <c r="A78" s="140" t="s">
        <v>531</v>
      </c>
      <c r="B78" s="140">
        <f>B76*B75*B73</f>
        <v>7.2225999999999999E-2</v>
      </c>
      <c r="C78" s="187"/>
      <c r="D78" s="187"/>
      <c r="K78">
        <f>SUM(K69:K77)</f>
        <v>3.6112999999992269E-2</v>
      </c>
      <c r="N78" s="3" t="s">
        <v>573</v>
      </c>
      <c r="O78" s="3">
        <f>AL57+O77</f>
        <v>0.11166157525904674</v>
      </c>
      <c r="U78" s="224"/>
      <c r="V78">
        <f>SUM(V67:V77)</f>
        <v>0.20372587449800986</v>
      </c>
      <c r="AA78" s="147"/>
      <c r="AB78" s="147"/>
      <c r="AC78" s="147"/>
      <c r="AD78" s="147"/>
      <c r="AE78" s="147"/>
      <c r="AF78" s="147"/>
      <c r="AG78" s="147"/>
      <c r="AH78" s="147"/>
      <c r="AZ78" t="s">
        <v>505</v>
      </c>
      <c r="BA78">
        <f>SUM(BA57:BA76)</f>
        <v>0.77610193270671302</v>
      </c>
      <c r="BJ78" s="2"/>
      <c r="BK78" s="2"/>
      <c r="BL78" s="2"/>
    </row>
    <row r="79" spans="1:147" ht="15.75" thickBot="1" x14ac:dyDescent="0.3">
      <c r="A79" s="159" t="s">
        <v>549</v>
      </c>
      <c r="B79" s="160"/>
      <c r="C79" s="2"/>
      <c r="D79" s="2"/>
      <c r="G79" s="149" t="s">
        <v>576</v>
      </c>
      <c r="H79" s="153"/>
      <c r="I79" s="153"/>
      <c r="J79" s="153"/>
      <c r="N79" s="3" t="s">
        <v>574</v>
      </c>
      <c r="O79" s="3">
        <f>AL77-O77</f>
        <v>0.11454036531711279</v>
      </c>
      <c r="R79" s="149" t="s">
        <v>576</v>
      </c>
      <c r="S79" s="153"/>
      <c r="T79" s="153"/>
      <c r="U79" s="224"/>
      <c r="BA79">
        <f>(BA48-BA78)/BA78*100</f>
        <v>0.22497970080538662</v>
      </c>
    </row>
    <row r="80" spans="1:147" ht="15.75" thickBot="1" x14ac:dyDescent="0.3">
      <c r="A80" s="3" t="s">
        <v>550</v>
      </c>
      <c r="B80" s="3">
        <f>RADIANS(AX11-AY11)</f>
        <v>2.0901166936269702</v>
      </c>
      <c r="C80" s="2"/>
      <c r="D80" s="2"/>
      <c r="G80" s="150">
        <f>B78/2*2/F62</f>
        <v>20.071210069002721</v>
      </c>
      <c r="H80" s="153"/>
      <c r="I80" s="153"/>
      <c r="J80" s="153"/>
      <c r="N80" s="3" t="s">
        <v>580</v>
      </c>
      <c r="O80" s="3">
        <f>O77/AK23</f>
        <v>7.9999999999999956</v>
      </c>
      <c r="R80" s="151">
        <f>O72*2/Q72</f>
        <v>141.53576355971174</v>
      </c>
      <c r="S80" s="153"/>
      <c r="T80" s="153"/>
      <c r="U80" s="224"/>
      <c r="AZ80" t="s">
        <v>475</v>
      </c>
      <c r="BA80">
        <f>CG17</f>
        <v>0.7774823082743787</v>
      </c>
      <c r="BB80" t="s">
        <v>506</v>
      </c>
      <c r="BC80" s="140">
        <f>(BA78-BA80)/BA80*100</f>
        <v>-0.17754430589287926</v>
      </c>
      <c r="BD80" s="140"/>
      <c r="CL80" s="108" t="s">
        <v>620</v>
      </c>
      <c r="CM80" s="109" t="e">
        <f ca="1">SUM(CK57:CK76)</f>
        <v>#NAME?</v>
      </c>
      <c r="CN80" s="109"/>
      <c r="CO80" s="110"/>
    </row>
    <row r="81" spans="1:93" ht="15.75" thickBot="1" x14ac:dyDescent="0.3">
      <c r="A81" s="3" t="s">
        <v>551</v>
      </c>
      <c r="B81" s="3">
        <f>AD61</f>
        <v>1.25</v>
      </c>
      <c r="C81" s="2"/>
      <c r="D81" s="2"/>
      <c r="G81" s="152" t="s">
        <v>577</v>
      </c>
      <c r="H81" s="154"/>
      <c r="I81" s="154"/>
      <c r="J81" s="154"/>
      <c r="R81" s="154"/>
      <c r="S81" s="154"/>
      <c r="T81" s="154"/>
      <c r="U81" s="224"/>
      <c r="CL81" s="113" t="s">
        <v>475</v>
      </c>
      <c r="CM81" s="114">
        <f>CG13</f>
        <v>0.7774823082743787</v>
      </c>
      <c r="CN81" s="114" t="s">
        <v>506</v>
      </c>
      <c r="CO81" s="193" t="e">
        <f ca="1">(CM80-CM81)/CM81*100</f>
        <v>#NAME?</v>
      </c>
    </row>
    <row r="82" spans="1:93" ht="15.75" thickBot="1" x14ac:dyDescent="0.3">
      <c r="A82" s="3" t="s">
        <v>570</v>
      </c>
      <c r="B82" s="3">
        <f>B80/SQRT(B81)</f>
        <v>1.8694572031428025</v>
      </c>
      <c r="C82" s="2"/>
      <c r="D82" s="2"/>
      <c r="G82" s="151">
        <f>B78/2*2/F72</f>
        <v>20.071210069002721</v>
      </c>
      <c r="H82" s="153"/>
      <c r="I82" s="153"/>
      <c r="J82" s="153"/>
      <c r="R82" s="153"/>
      <c r="S82" s="153"/>
      <c r="T82" s="153"/>
      <c r="U82" s="224"/>
    </row>
    <row r="83" spans="1:93" x14ac:dyDescent="0.25">
      <c r="A83" s="3" t="s">
        <v>554</v>
      </c>
      <c r="B83" s="3">
        <v>0.05</v>
      </c>
      <c r="C83" t="s">
        <v>575</v>
      </c>
      <c r="D83">
        <v>0.35</v>
      </c>
      <c r="E83" t="s">
        <v>198</v>
      </c>
      <c r="U83" s="224"/>
    </row>
    <row r="84" spans="1:93" x14ac:dyDescent="0.25">
      <c r="A84" s="3" t="s">
        <v>553</v>
      </c>
      <c r="B84" s="3">
        <v>0.4</v>
      </c>
      <c r="C84" t="s">
        <v>575</v>
      </c>
      <c r="D84">
        <v>0.35</v>
      </c>
      <c r="U84" s="224"/>
    </row>
    <row r="85" spans="1:93" x14ac:dyDescent="0.25">
      <c r="A85" s="3" t="s">
        <v>572</v>
      </c>
      <c r="B85" s="3">
        <f>D84/B61*B60</f>
        <v>5.0378826016155729E-3</v>
      </c>
      <c r="C85" s="2"/>
      <c r="D85" s="2"/>
      <c r="U85" s="224"/>
      <c r="BO85">
        <f>20000/20</f>
        <v>1000</v>
      </c>
      <c r="BP85">
        <f>BO85*8</f>
        <v>8000</v>
      </c>
    </row>
    <row r="86" spans="1:93" x14ac:dyDescent="0.25">
      <c r="A86" s="3" t="s">
        <v>573</v>
      </c>
      <c r="B86" s="3">
        <f>AL57+B85</f>
        <v>0.11094187774453022</v>
      </c>
      <c r="C86" s="2"/>
      <c r="D86" s="2"/>
      <c r="U86" s="224"/>
      <c r="AJ86" s="288" t="s">
        <v>467</v>
      </c>
      <c r="AK86" t="s">
        <v>158</v>
      </c>
    </row>
    <row r="87" spans="1:93" x14ac:dyDescent="0.25">
      <c r="A87" s="3" t="s">
        <v>574</v>
      </c>
      <c r="B87" s="3">
        <f>AL77-B85</f>
        <v>0.1152600628316293</v>
      </c>
      <c r="C87" s="2"/>
      <c r="D87" s="2"/>
      <c r="U87" s="224"/>
      <c r="AJ87" s="288"/>
      <c r="AU87" s="35"/>
      <c r="AV87" s="35"/>
      <c r="BH87" s="32"/>
      <c r="BI87" s="32"/>
      <c r="BJ87" s="32"/>
    </row>
    <row r="88" spans="1:93" x14ac:dyDescent="0.25">
      <c r="A88" s="3" t="s">
        <v>580</v>
      </c>
      <c r="B88" s="3">
        <f>B85/AK23</f>
        <v>6.9999999999999938</v>
      </c>
      <c r="AJ88" s="288"/>
      <c r="AK88" s="40" t="s">
        <v>666</v>
      </c>
      <c r="AL88" s="40"/>
      <c r="AM88" s="40" t="s">
        <v>72</v>
      </c>
      <c r="AN88" s="37" t="s">
        <v>667</v>
      </c>
      <c r="AO88" s="37"/>
      <c r="AP88" s="37" t="s">
        <v>118</v>
      </c>
      <c r="AQ88" s="42" t="s">
        <v>668</v>
      </c>
      <c r="AR88" s="42"/>
      <c r="AS88" s="43" t="s">
        <v>669</v>
      </c>
      <c r="AT88" s="43"/>
      <c r="AU88" s="43" t="s">
        <v>188</v>
      </c>
      <c r="AV88" s="37" t="s">
        <v>670</v>
      </c>
      <c r="AW88" s="37"/>
      <c r="AX88" s="37" t="s">
        <v>73</v>
      </c>
      <c r="AY88" s="41" t="s">
        <v>665</v>
      </c>
      <c r="AZ88" s="41"/>
      <c r="BH88" s="32"/>
      <c r="BI88" s="32"/>
      <c r="BJ88" s="32"/>
      <c r="BQ88" s="32"/>
      <c r="BR88" s="32"/>
      <c r="BS88" s="32"/>
      <c r="BT88" s="32"/>
      <c r="BU88" s="32"/>
      <c r="BX88" t="s">
        <v>274</v>
      </c>
      <c r="BY88">
        <f>AL67</f>
        <v>0.11310097028807976</v>
      </c>
      <c r="BZ88">
        <v>-500</v>
      </c>
    </row>
    <row r="89" spans="1:93" x14ac:dyDescent="0.25">
      <c r="AJ89" s="288"/>
      <c r="AK89" s="3" t="s">
        <v>159</v>
      </c>
      <c r="AL89" s="3" t="s">
        <v>160</v>
      </c>
      <c r="AM89" s="34" t="e">
        <f ca="1">BS26</f>
        <v>#NAME?</v>
      </c>
      <c r="AN89" s="3" t="s">
        <v>159</v>
      </c>
      <c r="AO89" s="3" t="s">
        <v>160</v>
      </c>
      <c r="AP89" s="34" t="e">
        <f ca="1">BV26</f>
        <v>#NAME?</v>
      </c>
      <c r="AQ89" s="3" t="s">
        <v>159</v>
      </c>
      <c r="AR89" s="3" t="s">
        <v>160</v>
      </c>
      <c r="AS89" s="3" t="s">
        <v>159</v>
      </c>
      <c r="AT89" s="3" t="s">
        <v>160</v>
      </c>
      <c r="AU89" s="34" t="e">
        <f ca="1">CC57</f>
        <v>#NAME?</v>
      </c>
      <c r="AV89" s="3" t="s">
        <v>159</v>
      </c>
      <c r="AW89" s="3" t="s">
        <v>160</v>
      </c>
      <c r="AX89" s="34" t="e">
        <f ca="1">CD57</f>
        <v>#NAME?</v>
      </c>
      <c r="AY89" s="3" t="s">
        <v>159</v>
      </c>
      <c r="AZ89" s="3" t="s">
        <v>160</v>
      </c>
      <c r="BA89" s="35" t="e">
        <f ca="1">AT90-BA90</f>
        <v>#NAME?</v>
      </c>
      <c r="BH89" s="32"/>
      <c r="BI89" s="32"/>
      <c r="BJ89" s="32"/>
      <c r="BQ89" s="32"/>
      <c r="BR89" s="32"/>
      <c r="BS89" s="32"/>
      <c r="BT89" s="32"/>
      <c r="BU89" s="32"/>
      <c r="BX89" t="s">
        <v>274</v>
      </c>
      <c r="BY89">
        <f>BY88</f>
        <v>0.11310097028807976</v>
      </c>
      <c r="BZ89">
        <v>500</v>
      </c>
    </row>
    <row r="90" spans="1:93" x14ac:dyDescent="0.25">
      <c r="AJ90" s="288"/>
      <c r="AK90" s="3">
        <v>0</v>
      </c>
      <c r="AL90" s="34" t="e">
        <f ca="1">BQ26+BA89</f>
        <v>#NAME?</v>
      </c>
      <c r="AM90" s="3"/>
      <c r="AN90" s="3">
        <v>0</v>
      </c>
      <c r="AO90" s="34" t="e">
        <f ca="1">BQ26+BA89</f>
        <v>#NAME?</v>
      </c>
      <c r="AP90" s="3"/>
      <c r="AQ90" s="34">
        <f>AN91</f>
        <v>319.60276567145706</v>
      </c>
      <c r="AR90" s="34" t="e">
        <f ca="1">BA89</f>
        <v>#NAME?</v>
      </c>
      <c r="AS90" s="3">
        <v>0</v>
      </c>
      <c r="AT90" s="34">
        <v>0</v>
      </c>
      <c r="AU90" s="3"/>
      <c r="AV90" s="3">
        <v>0</v>
      </c>
      <c r="AW90" s="34">
        <v>0</v>
      </c>
      <c r="AX90" s="3"/>
      <c r="AY90" s="34">
        <f>AV91</f>
        <v>-548.68997061405855</v>
      </c>
      <c r="AZ90" s="3" t="e">
        <f ca="1">-BZ57</f>
        <v>#NAME?</v>
      </c>
      <c r="BA90" s="35" t="e">
        <f ca="1">BQ26</f>
        <v>#NAME?</v>
      </c>
      <c r="BH90" s="32"/>
      <c r="BI90" s="32"/>
      <c r="BJ90" s="32"/>
      <c r="BQ90" s="32"/>
      <c r="BR90" s="32"/>
      <c r="BS90" s="32"/>
      <c r="BT90" s="32"/>
      <c r="BU90" s="32"/>
    </row>
    <row r="91" spans="1:93" x14ac:dyDescent="0.25">
      <c r="AJ91" s="288"/>
      <c r="AK91" s="63">
        <f>AN26</f>
        <v>768.22125433469159</v>
      </c>
      <c r="AL91" s="63" t="e">
        <f ca="1">BA89</f>
        <v>#NAME?</v>
      </c>
      <c r="AM91" s="26"/>
      <c r="AN91" s="63">
        <f>AT26</f>
        <v>319.60276567145706</v>
      </c>
      <c r="AO91" s="63" t="e">
        <f ca="1">BA89</f>
        <v>#NAME?</v>
      </c>
      <c r="AP91" s="26"/>
      <c r="AQ91" s="63">
        <f>AK91</f>
        <v>768.22125433469159</v>
      </c>
      <c r="AR91" s="63" t="e">
        <f ca="1">BA89</f>
        <v>#NAME?</v>
      </c>
      <c r="AS91" s="63">
        <f>AN57</f>
        <v>-105.28120235220393</v>
      </c>
      <c r="AT91" s="26" t="e">
        <f ca="1">-BZ57</f>
        <v>#NAME?</v>
      </c>
      <c r="AU91" s="26"/>
      <c r="AV91" s="63">
        <f>AQ57</f>
        <v>-548.68997061405855</v>
      </c>
      <c r="AW91" s="26" t="e">
        <f ca="1">-BZ57</f>
        <v>#NAME?</v>
      </c>
      <c r="AX91" s="26"/>
      <c r="AY91" s="63">
        <f>AS91</f>
        <v>-105.28120235220393</v>
      </c>
      <c r="AZ91" s="26" t="e">
        <f ca="1">-BZ57</f>
        <v>#NAME?</v>
      </c>
      <c r="BH91" s="71"/>
      <c r="BI91" s="71"/>
      <c r="BJ91" s="71"/>
      <c r="BQ91" s="71"/>
      <c r="BR91" s="71"/>
      <c r="BS91" s="71"/>
      <c r="BT91" s="71"/>
      <c r="BU91" s="71"/>
      <c r="BX91" t="s">
        <v>274</v>
      </c>
      <c r="BY91">
        <v>0.11310097028807976</v>
      </c>
      <c r="BZ91">
        <v>-500</v>
      </c>
    </row>
    <row r="92" spans="1:93" ht="15.75" thickBot="1" x14ac:dyDescent="0.3">
      <c r="AJ92" s="288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H92" s="32"/>
      <c r="BI92" s="32"/>
      <c r="BJ92" s="32"/>
      <c r="BQ92" s="32"/>
      <c r="BR92" s="32"/>
      <c r="BS92" s="32"/>
      <c r="BT92" s="32"/>
      <c r="BU92" s="32"/>
      <c r="BX92" t="s">
        <v>274</v>
      </c>
      <c r="BY92">
        <v>0.11310097028807976</v>
      </c>
      <c r="BZ92">
        <v>500</v>
      </c>
    </row>
    <row r="93" spans="1:93" ht="15.75" thickBot="1" x14ac:dyDescent="0.3">
      <c r="AJ93" s="288"/>
      <c r="AK93" s="55" t="s">
        <v>225</v>
      </c>
      <c r="AL93" s="56" t="s">
        <v>226</v>
      </c>
      <c r="AM93" s="57" t="s">
        <v>233</v>
      </c>
      <c r="AN93" s="57" t="s">
        <v>227</v>
      </c>
      <c r="AO93" s="57" t="s">
        <v>229</v>
      </c>
      <c r="AP93" s="57" t="s">
        <v>228</v>
      </c>
      <c r="AQ93" s="57" t="s">
        <v>234</v>
      </c>
      <c r="AR93" s="58" t="s">
        <v>235</v>
      </c>
      <c r="AS93" s="58" t="s">
        <v>230</v>
      </c>
      <c r="AT93" s="58" t="s">
        <v>231</v>
      </c>
      <c r="AU93" s="58" t="s">
        <v>232</v>
      </c>
      <c r="AV93" s="59" t="s">
        <v>236</v>
      </c>
      <c r="BH93" s="78"/>
      <c r="BI93" s="78"/>
      <c r="BJ93" s="78"/>
      <c r="BQ93" s="78"/>
      <c r="BR93" s="78"/>
      <c r="BS93" s="78"/>
      <c r="BT93" s="78"/>
      <c r="BU93" s="78"/>
    </row>
    <row r="94" spans="1:93" x14ac:dyDescent="0.25">
      <c r="AJ94" s="288"/>
      <c r="AK94" s="60">
        <v>0</v>
      </c>
      <c r="AL94" s="60">
        <f>AW3</f>
        <v>93.458610362213591</v>
      </c>
      <c r="AM94" s="61" t="e">
        <f ca="1">AM89</f>
        <v>#NAME?</v>
      </c>
      <c r="AN94" s="61" t="e">
        <f ca="1">BR26</f>
        <v>#NAME?</v>
      </c>
      <c r="AO94" s="61">
        <f>AM26</f>
        <v>448.61848866323453</v>
      </c>
      <c r="AP94" s="61" t="e">
        <f ca="1">BU26</f>
        <v>#NAME?</v>
      </c>
      <c r="AQ94" s="61" t="e">
        <f ca="1">AP89</f>
        <v>#NAME?</v>
      </c>
      <c r="AR94" s="61" t="e">
        <f ca="1">AU89</f>
        <v>#NAME?</v>
      </c>
      <c r="AS94" s="61" t="e">
        <f ca="1">CA57</f>
        <v>#NAME?</v>
      </c>
      <c r="AT94" s="61">
        <f>AM57</f>
        <v>443.40876826185462</v>
      </c>
      <c r="AU94" s="61" t="e">
        <f ca="1">CB57</f>
        <v>#NAME?</v>
      </c>
      <c r="AV94" s="61" t="e">
        <f ca="1">CD57</f>
        <v>#NAME?</v>
      </c>
      <c r="BH94" s="192"/>
      <c r="BI94" s="192"/>
      <c r="BJ94" s="192"/>
      <c r="BQ94" s="192"/>
      <c r="BR94" s="192"/>
      <c r="BS94" s="192"/>
      <c r="BT94" s="192"/>
      <c r="BU94" s="192"/>
    </row>
    <row r="95" spans="1:93" x14ac:dyDescent="0.25">
      <c r="AJ95" s="138"/>
      <c r="AK95" s="136"/>
      <c r="AL95" s="136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BH95" s="192"/>
      <c r="BI95" s="192"/>
      <c r="BJ95" s="192"/>
      <c r="BQ95" s="192"/>
      <c r="BR95" s="192"/>
      <c r="BS95" s="192"/>
      <c r="BT95" s="192"/>
      <c r="BU95" s="192"/>
    </row>
    <row r="96" spans="1:93" x14ac:dyDescent="0.25">
      <c r="AJ96" s="138"/>
      <c r="AK96" s="136"/>
      <c r="AL96" s="136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BH96" s="192"/>
      <c r="BI96" s="192"/>
      <c r="BJ96" s="192"/>
      <c r="BQ96" s="192"/>
      <c r="BR96" s="192"/>
      <c r="BS96" s="192"/>
      <c r="BT96" s="192"/>
      <c r="BU96" s="192"/>
    </row>
    <row r="97" spans="36:73" x14ac:dyDescent="0.25">
      <c r="AJ97" s="138"/>
      <c r="AK97" s="136"/>
      <c r="AL97" s="136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BH97" s="192"/>
      <c r="BI97" s="192"/>
      <c r="BJ97" s="192"/>
      <c r="BQ97" s="192"/>
      <c r="BR97" s="192"/>
      <c r="BS97" s="192"/>
      <c r="BT97" s="192"/>
      <c r="BU97" s="192"/>
    </row>
    <row r="98" spans="36:73" x14ac:dyDescent="0.25">
      <c r="AJ98" s="138"/>
      <c r="AK98" s="136"/>
      <c r="AL98" s="136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BH98" s="192"/>
      <c r="BI98" s="192"/>
      <c r="BJ98" s="192"/>
      <c r="BQ98" s="192"/>
      <c r="BR98" s="192"/>
      <c r="BS98" s="192"/>
      <c r="BT98" s="192"/>
      <c r="BU98" s="192"/>
    </row>
    <row r="99" spans="36:73" x14ac:dyDescent="0.25">
      <c r="AJ99" s="138"/>
      <c r="AK99" s="136"/>
      <c r="AL99" s="136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BH99" s="192"/>
      <c r="BI99" s="192"/>
      <c r="BJ99" s="192"/>
      <c r="BQ99" s="192"/>
      <c r="BR99" s="192"/>
      <c r="BS99" s="192"/>
      <c r="BT99" s="192"/>
      <c r="BU99" s="192"/>
    </row>
    <row r="100" spans="36:73" x14ac:dyDescent="0.25">
      <c r="AJ100" s="138"/>
      <c r="AK100" s="136"/>
      <c r="AL100" s="1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BH100" s="192"/>
      <c r="BI100" s="192"/>
      <c r="BJ100" s="192"/>
      <c r="BQ100" s="192"/>
      <c r="BR100" s="192"/>
      <c r="BS100" s="192"/>
      <c r="BT100" s="192"/>
      <c r="BU100" s="192"/>
    </row>
    <row r="101" spans="36:73" x14ac:dyDescent="0.25">
      <c r="AJ101" s="138"/>
      <c r="AK101" s="136"/>
      <c r="AL101" s="136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BH101" s="192"/>
      <c r="BI101" s="192"/>
      <c r="BJ101" s="192"/>
      <c r="BQ101" s="192"/>
      <c r="BR101" s="192"/>
      <c r="BS101" s="192"/>
      <c r="BT101" s="192"/>
      <c r="BU101" s="192"/>
    </row>
    <row r="102" spans="36:73" x14ac:dyDescent="0.25">
      <c r="BH102" s="32"/>
      <c r="BI102" s="32"/>
      <c r="BJ102" s="32"/>
      <c r="BQ102" s="73"/>
      <c r="BR102" s="73"/>
      <c r="BS102" s="73"/>
      <c r="BT102" s="73"/>
      <c r="BU102" s="73"/>
    </row>
    <row r="103" spans="36:73" x14ac:dyDescent="0.25">
      <c r="AJ103" s="288" t="s">
        <v>507</v>
      </c>
      <c r="AK103" t="s">
        <v>158</v>
      </c>
      <c r="BH103" s="32"/>
      <c r="BI103" s="32"/>
      <c r="BJ103" s="32"/>
      <c r="BQ103" s="73"/>
      <c r="BR103" s="73"/>
      <c r="BS103" s="73"/>
      <c r="BT103" s="73"/>
      <c r="BU103" s="73"/>
    </row>
    <row r="104" spans="36:73" x14ac:dyDescent="0.25">
      <c r="AJ104" s="288"/>
      <c r="AR104" s="35"/>
      <c r="AS104" s="35"/>
      <c r="BH104" s="32"/>
      <c r="BI104" s="32"/>
      <c r="BJ104" s="32"/>
      <c r="BQ104" s="73"/>
      <c r="BR104" s="73"/>
      <c r="BS104" s="73"/>
      <c r="BT104" s="73"/>
      <c r="BU104" s="73"/>
    </row>
    <row r="105" spans="36:73" x14ac:dyDescent="0.25">
      <c r="AJ105" s="288"/>
      <c r="AK105" s="40" t="s">
        <v>671</v>
      </c>
      <c r="AL105" s="40"/>
      <c r="AM105" s="40" t="s">
        <v>72</v>
      </c>
      <c r="AN105" s="37" t="s">
        <v>672</v>
      </c>
      <c r="AO105" s="37"/>
      <c r="AP105" s="37" t="s">
        <v>118</v>
      </c>
      <c r="AQ105" s="42" t="s">
        <v>673</v>
      </c>
      <c r="AR105" s="42"/>
      <c r="AS105" s="43" t="s">
        <v>674</v>
      </c>
      <c r="AT105" s="43"/>
      <c r="AU105" s="43" t="s">
        <v>188</v>
      </c>
      <c r="AV105" s="37" t="s">
        <v>675</v>
      </c>
      <c r="AW105" s="37"/>
      <c r="AX105" s="37" t="s">
        <v>73</v>
      </c>
      <c r="AY105" s="41" t="s">
        <v>676</v>
      </c>
      <c r="AZ105" s="41"/>
      <c r="BH105" s="32"/>
      <c r="BI105" s="32"/>
      <c r="BJ105" s="32"/>
      <c r="BQ105" s="32"/>
      <c r="BR105" s="32"/>
      <c r="BS105" s="32"/>
      <c r="BT105" s="32"/>
      <c r="BU105" s="32"/>
    </row>
    <row r="106" spans="36:73" x14ac:dyDescent="0.25">
      <c r="AJ106" s="288"/>
      <c r="AK106" s="3" t="s">
        <v>159</v>
      </c>
      <c r="AL106" s="3" t="s">
        <v>160</v>
      </c>
      <c r="AM106" s="34">
        <f>BS36</f>
        <v>76.044966122264526</v>
      </c>
      <c r="AN106" s="3" t="s">
        <v>159</v>
      </c>
      <c r="AO106" s="3" t="s">
        <v>160</v>
      </c>
      <c r="AP106" s="34">
        <f>BV36</f>
        <v>55.158182393829989</v>
      </c>
      <c r="AQ106" s="3" t="s">
        <v>159</v>
      </c>
      <c r="AR106" s="3" t="s">
        <v>160</v>
      </c>
      <c r="AS106" s="3" t="s">
        <v>159</v>
      </c>
      <c r="AT106" s="3" t="s">
        <v>160</v>
      </c>
      <c r="AU106" s="34">
        <f>CC67</f>
        <v>-21.556994619415136</v>
      </c>
      <c r="AV106" s="3" t="s">
        <v>159</v>
      </c>
      <c r="AW106" s="3" t="s">
        <v>160</v>
      </c>
      <c r="AX106" s="34">
        <f>CD67</f>
        <v>-68.344378105001269</v>
      </c>
      <c r="AY106" s="3" t="s">
        <v>159</v>
      </c>
      <c r="AZ106" s="3" t="s">
        <v>160</v>
      </c>
      <c r="BA106" s="35">
        <f>AT107-BA107</f>
        <v>-183</v>
      </c>
      <c r="BH106" s="32"/>
      <c r="BI106" s="32"/>
      <c r="BJ106" s="32"/>
      <c r="BQ106" s="32"/>
      <c r="BR106" s="32"/>
      <c r="BS106" s="32"/>
      <c r="BT106" s="32"/>
      <c r="BU106" s="32"/>
    </row>
    <row r="107" spans="36:73" x14ac:dyDescent="0.25">
      <c r="AJ107" s="288"/>
      <c r="AK107" s="3">
        <v>0</v>
      </c>
      <c r="AL107" s="34">
        <f>BQ36+BA106</f>
        <v>0</v>
      </c>
      <c r="AM107" s="3"/>
      <c r="AN107" s="3">
        <v>0</v>
      </c>
      <c r="AO107" s="34">
        <f>BQ36+BA106</f>
        <v>0</v>
      </c>
      <c r="AP107" s="3"/>
      <c r="AQ107" s="34">
        <f>AN108</f>
        <v>262.89285967765574</v>
      </c>
      <c r="AR107" s="34">
        <f>BA106</f>
        <v>-183</v>
      </c>
      <c r="AS107" s="3">
        <v>0</v>
      </c>
      <c r="AT107" s="34">
        <v>0</v>
      </c>
      <c r="AU107" s="3"/>
      <c r="AV107" s="3">
        <v>0</v>
      </c>
      <c r="AW107" s="34">
        <v>0</v>
      </c>
      <c r="AX107" s="3"/>
      <c r="AY107" s="34">
        <f>AV108</f>
        <v>-561.64012250967721</v>
      </c>
      <c r="AZ107" s="3">
        <f>-BZ67</f>
        <v>-223</v>
      </c>
      <c r="BA107">
        <f>BQ36</f>
        <v>183</v>
      </c>
      <c r="BH107" s="32"/>
      <c r="BI107" s="32"/>
      <c r="BJ107" s="32"/>
      <c r="BQ107" s="32"/>
      <c r="BR107" s="32"/>
      <c r="BS107" s="32"/>
      <c r="BT107" s="32"/>
      <c r="BU107" s="32"/>
    </row>
    <row r="108" spans="36:73" x14ac:dyDescent="0.25">
      <c r="AJ108" s="288"/>
      <c r="AK108" s="63">
        <f>AN36</f>
        <v>736.43459771106996</v>
      </c>
      <c r="AL108" s="63">
        <f>BA106</f>
        <v>-183</v>
      </c>
      <c r="AM108" s="26"/>
      <c r="AN108" s="63">
        <f>AT36</f>
        <v>262.89285967765574</v>
      </c>
      <c r="AO108" s="63">
        <f>BA106</f>
        <v>-183</v>
      </c>
      <c r="AP108" s="26"/>
      <c r="AQ108" s="63">
        <f>AK108</f>
        <v>736.43459771106996</v>
      </c>
      <c r="AR108" s="63">
        <f>BA106</f>
        <v>-183</v>
      </c>
      <c r="AS108" s="63">
        <f>AN67</f>
        <v>-88.09838447626305</v>
      </c>
      <c r="AT108" s="26">
        <f>-BZ67</f>
        <v>-223</v>
      </c>
      <c r="AU108" s="26"/>
      <c r="AV108" s="63">
        <f>AQ67</f>
        <v>-561.64012250967721</v>
      </c>
      <c r="AW108" s="26">
        <f>-BZ67</f>
        <v>-223</v>
      </c>
      <c r="AX108" s="26"/>
      <c r="AY108" s="63">
        <f>AS108</f>
        <v>-88.09838447626305</v>
      </c>
      <c r="AZ108" s="26">
        <f>-BZ67</f>
        <v>-223</v>
      </c>
      <c r="BH108" s="71"/>
      <c r="BI108" s="71"/>
      <c r="BJ108" s="71"/>
      <c r="BQ108" s="71"/>
      <c r="BR108" s="71"/>
      <c r="BS108" s="71"/>
      <c r="BT108" s="71"/>
      <c r="BU108" s="71"/>
    </row>
    <row r="109" spans="36:73" ht="15.75" thickBot="1" x14ac:dyDescent="0.3">
      <c r="AJ109" s="288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H109" s="32"/>
      <c r="BI109" s="32"/>
      <c r="BJ109" s="32"/>
      <c r="BQ109" s="32"/>
      <c r="BR109" s="32"/>
      <c r="BS109" s="32"/>
      <c r="BT109" s="32"/>
      <c r="BU109" s="32"/>
    </row>
    <row r="110" spans="36:73" ht="15.75" thickBot="1" x14ac:dyDescent="0.3">
      <c r="AJ110" s="288"/>
      <c r="AK110" s="55" t="s">
        <v>225</v>
      </c>
      <c r="AL110" s="56" t="s">
        <v>226</v>
      </c>
      <c r="AM110" s="57" t="s">
        <v>233</v>
      </c>
      <c r="AN110" s="57" t="s">
        <v>227</v>
      </c>
      <c r="AO110" s="57" t="s">
        <v>229</v>
      </c>
      <c r="AP110" s="57" t="s">
        <v>228</v>
      </c>
      <c r="AQ110" s="57" t="s">
        <v>234</v>
      </c>
      <c r="AR110" s="58" t="s">
        <v>235</v>
      </c>
      <c r="AS110" s="58" t="s">
        <v>230</v>
      </c>
      <c r="AT110" s="58" t="s">
        <v>231</v>
      </c>
      <c r="AU110" s="58" t="s">
        <v>232</v>
      </c>
      <c r="AV110" s="59" t="s">
        <v>236</v>
      </c>
      <c r="BH110" s="78"/>
      <c r="BI110" s="78"/>
      <c r="BJ110" s="78"/>
      <c r="BQ110" s="78"/>
      <c r="BR110" s="78"/>
      <c r="BS110" s="78"/>
      <c r="BT110" s="78"/>
      <c r="BU110" s="78"/>
    </row>
    <row r="111" spans="36:73" x14ac:dyDescent="0.25">
      <c r="AJ111" s="288"/>
      <c r="AK111" s="60">
        <v>0</v>
      </c>
      <c r="AL111" s="60">
        <f>AW3</f>
        <v>93.458610362213591</v>
      </c>
      <c r="AM111" s="61">
        <f>AM106</f>
        <v>76.044966122264526</v>
      </c>
      <c r="AN111" s="61">
        <f>BR36</f>
        <v>758.83128342594409</v>
      </c>
      <c r="AO111" s="61">
        <f>AM36</f>
        <v>473.54173803341422</v>
      </c>
      <c r="AP111" s="61">
        <f>BU36</f>
        <v>320.31493201144337</v>
      </c>
      <c r="AQ111" s="61">
        <f>AP106</f>
        <v>55.158182393829989</v>
      </c>
      <c r="AR111" s="61">
        <f>AU106</f>
        <v>-21.556994619415136</v>
      </c>
      <c r="AS111" s="61">
        <f>CA67</f>
        <v>239.77140227167931</v>
      </c>
      <c r="AT111" s="61">
        <f>AM67</f>
        <v>473.54173803341422</v>
      </c>
      <c r="AU111" s="61">
        <f>CB67</f>
        <v>604.29183943909527</v>
      </c>
      <c r="AV111" s="61">
        <f>CD67</f>
        <v>-68.344378105001269</v>
      </c>
      <c r="BH111" s="192"/>
      <c r="BI111" s="192"/>
      <c r="BJ111" s="192"/>
      <c r="BQ111" s="192"/>
      <c r="BR111" s="192"/>
      <c r="BS111" s="192"/>
      <c r="BT111" s="192"/>
      <c r="BU111" s="192"/>
    </row>
    <row r="112" spans="36:73" x14ac:dyDescent="0.25">
      <c r="AJ112" s="138"/>
      <c r="AK112" s="136"/>
      <c r="AL112" s="136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BH112" s="192"/>
      <c r="BI112" s="192"/>
      <c r="BJ112" s="192"/>
      <c r="BQ112" s="192"/>
      <c r="BR112" s="192"/>
      <c r="BS112" s="192"/>
      <c r="BT112" s="192"/>
      <c r="BU112" s="192"/>
    </row>
    <row r="113" spans="36:73" x14ac:dyDescent="0.25">
      <c r="AJ113" s="138"/>
      <c r="AK113" s="136"/>
      <c r="AL113" s="136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BH113" s="192"/>
      <c r="BI113" s="192"/>
      <c r="BJ113" s="192"/>
      <c r="BQ113" s="192"/>
      <c r="BR113" s="192"/>
      <c r="BS113" s="192"/>
      <c r="BT113" s="192"/>
      <c r="BU113" s="192"/>
    </row>
    <row r="114" spans="36:73" x14ac:dyDescent="0.25">
      <c r="AJ114" s="138"/>
      <c r="AK114" s="136"/>
      <c r="AL114" s="136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BH114" s="192"/>
      <c r="BI114" s="192"/>
      <c r="BJ114" s="192"/>
      <c r="BQ114" s="192"/>
      <c r="BR114" s="192"/>
      <c r="BS114" s="192"/>
      <c r="BT114" s="192"/>
      <c r="BU114" s="192"/>
    </row>
    <row r="115" spans="36:73" x14ac:dyDescent="0.25">
      <c r="AJ115" s="138"/>
      <c r="AK115" s="136"/>
      <c r="AL115" s="136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BH115" s="192"/>
      <c r="BI115" s="192"/>
      <c r="BJ115" s="192"/>
      <c r="BQ115" s="192"/>
      <c r="BR115" s="192"/>
      <c r="BS115" s="192"/>
      <c r="BT115" s="192"/>
      <c r="BU115" s="192"/>
    </row>
    <row r="116" spans="36:73" x14ac:dyDescent="0.25">
      <c r="AJ116" s="138"/>
      <c r="AK116" s="136"/>
      <c r="AL116" s="136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BH116" s="192"/>
      <c r="BI116" s="192"/>
      <c r="BJ116" s="192"/>
      <c r="BQ116" s="192"/>
      <c r="BR116" s="192"/>
      <c r="BS116" s="192"/>
      <c r="BT116" s="192"/>
      <c r="BU116" s="192"/>
    </row>
    <row r="117" spans="36:73" x14ac:dyDescent="0.25">
      <c r="AJ117" s="138"/>
      <c r="AK117" s="136"/>
      <c r="AL117" s="136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BH117" s="192"/>
      <c r="BI117" s="192"/>
      <c r="BJ117" s="192"/>
      <c r="BQ117" s="192"/>
      <c r="BR117" s="192"/>
      <c r="BS117" s="192"/>
      <c r="BT117" s="192"/>
      <c r="BU117" s="192"/>
    </row>
    <row r="118" spans="36:73" x14ac:dyDescent="0.25">
      <c r="AJ118" s="138"/>
      <c r="AK118" s="136"/>
      <c r="AL118" s="136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BH118" s="192"/>
      <c r="BI118" s="192"/>
      <c r="BJ118" s="192"/>
      <c r="BQ118" s="192"/>
      <c r="BR118" s="192"/>
      <c r="BS118" s="192"/>
      <c r="BT118" s="192"/>
      <c r="BU118" s="192"/>
    </row>
    <row r="119" spans="36:73" x14ac:dyDescent="0.25">
      <c r="BH119" s="32"/>
      <c r="BI119" s="32"/>
      <c r="BJ119" s="32"/>
      <c r="BQ119" s="73"/>
      <c r="BR119" s="73"/>
      <c r="BS119" s="73"/>
      <c r="BT119" s="73"/>
      <c r="BU119" s="73"/>
    </row>
    <row r="120" spans="36:73" x14ac:dyDescent="0.25">
      <c r="AJ120" s="288" t="s">
        <v>508</v>
      </c>
      <c r="AK120" t="s">
        <v>158</v>
      </c>
      <c r="BH120" s="32"/>
      <c r="BI120" s="32"/>
      <c r="BJ120" s="32"/>
      <c r="BQ120" s="73"/>
      <c r="BR120" s="73"/>
      <c r="BS120" s="73"/>
      <c r="BT120" s="73"/>
      <c r="BU120" s="73"/>
    </row>
    <row r="121" spans="36:73" x14ac:dyDescent="0.25">
      <c r="AJ121" s="288"/>
      <c r="AR121" s="35"/>
      <c r="AS121" s="35"/>
      <c r="BH121" s="32"/>
      <c r="BI121" s="32"/>
      <c r="BJ121" s="32"/>
      <c r="BQ121" s="73"/>
      <c r="BR121" s="73"/>
      <c r="BS121" s="73"/>
      <c r="BT121" s="73"/>
      <c r="BU121" s="73"/>
    </row>
    <row r="122" spans="36:73" x14ac:dyDescent="0.25">
      <c r="AJ122" s="288"/>
      <c r="AK122" s="40" t="s">
        <v>677</v>
      </c>
      <c r="AL122" s="40"/>
      <c r="AM122" s="40" t="s">
        <v>72</v>
      </c>
      <c r="AN122" s="37" t="s">
        <v>678</v>
      </c>
      <c r="AO122" s="37"/>
      <c r="AP122" s="37" t="s">
        <v>118</v>
      </c>
      <c r="AQ122" s="42" t="s">
        <v>679</v>
      </c>
      <c r="AR122" s="42"/>
      <c r="AS122" s="43" t="s">
        <v>680</v>
      </c>
      <c r="AT122" s="43"/>
      <c r="AU122" s="43" t="s">
        <v>188</v>
      </c>
      <c r="AV122" s="37" t="s">
        <v>681</v>
      </c>
      <c r="AW122" s="37"/>
      <c r="AX122" s="37" t="s">
        <v>73</v>
      </c>
      <c r="AY122" s="41" t="s">
        <v>682</v>
      </c>
      <c r="AZ122" s="41"/>
      <c r="BH122" s="32"/>
      <c r="BI122" s="32"/>
      <c r="BJ122" s="32"/>
      <c r="BQ122" s="32"/>
      <c r="BR122" s="32"/>
      <c r="BS122" s="32"/>
      <c r="BT122" s="32"/>
      <c r="BU122" s="32"/>
    </row>
    <row r="123" spans="36:73" x14ac:dyDescent="0.25">
      <c r="AJ123" s="288"/>
      <c r="AK123" s="3" t="s">
        <v>159</v>
      </c>
      <c r="AL123" s="3" t="s">
        <v>160</v>
      </c>
      <c r="AM123" s="34" t="e">
        <f ca="1">BS46</f>
        <v>#NAME?</v>
      </c>
      <c r="AN123" s="3" t="s">
        <v>159</v>
      </c>
      <c r="AO123" s="3" t="s">
        <v>160</v>
      </c>
      <c r="AP123" s="34" t="e">
        <f ca="1">BV46</f>
        <v>#NAME?</v>
      </c>
      <c r="AQ123" s="3" t="s">
        <v>159</v>
      </c>
      <c r="AR123" s="3" t="s">
        <v>160</v>
      </c>
      <c r="AS123" s="3" t="s">
        <v>159</v>
      </c>
      <c r="AT123" s="3" t="s">
        <v>160</v>
      </c>
      <c r="AU123" s="34" t="e">
        <f ca="1">CC77</f>
        <v>#NAME?</v>
      </c>
      <c r="AV123" s="3" t="s">
        <v>159</v>
      </c>
      <c r="AW123" s="3" t="s">
        <v>160</v>
      </c>
      <c r="AX123" s="34" t="e">
        <f ca="1">CD77</f>
        <v>#NAME?</v>
      </c>
      <c r="AY123" s="3" t="s">
        <v>159</v>
      </c>
      <c r="AZ123" s="3" t="s">
        <v>160</v>
      </c>
      <c r="BH123" s="32"/>
      <c r="BI123" s="32"/>
      <c r="BJ123" s="32"/>
      <c r="BQ123" s="32"/>
      <c r="BR123" s="32"/>
      <c r="BS123" s="32"/>
      <c r="BT123" s="32"/>
      <c r="BU123" s="32"/>
    </row>
    <row r="124" spans="36:73" x14ac:dyDescent="0.25">
      <c r="AJ124" s="288"/>
      <c r="AK124" s="3">
        <v>0</v>
      </c>
      <c r="AL124" s="34" t="e">
        <f ca="1">BQ46+BA124</f>
        <v>#NAME?</v>
      </c>
      <c r="AM124" s="3"/>
      <c r="AN124" s="3">
        <v>0</v>
      </c>
      <c r="AO124" s="34" t="e">
        <f ca="1">BQ46+BA124</f>
        <v>#NAME?</v>
      </c>
      <c r="AP124" s="3"/>
      <c r="AQ124" s="34">
        <f>AN125</f>
        <v>209.1481659699831</v>
      </c>
      <c r="AR124" s="34" t="e">
        <f ca="1">BA124</f>
        <v>#NAME?</v>
      </c>
      <c r="AS124" s="3">
        <v>0</v>
      </c>
      <c r="AT124" s="34">
        <v>0</v>
      </c>
      <c r="AU124" s="3"/>
      <c r="AV124" s="3">
        <v>0</v>
      </c>
      <c r="AW124" s="34">
        <v>0</v>
      </c>
      <c r="AX124" s="3"/>
      <c r="AY124" s="34">
        <f>AV125</f>
        <v>-576.95515453072244</v>
      </c>
      <c r="AZ124" s="3" t="e">
        <f ca="1">-BZ77</f>
        <v>#NAME?</v>
      </c>
      <c r="BA124" s="35" t="e">
        <f ca="1">AW124-BA125</f>
        <v>#NAME?</v>
      </c>
      <c r="BH124" s="32"/>
      <c r="BI124" s="32"/>
      <c r="BJ124" s="32"/>
      <c r="BQ124" s="32"/>
      <c r="BR124" s="32"/>
      <c r="BS124" s="32"/>
      <c r="BT124" s="32"/>
      <c r="BU124" s="32"/>
    </row>
    <row r="125" spans="36:73" x14ac:dyDescent="0.25">
      <c r="AJ125" s="288"/>
      <c r="AK125" s="63">
        <f>AN46</f>
        <v>707.61315337357701</v>
      </c>
      <c r="AL125" s="63" t="e">
        <f ca="1">BA124</f>
        <v>#NAME?</v>
      </c>
      <c r="AM125" s="26"/>
      <c r="AN125" s="63">
        <f>AT46</f>
        <v>209.1481659699831</v>
      </c>
      <c r="AO125" s="63" t="e">
        <f ca="1">BA124</f>
        <v>#NAME?</v>
      </c>
      <c r="AP125" s="26"/>
      <c r="AQ125" s="63">
        <f>AK125</f>
        <v>707.61315337357701</v>
      </c>
      <c r="AR125" s="63" t="e">
        <f ca="1">BA124</f>
        <v>#NAME?</v>
      </c>
      <c r="AS125" s="63">
        <f>AN77</f>
        <v>-73.280446725748618</v>
      </c>
      <c r="AT125" s="26" t="e">
        <f ca="1">-BZ77</f>
        <v>#NAME?</v>
      </c>
      <c r="AU125" s="26"/>
      <c r="AV125" s="63">
        <f>AQ77</f>
        <v>-576.95515453072244</v>
      </c>
      <c r="AW125" s="26" t="e">
        <f ca="1">-BZ77</f>
        <v>#NAME?</v>
      </c>
      <c r="AX125" s="26"/>
      <c r="AY125" s="63">
        <f>AS125</f>
        <v>-73.280446725748618</v>
      </c>
      <c r="AZ125" s="26" t="e">
        <f ca="1">-BZ77</f>
        <v>#NAME?</v>
      </c>
      <c r="BA125" t="e">
        <f ca="1">BQ46</f>
        <v>#NAME?</v>
      </c>
      <c r="BH125" s="71"/>
      <c r="BI125" s="71"/>
      <c r="BJ125" s="71"/>
      <c r="BQ125" s="71"/>
      <c r="BR125" s="71"/>
      <c r="BS125" s="71"/>
      <c r="BT125" s="71"/>
      <c r="BU125" s="71"/>
    </row>
    <row r="126" spans="36:73" ht="15.75" thickBot="1" x14ac:dyDescent="0.3">
      <c r="AJ126" s="288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H126" s="32"/>
      <c r="BI126" s="32"/>
      <c r="BJ126" s="32"/>
      <c r="BQ126" s="32"/>
      <c r="BR126" s="32"/>
      <c r="BS126" s="32"/>
      <c r="BT126" s="32"/>
      <c r="BU126" s="32"/>
    </row>
    <row r="127" spans="36:73" ht="15.75" thickBot="1" x14ac:dyDescent="0.3">
      <c r="AJ127" s="288"/>
      <c r="AK127" s="55" t="s">
        <v>225</v>
      </c>
      <c r="AL127" s="56" t="s">
        <v>226</v>
      </c>
      <c r="AM127" s="57" t="s">
        <v>233</v>
      </c>
      <c r="AN127" s="57" t="s">
        <v>227</v>
      </c>
      <c r="AO127" s="57" t="s">
        <v>229</v>
      </c>
      <c r="AP127" s="57" t="s">
        <v>228</v>
      </c>
      <c r="AQ127" s="57" t="s">
        <v>234</v>
      </c>
      <c r="AR127" s="58" t="s">
        <v>235</v>
      </c>
      <c r="AS127" s="58" t="s">
        <v>230</v>
      </c>
      <c r="AT127" s="58" t="s">
        <v>231</v>
      </c>
      <c r="AU127" s="58" t="s">
        <v>232</v>
      </c>
      <c r="AV127" s="59" t="s">
        <v>236</v>
      </c>
      <c r="BH127" s="78"/>
      <c r="BI127" s="78"/>
      <c r="BJ127" s="78"/>
      <c r="BQ127" s="78"/>
      <c r="BR127" s="78"/>
      <c r="BS127" s="78"/>
      <c r="BT127" s="78"/>
      <c r="BU127" s="78"/>
    </row>
    <row r="128" spans="36:73" x14ac:dyDescent="0.25">
      <c r="AJ128" s="288"/>
      <c r="AK128" s="60">
        <v>0</v>
      </c>
      <c r="AL128" s="60">
        <f>AW3</f>
        <v>93.458610362213591</v>
      </c>
      <c r="AM128" s="61" t="e">
        <f ca="1">AM123</f>
        <v>#NAME?</v>
      </c>
      <c r="AN128" s="61" t="e">
        <f ca="1">BR46</f>
        <v>#NAME?</v>
      </c>
      <c r="AO128" s="61">
        <f>AM46</f>
        <v>498.46498740359391</v>
      </c>
      <c r="AP128" s="61" t="e">
        <f ca="1">BU46</f>
        <v>#NAME?</v>
      </c>
      <c r="AQ128" s="61" t="e">
        <f ca="1">AP123</f>
        <v>#NAME?</v>
      </c>
      <c r="AR128" s="61" t="e">
        <f ca="1">AU123</f>
        <v>#NAME?</v>
      </c>
      <c r="AS128" s="61" t="e">
        <f ca="1">CA77</f>
        <v>#NAME?</v>
      </c>
      <c r="AT128" s="61">
        <f>AM77</f>
        <v>503.67470780497382</v>
      </c>
      <c r="AU128" s="61" t="e">
        <f ca="1">CB77</f>
        <v>#NAME?</v>
      </c>
      <c r="AV128" s="61" t="e">
        <f ca="1">CD77</f>
        <v>#NAME?</v>
      </c>
      <c r="BH128" s="192"/>
      <c r="BI128" s="192"/>
      <c r="BJ128" s="192"/>
      <c r="BQ128" s="192"/>
      <c r="BR128" s="192"/>
      <c r="BS128" s="192"/>
      <c r="BT128" s="192"/>
      <c r="BU128" s="192"/>
    </row>
    <row r="129" spans="60:62" x14ac:dyDescent="0.25">
      <c r="BH129" s="32"/>
      <c r="BI129" s="32"/>
      <c r="BJ129" s="32"/>
    </row>
  </sheetData>
  <mergeCells count="44">
    <mergeCell ref="AH70:AI71"/>
    <mergeCell ref="X72:Z72"/>
    <mergeCell ref="X73:Z73"/>
    <mergeCell ref="Y55:Z56"/>
    <mergeCell ref="Y25:Z25"/>
    <mergeCell ref="Y31:Z31"/>
    <mergeCell ref="Y34:Z34"/>
    <mergeCell ref="Y38:Z38"/>
    <mergeCell ref="AC57:AD57"/>
    <mergeCell ref="Y62:Z62"/>
    <mergeCell ref="X65:Z65"/>
    <mergeCell ref="Y67:Z67"/>
    <mergeCell ref="Y68:Z68"/>
    <mergeCell ref="X69:Z69"/>
    <mergeCell ref="X70:Z70"/>
    <mergeCell ref="AE57:AF57"/>
    <mergeCell ref="AJ120:AJ128"/>
    <mergeCell ref="AJ15:AL15"/>
    <mergeCell ref="AJ16:AL16"/>
    <mergeCell ref="AJ86:AJ94"/>
    <mergeCell ref="AJ103:AJ111"/>
    <mergeCell ref="G25:K25"/>
    <mergeCell ref="Y36:Z36"/>
    <mergeCell ref="Y37:Z37"/>
    <mergeCell ref="G56:K56"/>
    <mergeCell ref="R56:V56"/>
    <mergeCell ref="CO3:CQ3"/>
    <mergeCell ref="AS1:AU1"/>
    <mergeCell ref="AV1:AY1"/>
    <mergeCell ref="CF3:CH3"/>
    <mergeCell ref="CI3:CK3"/>
    <mergeCell ref="CL3:CN3"/>
    <mergeCell ref="CW54:DA54"/>
    <mergeCell ref="N57:O57"/>
    <mergeCell ref="AA57:AB57"/>
    <mergeCell ref="BE55:BF55"/>
    <mergeCell ref="A26:B26"/>
    <mergeCell ref="A38:B38"/>
    <mergeCell ref="AH39:AI40"/>
    <mergeCell ref="AA26:AB26"/>
    <mergeCell ref="AC26:AD26"/>
    <mergeCell ref="AE26:AF26"/>
    <mergeCell ref="Y39:Z39"/>
    <mergeCell ref="Y43:Z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workbookViewId="0">
      <selection activeCell="C15" sqref="C15"/>
    </sheetView>
  </sheetViews>
  <sheetFormatPr defaultColWidth="11.42578125" defaultRowHeight="15" x14ac:dyDescent="0.25"/>
  <cols>
    <col min="2" max="2" width="26.7109375" customWidth="1"/>
  </cols>
  <sheetData>
    <row r="1" spans="1:3" x14ac:dyDescent="0.25">
      <c r="A1" t="s">
        <v>711</v>
      </c>
    </row>
    <row r="3" spans="1:3" x14ac:dyDescent="0.25">
      <c r="A3" t="s">
        <v>450</v>
      </c>
      <c r="B3" t="s">
        <v>751</v>
      </c>
    </row>
    <row r="4" spans="1:3" x14ac:dyDescent="0.25">
      <c r="A4" t="s">
        <v>449</v>
      </c>
      <c r="B4" t="s">
        <v>751</v>
      </c>
    </row>
    <row r="5" spans="1:3" x14ac:dyDescent="0.25">
      <c r="A5" t="s">
        <v>719</v>
      </c>
      <c r="B5" t="s">
        <v>723</v>
      </c>
      <c r="C5" t="s">
        <v>114</v>
      </c>
    </row>
    <row r="6" spans="1:3" x14ac:dyDescent="0.25">
      <c r="A6" t="s">
        <v>712</v>
      </c>
      <c r="B6" t="s">
        <v>518</v>
      </c>
      <c r="C6" t="s">
        <v>279</v>
      </c>
    </row>
    <row r="7" spans="1:3" x14ac:dyDescent="0.25">
      <c r="A7" t="s">
        <v>603</v>
      </c>
      <c r="B7" t="s">
        <v>724</v>
      </c>
      <c r="C7" t="s">
        <v>279</v>
      </c>
    </row>
    <row r="8" spans="1:3" x14ac:dyDescent="0.25">
      <c r="A8" t="s">
        <v>536</v>
      </c>
      <c r="B8" t="s">
        <v>725</v>
      </c>
      <c r="C8" t="s">
        <v>279</v>
      </c>
    </row>
    <row r="9" spans="1:3" x14ac:dyDescent="0.25">
      <c r="A9" t="s">
        <v>721</v>
      </c>
      <c r="B9" t="s">
        <v>722</v>
      </c>
      <c r="C9" t="s">
        <v>93</v>
      </c>
    </row>
    <row r="10" spans="1:3" x14ac:dyDescent="0.25">
      <c r="A10" t="s">
        <v>451</v>
      </c>
      <c r="B10" t="s">
        <v>751</v>
      </c>
    </row>
    <row r="13" spans="1:3" x14ac:dyDescent="0.25">
      <c r="A13" s="216" t="s">
        <v>702</v>
      </c>
      <c r="B13" t="s">
        <v>726</v>
      </c>
      <c r="C13" t="s">
        <v>121</v>
      </c>
    </row>
    <row r="14" spans="1:3" x14ac:dyDescent="0.25">
      <c r="A14" t="s">
        <v>703</v>
      </c>
      <c r="B14" t="s">
        <v>737</v>
      </c>
      <c r="C14" t="s">
        <v>121</v>
      </c>
    </row>
    <row r="15" spans="1:3" x14ac:dyDescent="0.25">
      <c r="A15" t="s">
        <v>717</v>
      </c>
      <c r="B15" t="s">
        <v>736</v>
      </c>
      <c r="C15" t="s">
        <v>752</v>
      </c>
    </row>
    <row r="16" spans="1:3" x14ac:dyDescent="0.25">
      <c r="A16" s="216" t="s">
        <v>713</v>
      </c>
      <c r="B16" t="s">
        <v>738</v>
      </c>
    </row>
    <row r="17" spans="1:2" ht="18" x14ac:dyDescent="0.35">
      <c r="A17" s="216" t="s">
        <v>720</v>
      </c>
      <c r="B17" t="s">
        <v>739</v>
      </c>
    </row>
    <row r="18" spans="1:2" x14ac:dyDescent="0.25">
      <c r="A18" t="s">
        <v>718</v>
      </c>
      <c r="B18" t="s">
        <v>740</v>
      </c>
    </row>
    <row r="19" spans="1:2" x14ac:dyDescent="0.25">
      <c r="A19" t="s">
        <v>714</v>
      </c>
      <c r="B19" t="s">
        <v>741</v>
      </c>
    </row>
    <row r="20" spans="1:2" x14ac:dyDescent="0.25">
      <c r="A20" t="s">
        <v>716</v>
      </c>
      <c r="B20" t="s">
        <v>742</v>
      </c>
    </row>
    <row r="21" spans="1:2" x14ac:dyDescent="0.25">
      <c r="A21" t="s">
        <v>715</v>
      </c>
      <c r="B21" t="s">
        <v>743</v>
      </c>
    </row>
    <row r="22" spans="1:2" x14ac:dyDescent="0.25">
      <c r="A22" t="s">
        <v>727</v>
      </c>
      <c r="B22" t="s">
        <v>728</v>
      </c>
    </row>
    <row r="23" spans="1:2" x14ac:dyDescent="0.25">
      <c r="A23" s="216" t="s">
        <v>734</v>
      </c>
      <c r="B23" t="s">
        <v>735</v>
      </c>
    </row>
    <row r="29" spans="1:2" x14ac:dyDescent="0.25">
      <c r="A29" t="s">
        <v>729</v>
      </c>
      <c r="B29" t="s">
        <v>746</v>
      </c>
    </row>
    <row r="30" spans="1:2" x14ac:dyDescent="0.25">
      <c r="A30" t="s">
        <v>730</v>
      </c>
      <c r="B30" t="s">
        <v>335</v>
      </c>
    </row>
    <row r="31" spans="1:2" x14ac:dyDescent="0.25">
      <c r="A31">
        <v>1</v>
      </c>
      <c r="B31" t="s">
        <v>731</v>
      </c>
    </row>
    <row r="32" spans="1:2" x14ac:dyDescent="0.25">
      <c r="A32">
        <v>2</v>
      </c>
      <c r="B32" t="s">
        <v>732</v>
      </c>
    </row>
    <row r="33" spans="1:2" x14ac:dyDescent="0.25">
      <c r="A33">
        <v>3</v>
      </c>
      <c r="B33" t="s">
        <v>733</v>
      </c>
    </row>
    <row r="34" spans="1:2" x14ac:dyDescent="0.25">
      <c r="A34" t="s">
        <v>721</v>
      </c>
      <c r="B34" t="s">
        <v>748</v>
      </c>
    </row>
    <row r="35" spans="1:2" x14ac:dyDescent="0.25">
      <c r="A35" t="s">
        <v>744</v>
      </c>
      <c r="B35" t="s">
        <v>745</v>
      </c>
    </row>
    <row r="36" spans="1:2" x14ac:dyDescent="0.25">
      <c r="A36" t="s">
        <v>747</v>
      </c>
      <c r="B36" t="s">
        <v>471</v>
      </c>
    </row>
    <row r="37" spans="1:2" x14ac:dyDescent="0.25">
      <c r="A37" t="s">
        <v>183</v>
      </c>
      <c r="B37" t="s">
        <v>750</v>
      </c>
    </row>
  </sheetData>
  <sortState xmlns:xlrd2="http://schemas.microsoft.com/office/spreadsheetml/2017/richdata2" ref="A11:C19">
    <sortCondition ref="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parameter &amp; assumptions</vt:lpstr>
      <vt:lpstr>Cycle analysis</vt:lpstr>
      <vt:lpstr>1D Analysis</vt:lpstr>
      <vt:lpstr>ISRE</vt:lpstr>
      <vt:lpstr>NISRE</vt:lpstr>
      <vt:lpstr>list_of_symbols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2021-07-04T19:31:52Z</dcterms:modified>
</cp:coreProperties>
</file>